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SA\MIQ4\S8\Construction\projet_constru_4\"/>
    </mc:Choice>
  </mc:AlternateContent>
  <xr:revisionPtr revIDLastSave="0" documentId="13_ncr:1_{C34DB8DA-E093-40A7-98D1-68D1465F0278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Convoyeur" sheetId="1" r:id="rId1"/>
    <sheet name="Translation - Temps de cycle" sheetId="2" r:id="rId2"/>
    <sheet name="Translation - Puissance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B21" i="3"/>
  <c r="B16" i="3"/>
  <c r="B15" i="3"/>
  <c r="B14" i="3"/>
  <c r="B12" i="3"/>
  <c r="B25" i="3" s="1"/>
  <c r="B26" i="3" s="1"/>
  <c r="B27" i="3" s="1"/>
  <c r="F3" i="3" s="1"/>
  <c r="F9" i="3" s="1"/>
  <c r="B7" i="3"/>
  <c r="B17" i="2"/>
  <c r="F11" i="2"/>
  <c r="F12" i="2" s="1"/>
  <c r="F2" i="2"/>
  <c r="F19" i="2" s="1"/>
  <c r="F20" i="2" s="1"/>
  <c r="F21" i="2" s="1"/>
  <c r="B14" i="2" l="1"/>
  <c r="B22" i="3"/>
  <c r="F2" i="3" s="1"/>
  <c r="F8" i="3" s="1"/>
  <c r="F13" i="2"/>
  <c r="F14" i="2" s="1"/>
  <c r="B13" i="2" s="1"/>
  <c r="F16" i="2"/>
  <c r="F17" i="2" s="1"/>
  <c r="B12" i="2" s="1"/>
  <c r="B15" i="2" l="1"/>
  <c r="B18" i="2" s="1"/>
  <c r="B19" i="2" s="1"/>
  <c r="N63" i="1"/>
  <c r="N62" i="1"/>
  <c r="N61" i="1"/>
  <c r="N60" i="1"/>
  <c r="N52" i="1"/>
  <c r="N54" i="1"/>
  <c r="N45" i="1"/>
  <c r="N46" i="1" s="1"/>
  <c r="N47" i="1" s="1"/>
  <c r="N44" i="1"/>
  <c r="N43" i="1"/>
  <c r="N38" i="1"/>
  <c r="N36" i="1"/>
  <c r="N35" i="1"/>
  <c r="F37" i="1"/>
  <c r="F36" i="1"/>
  <c r="F35" i="1"/>
  <c r="B10" i="1"/>
  <c r="B14" i="1" s="1"/>
  <c r="B15" i="1" s="1"/>
  <c r="B9" i="1"/>
  <c r="B11" i="1" l="1"/>
  <c r="B12" i="1"/>
</calcChain>
</file>

<file path=xl/sharedStrings.xml><?xml version="1.0" encoding="utf-8"?>
<sst xmlns="http://schemas.openxmlformats.org/spreadsheetml/2006/main" count="268" uniqueCount="150">
  <si>
    <t>Donnees d'entrée liees à la chute 
des disques de frein</t>
  </si>
  <si>
    <t>Solution 1</t>
  </si>
  <si>
    <t>Variable</t>
  </si>
  <si>
    <t>valeur</t>
  </si>
  <si>
    <t>unite</t>
  </si>
  <si>
    <t>Masse</t>
  </si>
  <si>
    <t>kg</t>
  </si>
  <si>
    <t>Pente</t>
  </si>
  <si>
    <t>aucun</t>
  </si>
  <si>
    <t>g</t>
  </si>
  <si>
    <t>m/s2</t>
  </si>
  <si>
    <t>Longueur</t>
  </si>
  <si>
    <t>m</t>
  </si>
  <si>
    <t>Hauteur</t>
  </si>
  <si>
    <t>Vitesse</t>
  </si>
  <si>
    <t>m/s</t>
  </si>
  <si>
    <t>km/h</t>
  </si>
  <si>
    <t>Energie</t>
  </si>
  <si>
    <t>J</t>
  </si>
  <si>
    <t>Temps arret</t>
  </si>
  <si>
    <t>s</t>
  </si>
  <si>
    <t>acceleration</t>
  </si>
  <si>
    <t>m/s^2</t>
  </si>
  <si>
    <t>Force necessaire</t>
  </si>
  <si>
    <t>N</t>
  </si>
  <si>
    <t>1) Pre Dimmensionnement du couple moteur de la croix de Malte</t>
  </si>
  <si>
    <t>Hypotheses et details</t>
  </si>
  <si>
    <t>Parametrage</t>
  </si>
  <si>
    <t>Parametre</t>
  </si>
  <si>
    <t xml:space="preserve">Valeur </t>
  </si>
  <si>
    <t>Unite</t>
  </si>
  <si>
    <t>Description</t>
  </si>
  <si>
    <t>Re</t>
  </si>
  <si>
    <t>Rc</t>
  </si>
  <si>
    <t>Rp</t>
  </si>
  <si>
    <t>masse du disque de frein</t>
  </si>
  <si>
    <t>contante de pesanteur</t>
  </si>
  <si>
    <t>f</t>
  </si>
  <si>
    <t>frottement acier/acier</t>
  </si>
  <si>
    <t>rayon plot</t>
  </si>
  <si>
    <t>rayon effecteur</t>
  </si>
  <si>
    <t>rayon croix de matle</t>
  </si>
  <si>
    <t>mm</t>
  </si>
  <si>
    <t>D</t>
  </si>
  <si>
    <t>Solution 2</t>
  </si>
  <si>
    <t>1) Plaque pour les chocs</t>
  </si>
  <si>
    <t>L</t>
  </si>
  <si>
    <t>a</t>
  </si>
  <si>
    <t>b</t>
  </si>
  <si>
    <t>t</t>
  </si>
  <si>
    <t>epaisseur de la plaque</t>
  </si>
  <si>
    <t>hauteur de la plaque</t>
  </si>
  <si>
    <t>Limite elastique de l'acier</t>
  </si>
  <si>
    <t>temps d'arret du disque</t>
  </si>
  <si>
    <t>Longueur de l aplque</t>
  </si>
  <si>
    <t>F</t>
  </si>
  <si>
    <t>Force appliquee sur la poutre</t>
  </si>
  <si>
    <t>Mf</t>
  </si>
  <si>
    <t>N.mm</t>
  </si>
  <si>
    <t>Moment de flexion sur la poutre</t>
  </si>
  <si>
    <t>Ig</t>
  </si>
  <si>
    <t>Moment quadratique</t>
  </si>
  <si>
    <t>mm4</t>
  </si>
  <si>
    <t>Sigma eq</t>
  </si>
  <si>
    <t>MPa</t>
  </si>
  <si>
    <t>Contrainte equivalente</t>
  </si>
  <si>
    <t xml:space="preserve">s </t>
  </si>
  <si>
    <t>coefficient de securite</t>
  </si>
  <si>
    <t>Acceptable ?</t>
  </si>
  <si>
    <t>La contrainte equivalente est elle acceptable</t>
  </si>
  <si>
    <t>2) Force a developper par le par le verin</t>
  </si>
  <si>
    <t>masse</t>
  </si>
  <si>
    <t>alpha</t>
  </si>
  <si>
    <t>n</t>
  </si>
  <si>
    <t>Nombre de disques</t>
  </si>
  <si>
    <t>gravite</t>
  </si>
  <si>
    <t xml:space="preserve">pente </t>
  </si>
  <si>
    <t>degre</t>
  </si>
  <si>
    <t>v</t>
  </si>
  <si>
    <t>vitesse d'ejection</t>
  </si>
  <si>
    <t>temps de mise en mouvement du disque</t>
  </si>
  <si>
    <t>me</t>
  </si>
  <si>
    <t>masse de l'effecteur</t>
  </si>
  <si>
    <t>coefficient de frottement acier / acier</t>
  </si>
  <si>
    <t xml:space="preserve">effort Normal au mouvement </t>
  </si>
  <si>
    <t>F verin</t>
  </si>
  <si>
    <t>Cmin</t>
  </si>
  <si>
    <t>Course minimale</t>
  </si>
  <si>
    <t>acceleration necessaire</t>
  </si>
  <si>
    <t>ref</t>
  </si>
  <si>
    <t>DSNU-25-400-P-A</t>
  </si>
  <si>
    <t>Reference d'un verin convenable (Festo)</t>
  </si>
  <si>
    <t>Valeur</t>
  </si>
  <si>
    <t>Unités</t>
  </si>
  <si>
    <t>En-tête de colonne</t>
  </si>
  <si>
    <t>Temps de palettisation maximal</t>
  </si>
  <si>
    <t>Vitesse horizontale maximale</t>
  </si>
  <si>
    <t>Données du sujet</t>
  </si>
  <si>
    <t>Nombre de disques à paletiser</t>
  </si>
  <si>
    <t>sans unités</t>
  </si>
  <si>
    <t>Accélération horizontale</t>
  </si>
  <si>
    <t>Calcul</t>
  </si>
  <si>
    <t>Vitesse verticale maximale</t>
  </si>
  <si>
    <t>Vérification</t>
  </si>
  <si>
    <t>Distance de descente moyenne</t>
  </si>
  <si>
    <t>Accélération verticale</t>
  </si>
  <si>
    <t>Sortie</t>
  </si>
  <si>
    <t>Distance de montée</t>
  </si>
  <si>
    <t>Sous partie</t>
  </si>
  <si>
    <t>Distance de translation moyenne</t>
  </si>
  <si>
    <t>Démultiplication horizontale</t>
  </si>
  <si>
    <t>m/tr</t>
  </si>
  <si>
    <t>Informations des datasheets et de l'architecture</t>
  </si>
  <si>
    <t>Vitesse de rotation moteur</t>
  </si>
  <si>
    <t>tr/min</t>
  </si>
  <si>
    <t>Durée préhension</t>
  </si>
  <si>
    <t>Durée dépose</t>
  </si>
  <si>
    <t>VERTICAL - MONTEE</t>
  </si>
  <si>
    <t>Temps néccessaire pour atteindre Vmax</t>
  </si>
  <si>
    <t>Durée de descente</t>
  </si>
  <si>
    <t>Position à Vmax</t>
  </si>
  <si>
    <t>Durée de montée</t>
  </si>
  <si>
    <t>Type de profil de vitesse</t>
  </si>
  <si>
    <t>Durée de translation</t>
  </si>
  <si>
    <t>Temps de montée</t>
  </si>
  <si>
    <t>Durée de mouvement totale</t>
  </si>
  <si>
    <t>VERTICAL - DESCENTE</t>
  </si>
  <si>
    <t>Temps de cycle maximal</t>
  </si>
  <si>
    <t>Temps de descente</t>
  </si>
  <si>
    <t>Durée de cycle théorique (trajectoire moyenne)</t>
  </si>
  <si>
    <t>HORIZONTAL - TRANSLATION</t>
  </si>
  <si>
    <t>Vérification durée cycle</t>
  </si>
  <si>
    <t>Temps nécessaire pour atteindre  Vmax</t>
  </si>
  <si>
    <t>Temps de translation</t>
  </si>
  <si>
    <t>Masse d'un disque</t>
  </si>
  <si>
    <t>Puissance vérin avec sécurité</t>
  </si>
  <si>
    <t>W</t>
  </si>
  <si>
    <t>Masse d'un préhenseur</t>
  </si>
  <si>
    <t>Puissance moteur avec sécurité</t>
  </si>
  <si>
    <t>Nombre de préhenseurs</t>
  </si>
  <si>
    <t>Masse du vérin + moteur</t>
  </si>
  <si>
    <t>Puissance du vérin choisi</t>
  </si>
  <si>
    <t>Masse du chariot &lt;</t>
  </si>
  <si>
    <t>Puissance du moteur choisi</t>
  </si>
  <si>
    <t>Masse à déplacer</t>
  </si>
  <si>
    <t>Vérification du vérin</t>
  </si>
  <si>
    <t>Vérification du moteur</t>
  </si>
  <si>
    <t>Coefficient de sécurité</t>
  </si>
  <si>
    <t>Puissance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</si>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</sst>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Liberation Sans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b/>
      <sz val="11"/>
      <color rgb="FF333333"/>
      <name val="Liberation Sans"/>
      <family val="2"/>
    </font>
    <font>
      <b/>
      <sz val="11"/>
      <color rgb="FF000000"/>
      <name val="Liberation Sans"/>
      <family val="2"/>
    </font>
    <font>
      <u/>
      <sz val="11"/>
      <color theme="10"/>
      <name val="Liberation Sans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27">
    <xf numFmtId="0" fontId="0" fillId="0" borderId="0"/>
    <xf numFmtId="0" fontId="6" fillId="7" borderId="1" applyNumberFormat="0" applyAlignment="0" applyProtection="0"/>
    <xf numFmtId="0" fontId="5" fillId="6" borderId="1" applyNumberFormat="0" applyAlignment="0" applyProtection="0"/>
    <xf numFmtId="0" fontId="15" fillId="10" borderId="2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9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1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9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1" fillId="14" borderId="15" applyNumberFormat="0" applyAlignment="0" applyProtection="0"/>
    <xf numFmtId="0" fontId="22" fillId="15" borderId="16" applyNumberFormat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</cellStyleXfs>
  <cellXfs count="70">
    <xf numFmtId="0" fontId="0" fillId="0" borderId="0" xfId="0"/>
    <xf numFmtId="0" fontId="3" fillId="3" borderId="0" xfId="6" applyFont="1" applyFill="1" applyAlignment="1"/>
    <xf numFmtId="0" fontId="6" fillId="7" borderId="1" xfId="1" applyFont="1" applyFill="1" applyBorder="1"/>
    <xf numFmtId="0" fontId="6" fillId="7" borderId="1" xfId="1" applyFont="1" applyFill="1" applyBorder="1" applyAlignment="1">
      <alignment horizontal="right"/>
    </xf>
    <xf numFmtId="0" fontId="5" fillId="6" borderId="1" xfId="2" applyFont="1" applyFill="1" applyBorder="1"/>
    <xf numFmtId="0" fontId="5" fillId="6" borderId="1" xfId="2" applyFont="1" applyFill="1" applyBorder="1" applyAlignment="1">
      <alignment horizontal="right"/>
    </xf>
    <xf numFmtId="0" fontId="0" fillId="11" borderId="0" xfId="0" applyFill="1"/>
    <xf numFmtId="0" fontId="0" fillId="1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5" fillId="6" borderId="10" xfId="2" applyFont="1" applyFill="1" applyBorder="1"/>
    <xf numFmtId="0" fontId="6" fillId="7" borderId="1" xfId="1" applyFont="1" applyFill="1" applyBorder="1" applyAlignment="1">
      <alignment wrapText="1"/>
    </xf>
    <xf numFmtId="0" fontId="0" fillId="0" borderId="9" xfId="0" applyBorder="1"/>
    <xf numFmtId="0" fontId="0" fillId="0" borderId="9" xfId="0" applyBorder="1" applyAlignment="1"/>
    <xf numFmtId="0" fontId="0" fillId="0" borderId="4" xfId="0" applyBorder="1" applyAlignment="1"/>
    <xf numFmtId="0" fontId="0" fillId="12" borderId="9" xfId="0" applyFill="1" applyBorder="1" applyAlignment="1"/>
    <xf numFmtId="0" fontId="0" fillId="12" borderId="0" xfId="0" applyFill="1" applyAlignment="1"/>
    <xf numFmtId="0" fontId="0" fillId="0" borderId="0" xfId="0" applyFill="1"/>
    <xf numFmtId="0" fontId="0" fillId="12" borderId="11" xfId="0" applyFill="1" applyBorder="1" applyAlignment="1"/>
    <xf numFmtId="0" fontId="0" fillId="12" borderId="12" xfId="0" applyFill="1" applyBorder="1" applyAlignment="1">
      <alignment vertical="center"/>
    </xf>
    <xf numFmtId="0" fontId="0" fillId="12" borderId="12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8" fillId="0" borderId="0" xfId="0" applyFont="1" applyAlignment="1"/>
    <xf numFmtId="0" fontId="18" fillId="12" borderId="0" xfId="0" applyFont="1" applyFill="1" applyAlignment="1"/>
    <xf numFmtId="0" fontId="5" fillId="6" borderId="1" xfId="2"/>
    <xf numFmtId="0" fontId="5" fillId="6" borderId="1" xfId="2" applyAlignment="1"/>
    <xf numFmtId="0" fontId="6" fillId="7" borderId="1" xfId="1"/>
    <xf numFmtId="0" fontId="6" fillId="7" borderId="1" xfId="1" applyAlignment="1"/>
    <xf numFmtId="0" fontId="15" fillId="10" borderId="2" xfId="3"/>
    <xf numFmtId="0" fontId="23" fillId="17" borderId="1" xfId="26" applyBorder="1"/>
    <xf numFmtId="0" fontId="0" fillId="18" borderId="0" xfId="0" applyFill="1"/>
    <xf numFmtId="0" fontId="23" fillId="17" borderId="17" xfId="26" applyBorder="1"/>
    <xf numFmtId="0" fontId="23" fillId="17" borderId="0" xfId="26"/>
    <xf numFmtId="0" fontId="0" fillId="10" borderId="2" xfId="3" applyFont="1"/>
    <xf numFmtId="0" fontId="22" fillId="15" borderId="16" xfId="24"/>
    <xf numFmtId="0" fontId="21" fillId="14" borderId="15" xfId="23"/>
    <xf numFmtId="0" fontId="23" fillId="16" borderId="0" xfId="25"/>
    <xf numFmtId="0" fontId="19" fillId="18" borderId="0" xfId="21" applyFill="1"/>
    <xf numFmtId="2" fontId="5" fillId="6" borderId="1" xfId="2" applyNumberFormat="1"/>
    <xf numFmtId="2" fontId="21" fillId="14" borderId="15" xfId="23" applyNumberFormat="1"/>
    <xf numFmtId="0" fontId="22" fillId="15" borderId="16" xfId="24" applyAlignment="1">
      <alignment horizontal="center"/>
    </xf>
    <xf numFmtId="1" fontId="0" fillId="10" borderId="2" xfId="3" applyNumberFormat="1" applyFont="1"/>
    <xf numFmtId="0" fontId="26" fillId="18" borderId="0" xfId="1" applyFont="1" applyFill="1" applyBorder="1"/>
    <xf numFmtId="0" fontId="20" fillId="18" borderId="0" xfId="22" applyFill="1"/>
    <xf numFmtId="0" fontId="25" fillId="10" borderId="2" xfId="3" applyFont="1"/>
    <xf numFmtId="2" fontId="25" fillId="10" borderId="2" xfId="3" applyNumberFormat="1" applyFont="1"/>
    <xf numFmtId="0" fontId="25" fillId="18" borderId="2" xfId="3" applyFont="1" applyFill="1"/>
    <xf numFmtId="0" fontId="24" fillId="10" borderId="2" xfId="3" applyFont="1"/>
    <xf numFmtId="0" fontId="15" fillId="10" borderId="2" xfId="3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7" fillId="10" borderId="2" xfId="3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9" fillId="0" borderId="4" xfId="21" applyBorder="1" applyAlignment="1">
      <alignment horizontal="center" vertical="center"/>
    </xf>
  </cellXfs>
  <cellStyles count="27">
    <cellStyle name="Accent" xfId="4" xr:uid="{00000000-0005-0000-0000-000000000000}"/>
    <cellStyle name="Accent 1" xfId="5" xr:uid="{00000000-0005-0000-0000-000001000000}"/>
    <cellStyle name="Accent 2" xfId="6" xr:uid="{00000000-0005-0000-0000-000002000000}"/>
    <cellStyle name="Accent 3" xfId="7" xr:uid="{00000000-0005-0000-0000-000003000000}"/>
    <cellStyle name="Accent1" xfId="25" builtinId="29"/>
    <cellStyle name="Accent2" xfId="26" builtinId="33"/>
    <cellStyle name="Bad" xfId="8" xr:uid="{00000000-0005-0000-0000-000004000000}"/>
    <cellStyle name="Calcul" xfId="2" builtinId="22" customBuiltin="1"/>
    <cellStyle name="Entrée" xfId="1" builtinId="20" customBuiltin="1"/>
    <cellStyle name="Error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Lien hypertexte" xfId="21" builtinId="8"/>
    <cellStyle name="Neutral" xfId="16" xr:uid="{00000000-0005-0000-0000-00000F000000}"/>
    <cellStyle name="Neutre" xfId="22" builtinId="28"/>
    <cellStyle name="Normal" xfId="0" builtinId="0" customBuiltin="1"/>
    <cellStyle name="Note" xfId="3" builtinId="10" customBuiltin="1"/>
    <cellStyle name="Result" xfId="17" xr:uid="{00000000-0005-0000-0000-000012000000}"/>
    <cellStyle name="Sortie" xfId="23" builtinId="21"/>
    <cellStyle name="Status" xfId="18" xr:uid="{00000000-0005-0000-0000-000013000000}"/>
    <cellStyle name="Text" xfId="19" xr:uid="{00000000-0005-0000-0000-000014000000}"/>
    <cellStyle name="Vérification" xfId="24" builtinId="23"/>
    <cellStyle name="Warning" xfId="20" xr:uid="{00000000-0005-0000-0000-00001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694779</xdr:colOff>
      <xdr:row>1</xdr:row>
      <xdr:rowOff>275746</xdr:rowOff>
    </xdr:from>
    <xdr:ext cx="3313044" cy="3531083"/>
    <xdr:pic>
      <xdr:nvPicPr>
        <xdr:cNvPr id="2" name="Image 2">
          <a:extLst>
            <a:ext uri="{FF2B5EF4-FFF2-40B4-BE49-F238E27FC236}">
              <a16:creationId xmlns:a16="http://schemas.microsoft.com/office/drawing/2014/main" id="{A1CB7FE4-0C4C-4DC8-BF14-7DF3BAA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0729" y="571021"/>
          <a:ext cx="3313044" cy="3531083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12</xdr:col>
      <xdr:colOff>57150</xdr:colOff>
      <xdr:row>2</xdr:row>
      <xdr:rowOff>76201</xdr:rowOff>
    </xdr:from>
    <xdr:to>
      <xdr:col>16</xdr:col>
      <xdr:colOff>76201</xdr:colOff>
      <xdr:row>23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00C33D-0DD0-428A-AD44-6038A98C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666751"/>
          <a:ext cx="5762626" cy="3848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SA/MIQ4/S8/Feuille_de_calcul_Dimensionn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lation - Temps de cycle"/>
      <sheetName val="Translation - Puissance"/>
    </sheetNames>
    <sheetDataSet>
      <sheetData sheetId="0">
        <row r="3">
          <cell r="F3">
            <v>10</v>
          </cell>
        </row>
        <row r="12">
          <cell r="B12">
            <v>0.255</v>
          </cell>
        </row>
        <row r="13">
          <cell r="B13">
            <v>0.1</v>
          </cell>
        </row>
        <row r="14">
          <cell r="B14">
            <v>0.4538722287164087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damien\Croix%20de%20malte%20+%20Guillot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12" zoomScale="70" zoomScaleNormal="70" workbookViewId="0">
      <selection activeCell="P68" sqref="P68"/>
    </sheetView>
  </sheetViews>
  <sheetFormatPr baseColWidth="10" defaultRowHeight="13.8" x14ac:dyDescent="0.25"/>
  <cols>
    <col min="1" max="1" width="18" customWidth="1"/>
    <col min="2" max="2" width="19.19921875" customWidth="1"/>
    <col min="3" max="3" width="16.19921875" customWidth="1"/>
    <col min="4" max="4" width="10.59765625" style="7" customWidth="1"/>
    <col min="5" max="5" width="10.59765625" customWidth="1"/>
    <col min="6" max="6" width="17.3984375" customWidth="1"/>
    <col min="7" max="8" width="10.59765625" customWidth="1"/>
    <col min="9" max="9" width="11" customWidth="1"/>
    <col min="12" max="12" width="11" style="7"/>
    <col min="16" max="16" width="42.3984375" customWidth="1"/>
    <col min="17" max="17" width="11" style="7"/>
    <col min="20" max="20" width="11" style="19"/>
  </cols>
  <sheetData>
    <row r="1" spans="1:19" ht="23.25" customHeight="1" x14ac:dyDescent="0.25">
      <c r="A1" s="66" t="s">
        <v>0</v>
      </c>
      <c r="B1" s="66"/>
      <c r="C1" s="66"/>
      <c r="D1" s="6"/>
      <c r="E1" s="67" t="s">
        <v>1</v>
      </c>
      <c r="F1" s="67"/>
      <c r="G1" s="67"/>
      <c r="H1" s="67"/>
      <c r="I1" s="67"/>
      <c r="J1" s="67"/>
      <c r="K1" s="67"/>
      <c r="L1" s="6"/>
      <c r="M1" s="60" t="s">
        <v>44</v>
      </c>
      <c r="N1" s="60"/>
      <c r="O1" s="60"/>
      <c r="P1" s="60"/>
      <c r="Q1" s="29"/>
      <c r="R1" s="28"/>
      <c r="S1" s="28"/>
    </row>
    <row r="2" spans="1:19" ht="23.25" customHeight="1" x14ac:dyDescent="0.25">
      <c r="A2" s="66"/>
      <c r="B2" s="66"/>
      <c r="C2" s="66"/>
      <c r="D2" s="6"/>
      <c r="L2" s="6"/>
    </row>
    <row r="3" spans="1:19" ht="14.25" customHeight="1" x14ac:dyDescent="0.25">
      <c r="A3" s="1" t="s">
        <v>2</v>
      </c>
      <c r="B3" s="1" t="s">
        <v>3</v>
      </c>
      <c r="C3" s="1" t="s">
        <v>4</v>
      </c>
      <c r="D3" s="6"/>
      <c r="L3" s="6"/>
    </row>
    <row r="4" spans="1:19" ht="14.25" customHeight="1" x14ac:dyDescent="0.3">
      <c r="A4" s="2" t="s">
        <v>5</v>
      </c>
      <c r="B4" s="2">
        <v>3.6</v>
      </c>
      <c r="C4" s="3" t="s">
        <v>6</v>
      </c>
      <c r="D4" s="6"/>
      <c r="L4" s="6"/>
    </row>
    <row r="5" spans="1:19" ht="14.25" customHeight="1" x14ac:dyDescent="0.3">
      <c r="A5" s="13" t="s">
        <v>43</v>
      </c>
      <c r="B5" s="2">
        <v>180</v>
      </c>
      <c r="C5" s="3" t="s">
        <v>42</v>
      </c>
      <c r="D5" s="6"/>
      <c r="L5" s="6"/>
    </row>
    <row r="6" spans="1:19" ht="14.4" x14ac:dyDescent="0.3">
      <c r="A6" s="2" t="s">
        <v>7</v>
      </c>
      <c r="B6" s="2">
        <v>0.05</v>
      </c>
      <c r="C6" s="3" t="s">
        <v>8</v>
      </c>
      <c r="D6" s="6"/>
      <c r="L6" s="6"/>
    </row>
    <row r="7" spans="1:19" ht="14.4" x14ac:dyDescent="0.3">
      <c r="A7" s="2" t="s">
        <v>9</v>
      </c>
      <c r="B7" s="2">
        <v>9.81</v>
      </c>
      <c r="C7" s="3" t="s">
        <v>10</v>
      </c>
      <c r="D7" s="6"/>
      <c r="L7" s="6"/>
    </row>
    <row r="8" spans="1:19" ht="14.4" x14ac:dyDescent="0.3">
      <c r="A8" s="2" t="s">
        <v>11</v>
      </c>
      <c r="B8" s="2">
        <v>2.6</v>
      </c>
      <c r="C8" s="3" t="s">
        <v>12</v>
      </c>
      <c r="D8" s="6"/>
      <c r="L8" s="6"/>
    </row>
    <row r="9" spans="1:19" ht="14.4" x14ac:dyDescent="0.3">
      <c r="A9" s="4" t="s">
        <v>13</v>
      </c>
      <c r="B9" s="4">
        <f>SIN(ATAN(B6))*B8</f>
        <v>0.12983780405411982</v>
      </c>
      <c r="C9" s="5" t="s">
        <v>12</v>
      </c>
      <c r="D9" s="6"/>
      <c r="L9" s="6"/>
    </row>
    <row r="10" spans="1:19" ht="14.4" x14ac:dyDescent="0.3">
      <c r="A10" s="4" t="s">
        <v>14</v>
      </c>
      <c r="B10" s="4">
        <f>SQRT(2*B6*B8*B7)</f>
        <v>1.5970597985047399</v>
      </c>
      <c r="C10" s="5" t="s">
        <v>15</v>
      </c>
      <c r="D10" s="6"/>
      <c r="L10" s="6"/>
    </row>
    <row r="11" spans="1:19" ht="14.4" x14ac:dyDescent="0.3">
      <c r="A11" s="4"/>
      <c r="B11" s="4">
        <f>B10*3.6</f>
        <v>5.7494152746170641</v>
      </c>
      <c r="C11" s="5" t="s">
        <v>16</v>
      </c>
      <c r="D11" s="6"/>
      <c r="L11" s="6"/>
    </row>
    <row r="12" spans="1:19" ht="14.4" x14ac:dyDescent="0.3">
      <c r="A12" s="4" t="s">
        <v>17</v>
      </c>
      <c r="B12" s="4">
        <f>0.5*B4*B10^2</f>
        <v>4.5910800000000007</v>
      </c>
      <c r="C12" s="5" t="s">
        <v>18</v>
      </c>
      <c r="D12" s="6"/>
      <c r="L12" s="6"/>
    </row>
    <row r="13" spans="1:19" ht="14.4" x14ac:dyDescent="0.3">
      <c r="A13" s="2" t="s">
        <v>19</v>
      </c>
      <c r="B13" s="2">
        <v>0.2</v>
      </c>
      <c r="C13" s="3" t="s">
        <v>20</v>
      </c>
      <c r="D13" s="6"/>
      <c r="L13" s="6"/>
    </row>
    <row r="14" spans="1:19" ht="14.4" x14ac:dyDescent="0.3">
      <c r="A14" s="4" t="s">
        <v>21</v>
      </c>
      <c r="B14" s="4">
        <f>B10/B13</f>
        <v>7.985298992523699</v>
      </c>
      <c r="C14" s="5" t="s">
        <v>22</v>
      </c>
      <c r="D14" s="6"/>
      <c r="L14" s="6"/>
    </row>
    <row r="15" spans="1:19" ht="14.4" x14ac:dyDescent="0.3">
      <c r="A15" s="4" t="s">
        <v>23</v>
      </c>
      <c r="B15" s="4">
        <f>B14*G7</f>
        <v>0</v>
      </c>
      <c r="C15" s="5" t="s">
        <v>24</v>
      </c>
      <c r="D15" s="6"/>
      <c r="L15" s="6"/>
    </row>
    <row r="16" spans="1:19" ht="14.4" x14ac:dyDescent="0.3">
      <c r="A16" s="12"/>
      <c r="D16" s="6"/>
      <c r="L16" s="6"/>
    </row>
    <row r="17" spans="4:20" x14ac:dyDescent="0.25">
      <c r="D17" s="6"/>
      <c r="L17" s="6"/>
    </row>
    <row r="18" spans="4:20" x14ac:dyDescent="0.25">
      <c r="D18" s="6"/>
      <c r="L18" s="6"/>
    </row>
    <row r="19" spans="4:20" x14ac:dyDescent="0.25">
      <c r="D19" s="6"/>
      <c r="L19" s="6"/>
    </row>
    <row r="20" spans="4:20" x14ac:dyDescent="0.25">
      <c r="D20" s="6"/>
      <c r="L20" s="6"/>
    </row>
    <row r="21" spans="4:20" x14ac:dyDescent="0.25">
      <c r="D21" s="6"/>
      <c r="L21" s="6"/>
    </row>
    <row r="22" spans="4:20" x14ac:dyDescent="0.25">
      <c r="D22" s="6"/>
      <c r="L22" s="6"/>
    </row>
    <row r="23" spans="4:20" x14ac:dyDescent="0.25">
      <c r="D23" s="6"/>
      <c r="L23" s="6"/>
      <c r="R23" s="23"/>
      <c r="S23" s="23"/>
      <c r="T23" s="24"/>
    </row>
    <row r="24" spans="4:20" x14ac:dyDescent="0.25">
      <c r="D24" s="6"/>
      <c r="L24" s="6"/>
      <c r="M24" s="7"/>
      <c r="N24" s="7"/>
      <c r="O24" s="7"/>
      <c r="P24" s="7"/>
      <c r="R24" s="24"/>
      <c r="S24" s="24"/>
      <c r="T24" s="24"/>
    </row>
    <row r="25" spans="4:20" x14ac:dyDescent="0.25">
      <c r="D25" s="6"/>
      <c r="E25" s="7"/>
      <c r="F25" s="7"/>
      <c r="G25" s="7"/>
      <c r="H25" s="7"/>
      <c r="I25" s="7"/>
      <c r="J25" s="7"/>
      <c r="K25" s="7"/>
      <c r="L25" s="6"/>
      <c r="M25" s="55" t="s">
        <v>45</v>
      </c>
      <c r="N25" s="55"/>
      <c r="O25" s="55"/>
      <c r="P25" s="55"/>
      <c r="Q25" s="20"/>
      <c r="R25" s="25"/>
      <c r="S25" s="25"/>
      <c r="T25" s="24"/>
    </row>
    <row r="26" spans="4:20" x14ac:dyDescent="0.25">
      <c r="D26" s="6"/>
      <c r="E26" s="68" t="s">
        <v>25</v>
      </c>
      <c r="F26" s="68"/>
      <c r="G26" s="68"/>
      <c r="H26" s="68"/>
      <c r="I26" s="68"/>
      <c r="J26" s="68"/>
      <c r="K26" s="68"/>
      <c r="L26" s="6"/>
      <c r="R26" s="24"/>
      <c r="S26" s="24"/>
      <c r="T26" s="24"/>
    </row>
    <row r="27" spans="4:20" x14ac:dyDescent="0.25">
      <c r="D27" s="6"/>
      <c r="L27" s="6"/>
      <c r="R27" s="23"/>
      <c r="S27" s="23"/>
      <c r="T27" s="24"/>
    </row>
    <row r="28" spans="4:20" x14ac:dyDescent="0.25">
      <c r="D28" s="6"/>
      <c r="F28" s="69" t="s">
        <v>26</v>
      </c>
      <c r="G28" s="69"/>
      <c r="H28" s="69"/>
      <c r="I28" s="69"/>
      <c r="J28" s="69"/>
      <c r="L28" s="6"/>
      <c r="M28" s="56" t="s">
        <v>26</v>
      </c>
      <c r="N28" s="56"/>
      <c r="O28" s="56"/>
      <c r="P28" s="56"/>
      <c r="Q28" s="21"/>
      <c r="R28" s="26"/>
      <c r="S28" s="23"/>
      <c r="T28" s="24"/>
    </row>
    <row r="29" spans="4:20" x14ac:dyDescent="0.25">
      <c r="D29" s="6"/>
      <c r="F29" s="69"/>
      <c r="G29" s="69"/>
      <c r="H29" s="69"/>
      <c r="I29" s="69"/>
      <c r="J29" s="69"/>
      <c r="L29" s="6"/>
      <c r="M29" s="56"/>
      <c r="N29" s="56"/>
      <c r="O29" s="56"/>
      <c r="P29" s="56"/>
      <c r="Q29" s="21"/>
      <c r="R29" s="26"/>
      <c r="S29" s="23"/>
      <c r="T29" s="24"/>
    </row>
    <row r="30" spans="4:20" x14ac:dyDescent="0.25">
      <c r="D30" s="6"/>
      <c r="R30" s="23"/>
      <c r="S30" s="23"/>
      <c r="T30" s="24"/>
    </row>
    <row r="31" spans="4:20" x14ac:dyDescent="0.25">
      <c r="F31" s="61" t="s">
        <v>27</v>
      </c>
      <c r="G31" s="61"/>
      <c r="H31" s="61"/>
      <c r="I31" s="61"/>
      <c r="J31" s="61"/>
      <c r="R31" s="23"/>
      <c r="S31" s="23"/>
      <c r="T31" s="24"/>
    </row>
    <row r="32" spans="4:20" x14ac:dyDescent="0.25">
      <c r="R32" s="23"/>
      <c r="S32" s="23"/>
      <c r="T32" s="24"/>
    </row>
    <row r="33" spans="5:20" x14ac:dyDescent="0.25">
      <c r="R33" s="23"/>
      <c r="S33" s="23"/>
      <c r="T33" s="24"/>
    </row>
    <row r="34" spans="5:20" x14ac:dyDescent="0.25">
      <c r="E34" s="8" t="s">
        <v>28</v>
      </c>
      <c r="F34" s="8" t="s">
        <v>29</v>
      </c>
      <c r="G34" s="8" t="s">
        <v>30</v>
      </c>
      <c r="H34" s="61" t="s">
        <v>31</v>
      </c>
      <c r="I34" s="61"/>
      <c r="J34" s="61"/>
      <c r="K34" s="61"/>
      <c r="M34" s="8" t="s">
        <v>28</v>
      </c>
      <c r="N34" s="8" t="s">
        <v>29</v>
      </c>
      <c r="O34" s="8" t="s">
        <v>30</v>
      </c>
      <c r="P34" s="16" t="s">
        <v>31</v>
      </c>
      <c r="Q34" s="22"/>
      <c r="R34" s="27"/>
      <c r="S34" s="27"/>
      <c r="T34" s="24"/>
    </row>
    <row r="35" spans="5:20" ht="14.4" x14ac:dyDescent="0.3">
      <c r="E35" s="9" t="s">
        <v>12</v>
      </c>
      <c r="F35" s="9">
        <f>B4</f>
        <v>3.6</v>
      </c>
      <c r="G35" s="9" t="s">
        <v>6</v>
      </c>
      <c r="H35" s="64" t="s">
        <v>35</v>
      </c>
      <c r="I35" s="65"/>
      <c r="J35" s="65"/>
      <c r="K35" s="65"/>
      <c r="M35" s="32" t="s">
        <v>12</v>
      </c>
      <c r="N35" s="32">
        <f>B4</f>
        <v>3.6</v>
      </c>
      <c r="O35" s="32" t="s">
        <v>6</v>
      </c>
      <c r="P35" s="33" t="s">
        <v>71</v>
      </c>
      <c r="Q35" s="17"/>
      <c r="R35" s="27"/>
      <c r="S35" s="27"/>
      <c r="T35" s="24"/>
    </row>
    <row r="36" spans="5:20" ht="14.4" x14ac:dyDescent="0.3">
      <c r="E36" s="10" t="s">
        <v>9</v>
      </c>
      <c r="F36" s="10">
        <f>B7</f>
        <v>9.81</v>
      </c>
      <c r="G36" s="10" t="s">
        <v>10</v>
      </c>
      <c r="H36" s="62" t="s">
        <v>36</v>
      </c>
      <c r="I36" s="63"/>
      <c r="J36" s="63"/>
      <c r="K36" s="63"/>
      <c r="M36" s="32" t="s">
        <v>9</v>
      </c>
      <c r="N36" s="32">
        <f>F36</f>
        <v>9.81</v>
      </c>
      <c r="O36" s="32" t="s">
        <v>10</v>
      </c>
      <c r="P36" s="33"/>
      <c r="Q36" s="18"/>
      <c r="R36" s="27"/>
      <c r="S36" s="27"/>
      <c r="T36" s="24"/>
    </row>
    <row r="37" spans="5:20" ht="14.4" x14ac:dyDescent="0.3">
      <c r="E37" s="10" t="s">
        <v>32</v>
      </c>
      <c r="F37" s="10">
        <f>3*B5</f>
        <v>540</v>
      </c>
      <c r="G37" s="10" t="s">
        <v>42</v>
      </c>
      <c r="H37" s="62" t="s">
        <v>40</v>
      </c>
      <c r="I37" s="63"/>
      <c r="J37" s="63"/>
      <c r="K37" s="63"/>
      <c r="M37" s="32" t="s">
        <v>66</v>
      </c>
      <c r="N37" s="32">
        <v>2.5</v>
      </c>
      <c r="O37" s="32"/>
      <c r="P37" s="33" t="s">
        <v>67</v>
      </c>
      <c r="Q37" s="18"/>
      <c r="R37" s="27"/>
      <c r="S37" s="27"/>
      <c r="T37" s="24"/>
    </row>
    <row r="38" spans="5:20" ht="14.4" x14ac:dyDescent="0.3">
      <c r="E38" s="10" t="s">
        <v>33</v>
      </c>
      <c r="F38" s="10"/>
      <c r="G38" s="10" t="s">
        <v>42</v>
      </c>
      <c r="H38" s="62" t="s">
        <v>41</v>
      </c>
      <c r="I38" s="63"/>
      <c r="J38" s="63"/>
      <c r="K38" s="63"/>
      <c r="M38" s="32" t="s">
        <v>46</v>
      </c>
      <c r="N38" s="32">
        <f>2*B5</f>
        <v>360</v>
      </c>
      <c r="O38" s="32" t="s">
        <v>42</v>
      </c>
      <c r="P38" s="33" t="s">
        <v>54</v>
      </c>
      <c r="Q38" s="18"/>
      <c r="R38" s="27"/>
      <c r="S38" s="27"/>
      <c r="T38" s="24"/>
    </row>
    <row r="39" spans="5:20" ht="14.4" x14ac:dyDescent="0.3">
      <c r="E39" s="10" t="s">
        <v>34</v>
      </c>
      <c r="F39" s="10"/>
      <c r="G39" s="10" t="s">
        <v>42</v>
      </c>
      <c r="H39" s="62" t="s">
        <v>39</v>
      </c>
      <c r="I39" s="63"/>
      <c r="J39" s="63"/>
      <c r="K39" s="63"/>
      <c r="M39" s="32" t="s">
        <v>47</v>
      </c>
      <c r="N39" s="32">
        <v>3</v>
      </c>
      <c r="O39" s="32" t="s">
        <v>42</v>
      </c>
      <c r="P39" s="33" t="s">
        <v>50</v>
      </c>
      <c r="Q39" s="18"/>
      <c r="R39" s="27"/>
      <c r="S39" s="27"/>
      <c r="T39" s="24"/>
    </row>
    <row r="40" spans="5:20" ht="14.4" x14ac:dyDescent="0.3">
      <c r="E40" s="10" t="s">
        <v>37</v>
      </c>
      <c r="F40" s="10"/>
      <c r="G40" s="11">
        <v>1</v>
      </c>
      <c r="H40" s="62" t="s">
        <v>38</v>
      </c>
      <c r="I40" s="63"/>
      <c r="J40" s="63"/>
      <c r="K40" s="63"/>
      <c r="M40" s="32" t="s">
        <v>48</v>
      </c>
      <c r="N40" s="32">
        <v>30</v>
      </c>
      <c r="O40" s="32" t="s">
        <v>42</v>
      </c>
      <c r="P40" s="33" t="s">
        <v>51</v>
      </c>
      <c r="Q40" s="18"/>
      <c r="R40" s="27"/>
      <c r="S40" s="27"/>
      <c r="T40" s="24"/>
    </row>
    <row r="41" spans="5:20" ht="14.4" x14ac:dyDescent="0.3">
      <c r="E41" s="10"/>
      <c r="F41" s="10"/>
      <c r="G41" s="10"/>
      <c r="H41" s="62"/>
      <c r="I41" s="63"/>
      <c r="J41" s="63"/>
      <c r="K41" s="63"/>
      <c r="M41" s="32" t="s">
        <v>32</v>
      </c>
      <c r="N41" s="32">
        <v>300</v>
      </c>
      <c r="O41" s="32" t="s">
        <v>64</v>
      </c>
      <c r="P41" s="33" t="s">
        <v>52</v>
      </c>
      <c r="Q41" s="18"/>
      <c r="R41" s="27"/>
      <c r="S41" s="27"/>
      <c r="T41" s="24"/>
    </row>
    <row r="42" spans="5:20" ht="14.4" x14ac:dyDescent="0.3">
      <c r="E42" s="10"/>
      <c r="F42" s="10"/>
      <c r="G42" s="10"/>
      <c r="H42" s="62"/>
      <c r="I42" s="63"/>
      <c r="J42" s="63"/>
      <c r="K42" s="63"/>
      <c r="M42" s="32" t="s">
        <v>49</v>
      </c>
      <c r="N42" s="32">
        <v>0.1</v>
      </c>
      <c r="O42" s="32" t="s">
        <v>20</v>
      </c>
      <c r="P42" s="33" t="s">
        <v>53</v>
      </c>
      <c r="Q42" s="18"/>
      <c r="R42" s="27"/>
      <c r="S42" s="27"/>
      <c r="T42" s="24"/>
    </row>
    <row r="43" spans="5:20" ht="14.4" x14ac:dyDescent="0.3">
      <c r="E43" s="10"/>
      <c r="F43" s="10"/>
      <c r="G43" s="10"/>
      <c r="H43" s="62"/>
      <c r="I43" s="63"/>
      <c r="J43" s="63"/>
      <c r="K43" s="63"/>
      <c r="M43" s="30" t="s">
        <v>55</v>
      </c>
      <c r="N43" s="30">
        <f>N35*B10/N42</f>
        <v>57.494152746170641</v>
      </c>
      <c r="O43" s="30" t="s">
        <v>24</v>
      </c>
      <c r="P43" s="31" t="s">
        <v>56</v>
      </c>
      <c r="Q43" s="18"/>
      <c r="R43" s="27"/>
      <c r="S43" s="27"/>
      <c r="T43" s="24"/>
    </row>
    <row r="44" spans="5:20" ht="14.4" x14ac:dyDescent="0.3">
      <c r="E44" s="10"/>
      <c r="F44" s="10"/>
      <c r="G44" s="10"/>
      <c r="H44" s="62"/>
      <c r="I44" s="63"/>
      <c r="J44" s="63"/>
      <c r="K44" s="63"/>
      <c r="M44" s="30" t="s">
        <v>57</v>
      </c>
      <c r="N44" s="30">
        <f>N43*N38/4</f>
        <v>5174.4737471553581</v>
      </c>
      <c r="O44" s="30" t="s">
        <v>58</v>
      </c>
      <c r="P44" s="31" t="s">
        <v>59</v>
      </c>
      <c r="Q44" s="18"/>
      <c r="R44" s="27"/>
      <c r="S44" s="27"/>
      <c r="T44" s="24"/>
    </row>
    <row r="45" spans="5:20" ht="14.4" x14ac:dyDescent="0.3">
      <c r="E45" s="10"/>
      <c r="F45" s="10"/>
      <c r="G45" s="10"/>
      <c r="H45" s="62"/>
      <c r="I45" s="63"/>
      <c r="J45" s="63"/>
      <c r="K45" s="63"/>
      <c r="M45" s="30" t="s">
        <v>60</v>
      </c>
      <c r="N45" s="30">
        <f>(N40*N39^3)/12</f>
        <v>67.5</v>
      </c>
      <c r="O45" s="30" t="s">
        <v>62</v>
      </c>
      <c r="P45" s="31" t="s">
        <v>61</v>
      </c>
      <c r="Q45" s="18"/>
      <c r="R45" s="27"/>
      <c r="S45" s="27"/>
      <c r="T45" s="24"/>
    </row>
    <row r="46" spans="5:20" ht="14.4" x14ac:dyDescent="0.3">
      <c r="E46" s="10"/>
      <c r="F46" s="10"/>
      <c r="G46" s="10"/>
      <c r="H46" s="62"/>
      <c r="I46" s="63"/>
      <c r="J46" s="63"/>
      <c r="K46" s="63"/>
      <c r="M46" s="30" t="s">
        <v>63</v>
      </c>
      <c r="N46" s="30">
        <f>N44/N45*N39/2</f>
        <v>114.98830549234128</v>
      </c>
      <c r="O46" s="30" t="s">
        <v>64</v>
      </c>
      <c r="P46" s="31" t="s">
        <v>65</v>
      </c>
      <c r="Q46" s="18"/>
      <c r="R46" s="27"/>
      <c r="S46" s="27"/>
      <c r="T46" s="24"/>
    </row>
    <row r="47" spans="5:20" ht="14.4" x14ac:dyDescent="0.3">
      <c r="E47" s="10"/>
      <c r="F47" s="10"/>
      <c r="G47" s="10"/>
      <c r="H47" s="62"/>
      <c r="I47" s="63"/>
      <c r="J47" s="63"/>
      <c r="K47" s="63"/>
      <c r="M47" s="30" t="s">
        <v>68</v>
      </c>
      <c r="N47" t="str">
        <f>IF(N46*N37&lt;N41,"Oui","Non")</f>
        <v>Oui</v>
      </c>
      <c r="O47" s="30"/>
      <c r="P47" s="31" t="s">
        <v>69</v>
      </c>
      <c r="Q47" s="18"/>
      <c r="R47" s="27"/>
      <c r="S47" s="27"/>
      <c r="T47" s="24"/>
    </row>
    <row r="48" spans="5:20" x14ac:dyDescent="0.25">
      <c r="E48" s="10"/>
      <c r="F48" s="10"/>
      <c r="G48" s="10"/>
      <c r="H48" s="62"/>
      <c r="I48" s="63"/>
      <c r="J48" s="63"/>
      <c r="K48" s="63"/>
      <c r="M48" s="14"/>
      <c r="N48" s="14"/>
      <c r="O48" s="14"/>
      <c r="P48" s="15"/>
      <c r="Q48" s="17"/>
      <c r="R48" s="27"/>
      <c r="S48" s="27"/>
      <c r="T48" s="24"/>
    </row>
    <row r="49" spans="5:20" x14ac:dyDescent="0.25">
      <c r="E49" s="10"/>
      <c r="F49" s="10"/>
      <c r="G49" s="10"/>
      <c r="H49" s="62"/>
      <c r="I49" s="63"/>
      <c r="J49" s="63"/>
      <c r="K49" s="63"/>
      <c r="R49" s="23"/>
      <c r="S49" s="23"/>
      <c r="T49" s="24"/>
    </row>
    <row r="50" spans="5:20" x14ac:dyDescent="0.25">
      <c r="E50" s="10"/>
      <c r="F50" s="10"/>
      <c r="G50" s="10"/>
      <c r="H50" s="62"/>
      <c r="I50" s="63"/>
      <c r="J50" s="63"/>
      <c r="K50" s="63"/>
      <c r="M50" s="57" t="s">
        <v>70</v>
      </c>
      <c r="N50" s="58"/>
      <c r="O50" s="58"/>
      <c r="P50" s="59"/>
      <c r="Q50" s="22"/>
      <c r="R50" s="27"/>
      <c r="S50" s="27"/>
      <c r="T50" s="24"/>
    </row>
    <row r="51" spans="5:20" ht="14.4" x14ac:dyDescent="0.3">
      <c r="M51" s="32" t="s">
        <v>81</v>
      </c>
      <c r="N51" s="32">
        <v>5</v>
      </c>
      <c r="O51" s="32" t="s">
        <v>6</v>
      </c>
      <c r="P51" s="32" t="s">
        <v>82</v>
      </c>
      <c r="R51" s="23"/>
      <c r="S51" s="23"/>
      <c r="T51" s="24"/>
    </row>
    <row r="52" spans="5:20" ht="14.4" x14ac:dyDescent="0.3">
      <c r="M52" s="32" t="s">
        <v>12</v>
      </c>
      <c r="N52" s="32">
        <f>B4</f>
        <v>3.6</v>
      </c>
      <c r="O52" s="32" t="s">
        <v>6</v>
      </c>
      <c r="P52" s="32" t="s">
        <v>71</v>
      </c>
    </row>
    <row r="53" spans="5:20" ht="14.4" x14ac:dyDescent="0.3">
      <c r="M53" s="32" t="s">
        <v>9</v>
      </c>
      <c r="N53" s="32">
        <v>9.81</v>
      </c>
      <c r="O53" s="32" t="s">
        <v>10</v>
      </c>
      <c r="P53" s="32" t="s">
        <v>75</v>
      </c>
    </row>
    <row r="54" spans="5:20" ht="14.4" x14ac:dyDescent="0.3">
      <c r="M54" s="32" t="s">
        <v>72</v>
      </c>
      <c r="N54" s="32">
        <f>ATAN(B6)</f>
        <v>4.9958395721942765E-2</v>
      </c>
      <c r="O54" s="32" t="s">
        <v>77</v>
      </c>
      <c r="P54" s="32" t="s">
        <v>76</v>
      </c>
    </row>
    <row r="55" spans="5:20" ht="14.4" x14ac:dyDescent="0.3">
      <c r="M55" s="32" t="s">
        <v>73</v>
      </c>
      <c r="N55" s="32">
        <v>10</v>
      </c>
      <c r="O55" s="32"/>
      <c r="P55" s="32" t="s">
        <v>74</v>
      </c>
    </row>
    <row r="56" spans="5:20" ht="14.4" x14ac:dyDescent="0.3">
      <c r="M56" s="32" t="s">
        <v>66</v>
      </c>
      <c r="N56" s="32">
        <v>2.5</v>
      </c>
      <c r="O56" s="32"/>
      <c r="P56" s="32" t="s">
        <v>67</v>
      </c>
    </row>
    <row r="57" spans="5:20" ht="14.4" x14ac:dyDescent="0.3">
      <c r="M57" s="32" t="s">
        <v>78</v>
      </c>
      <c r="N57" s="32">
        <v>1</v>
      </c>
      <c r="O57" s="32" t="s">
        <v>15</v>
      </c>
      <c r="P57" s="32" t="s">
        <v>79</v>
      </c>
    </row>
    <row r="58" spans="5:20" ht="14.4" x14ac:dyDescent="0.3">
      <c r="M58" s="32" t="s">
        <v>49</v>
      </c>
      <c r="N58" s="32">
        <v>0.1</v>
      </c>
      <c r="O58" s="32" t="s">
        <v>20</v>
      </c>
      <c r="P58" s="32" t="s">
        <v>80</v>
      </c>
    </row>
    <row r="59" spans="5:20" ht="14.4" x14ac:dyDescent="0.3">
      <c r="M59" s="32" t="s">
        <v>37</v>
      </c>
      <c r="N59" s="32">
        <v>0.2</v>
      </c>
      <c r="O59" s="32"/>
      <c r="P59" s="32" t="s">
        <v>83</v>
      </c>
    </row>
    <row r="60" spans="5:20" ht="14.4" x14ac:dyDescent="0.3">
      <c r="M60" s="30" t="s">
        <v>24</v>
      </c>
      <c r="N60" s="30">
        <f>(N52*N53*SIN(N54)*N55)</f>
        <v>17.635968799904983</v>
      </c>
      <c r="O60" s="30" t="s">
        <v>24</v>
      </c>
      <c r="P60" s="30" t="s">
        <v>84</v>
      </c>
    </row>
    <row r="61" spans="5:20" ht="14.4" x14ac:dyDescent="0.3">
      <c r="M61" s="30" t="s">
        <v>47</v>
      </c>
      <c r="N61" s="30">
        <f>N57/N58</f>
        <v>10</v>
      </c>
      <c r="O61" s="30" t="s">
        <v>10</v>
      </c>
      <c r="P61" s="30" t="s">
        <v>88</v>
      </c>
    </row>
    <row r="62" spans="5:20" ht="14.4" x14ac:dyDescent="0.3">
      <c r="M62" s="30" t="s">
        <v>85</v>
      </c>
      <c r="N62" s="30">
        <f>((N51+N52)*N61+N60)*N56</f>
        <v>259.08992199976245</v>
      </c>
      <c r="O62" s="30" t="s">
        <v>24</v>
      </c>
      <c r="P62" s="30" t="s">
        <v>23</v>
      </c>
    </row>
    <row r="63" spans="5:20" ht="14.4" x14ac:dyDescent="0.3">
      <c r="M63" s="30" t="s">
        <v>86</v>
      </c>
      <c r="N63" s="30">
        <f>2*B5</f>
        <v>360</v>
      </c>
      <c r="O63" s="30"/>
      <c r="P63" s="30" t="s">
        <v>87</v>
      </c>
    </row>
    <row r="64" spans="5:20" x14ac:dyDescent="0.25">
      <c r="M64" s="34" t="s">
        <v>89</v>
      </c>
      <c r="N64" s="54" t="s">
        <v>90</v>
      </c>
      <c r="O64" s="54"/>
      <c r="P64" s="34" t="s">
        <v>91</v>
      </c>
    </row>
  </sheetData>
  <mergeCells count="27">
    <mergeCell ref="H39:K39"/>
    <mergeCell ref="H50:K50"/>
    <mergeCell ref="H49:K49"/>
    <mergeCell ref="H48:K48"/>
    <mergeCell ref="H47:K47"/>
    <mergeCell ref="H46:K46"/>
    <mergeCell ref="H45:K45"/>
    <mergeCell ref="H44:K44"/>
    <mergeCell ref="H43:K43"/>
    <mergeCell ref="H42:K42"/>
    <mergeCell ref="H41:K41"/>
    <mergeCell ref="H40:K40"/>
    <mergeCell ref="A1:C2"/>
    <mergeCell ref="E1:K1"/>
    <mergeCell ref="E26:K26"/>
    <mergeCell ref="F28:J29"/>
    <mergeCell ref="F31:J31"/>
    <mergeCell ref="H34:K34"/>
    <mergeCell ref="H38:K38"/>
    <mergeCell ref="H37:K37"/>
    <mergeCell ref="H36:K36"/>
    <mergeCell ref="H35:K35"/>
    <mergeCell ref="N64:O64"/>
    <mergeCell ref="M25:P25"/>
    <mergeCell ref="M28:P29"/>
    <mergeCell ref="M50:P50"/>
    <mergeCell ref="M1:P1"/>
  </mergeCells>
  <conditionalFormatting sqref="N47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F28:J29" r:id="rId1" display="Hypotheses et details" xr:uid="{00000000-0004-0000-0000-000000000000}"/>
  </hyperlink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76AD-5EC5-4012-8768-799E831EC14B}">
  <dimension ref="A1:M40"/>
  <sheetViews>
    <sheetView tabSelected="1" workbookViewId="0">
      <selection activeCell="B30" sqref="B30"/>
    </sheetView>
  </sheetViews>
  <sheetFormatPr baseColWidth="10" defaultRowHeight="13.8" x14ac:dyDescent="0.25"/>
  <cols>
    <col min="1" max="1" width="36.796875" customWidth="1"/>
    <col min="5" max="5" width="30.09765625" customWidth="1"/>
    <col min="6" max="6" width="10.3984375" customWidth="1"/>
    <col min="9" max="9" width="36.3984375" bestFit="1" customWidth="1"/>
  </cols>
  <sheetData>
    <row r="1" spans="1:13" ht="14.4" x14ac:dyDescent="0.3">
      <c r="A1" s="35" t="s">
        <v>31</v>
      </c>
      <c r="B1" s="35" t="s">
        <v>92</v>
      </c>
      <c r="C1" s="35" t="s">
        <v>93</v>
      </c>
      <c r="D1" s="36"/>
      <c r="E1" s="37" t="s">
        <v>31</v>
      </c>
      <c r="F1" s="37" t="s">
        <v>92</v>
      </c>
      <c r="G1" s="37" t="s">
        <v>93</v>
      </c>
      <c r="H1" s="36"/>
      <c r="I1" s="38" t="s">
        <v>94</v>
      </c>
      <c r="J1" s="36"/>
      <c r="K1" s="36"/>
      <c r="L1" s="36"/>
      <c r="M1" s="36"/>
    </row>
    <row r="2" spans="1:13" ht="14.4" x14ac:dyDescent="0.3">
      <c r="A2" s="32" t="s">
        <v>95</v>
      </c>
      <c r="B2" s="32">
        <v>180</v>
      </c>
      <c r="C2" s="32" t="s">
        <v>20</v>
      </c>
      <c r="D2" s="36"/>
      <c r="E2" s="39" t="s">
        <v>96</v>
      </c>
      <c r="F2" s="39">
        <f>F8*F7*60*0.001</f>
        <v>2.5694999999999997</v>
      </c>
      <c r="G2" s="39" t="s">
        <v>15</v>
      </c>
      <c r="H2" s="36"/>
      <c r="I2" s="32" t="s">
        <v>97</v>
      </c>
      <c r="J2" s="36"/>
      <c r="K2" s="36"/>
      <c r="L2" s="36"/>
      <c r="M2" s="36"/>
    </row>
    <row r="3" spans="1:13" ht="15" thickBot="1" x14ac:dyDescent="0.35">
      <c r="A3" s="32" t="s">
        <v>98</v>
      </c>
      <c r="B3" s="32">
        <v>60</v>
      </c>
      <c r="C3" s="32" t="s">
        <v>99</v>
      </c>
      <c r="D3" s="36"/>
      <c r="E3" s="39" t="s">
        <v>100</v>
      </c>
      <c r="F3" s="39">
        <v>10</v>
      </c>
      <c r="G3" s="39" t="s">
        <v>22</v>
      </c>
      <c r="H3" s="36"/>
      <c r="I3" s="30" t="s">
        <v>101</v>
      </c>
      <c r="J3" s="36"/>
      <c r="K3" s="36"/>
      <c r="L3" s="36"/>
      <c r="M3" s="36"/>
    </row>
    <row r="4" spans="1:13" ht="15.6" thickTop="1" thickBot="1" x14ac:dyDescent="0.35">
      <c r="A4" s="36"/>
      <c r="B4" s="36"/>
      <c r="C4" s="36"/>
      <c r="D4" s="36"/>
      <c r="E4" s="39" t="s">
        <v>102</v>
      </c>
      <c r="F4" s="39">
        <v>0.8</v>
      </c>
      <c r="G4" s="39" t="s">
        <v>15</v>
      </c>
      <c r="H4" s="36"/>
      <c r="I4" s="40" t="s">
        <v>103</v>
      </c>
      <c r="J4" s="36"/>
      <c r="K4" s="36"/>
      <c r="L4" s="36"/>
      <c r="M4" s="36"/>
    </row>
    <row r="5" spans="1:13" ht="15" thickTop="1" x14ac:dyDescent="0.3">
      <c r="A5" s="39" t="s">
        <v>104</v>
      </c>
      <c r="B5" s="39">
        <v>0.14000000000000001</v>
      </c>
      <c r="C5" s="39" t="s">
        <v>12</v>
      </c>
      <c r="D5" s="36"/>
      <c r="E5" s="39" t="s">
        <v>105</v>
      </c>
      <c r="F5" s="39">
        <v>10</v>
      </c>
      <c r="G5" s="39" t="s">
        <v>22</v>
      </c>
      <c r="H5" s="36"/>
      <c r="I5" s="41" t="s">
        <v>106</v>
      </c>
      <c r="J5" s="36"/>
      <c r="K5" s="36"/>
      <c r="L5" s="36"/>
      <c r="M5" s="36"/>
    </row>
    <row r="6" spans="1:13" ht="14.4" x14ac:dyDescent="0.3">
      <c r="A6" s="39" t="s">
        <v>107</v>
      </c>
      <c r="B6" s="39">
        <v>2.5000000000000001E-2</v>
      </c>
      <c r="C6" s="39" t="s">
        <v>12</v>
      </c>
      <c r="D6" s="36"/>
      <c r="E6" s="36"/>
      <c r="F6" s="36"/>
      <c r="G6" s="36"/>
      <c r="H6" s="36"/>
      <c r="I6" s="42" t="s">
        <v>108</v>
      </c>
      <c r="J6" s="36"/>
      <c r="K6" s="36"/>
      <c r="L6" s="36"/>
      <c r="M6" s="36"/>
    </row>
    <row r="7" spans="1:13" x14ac:dyDescent="0.25">
      <c r="A7" s="39" t="s">
        <v>109</v>
      </c>
      <c r="B7" s="39">
        <v>0.51500000000000001</v>
      </c>
      <c r="C7" s="39" t="s">
        <v>12</v>
      </c>
      <c r="D7" s="36"/>
      <c r="E7" s="39" t="s">
        <v>110</v>
      </c>
      <c r="F7" s="39">
        <v>7.4999999999999997E-2</v>
      </c>
      <c r="G7" s="39" t="s">
        <v>111</v>
      </c>
      <c r="H7" s="36"/>
      <c r="I7" s="39" t="s">
        <v>112</v>
      </c>
      <c r="J7" s="36"/>
      <c r="K7" s="36"/>
      <c r="L7" s="36"/>
      <c r="M7" s="36"/>
    </row>
    <row r="8" spans="1:13" x14ac:dyDescent="0.25">
      <c r="A8" s="36"/>
      <c r="B8" s="36"/>
      <c r="C8" s="36"/>
      <c r="D8" s="36"/>
      <c r="E8" s="39" t="s">
        <v>113</v>
      </c>
      <c r="F8" s="39">
        <v>571</v>
      </c>
      <c r="G8" s="39" t="s">
        <v>114</v>
      </c>
      <c r="H8" s="36"/>
      <c r="I8" s="36"/>
      <c r="J8" s="36"/>
      <c r="K8" s="36"/>
      <c r="L8" s="36"/>
      <c r="M8" s="36"/>
    </row>
    <row r="9" spans="1:13" x14ac:dyDescent="0.25">
      <c r="A9" s="39" t="s">
        <v>115</v>
      </c>
      <c r="B9" s="39">
        <v>0.5</v>
      </c>
      <c r="C9" s="39" t="s">
        <v>20</v>
      </c>
      <c r="D9" s="36"/>
      <c r="E9" s="36"/>
      <c r="F9" s="36"/>
      <c r="G9" s="43"/>
      <c r="H9" s="36"/>
      <c r="I9" s="36"/>
      <c r="J9" s="36"/>
      <c r="K9" s="36"/>
      <c r="L9" s="36"/>
      <c r="M9" s="36"/>
    </row>
    <row r="10" spans="1:13" ht="14.4" x14ac:dyDescent="0.3">
      <c r="A10" s="39" t="s">
        <v>116</v>
      </c>
      <c r="B10" s="39">
        <v>0.5</v>
      </c>
      <c r="C10" s="39" t="s">
        <v>20</v>
      </c>
      <c r="D10" s="36"/>
      <c r="E10" s="42" t="s">
        <v>117</v>
      </c>
      <c r="F10" s="42"/>
      <c r="G10" s="42"/>
      <c r="H10" s="36"/>
      <c r="I10" s="36"/>
      <c r="J10" s="36"/>
      <c r="K10" s="36"/>
      <c r="L10" s="36"/>
      <c r="M10" s="36"/>
    </row>
    <row r="11" spans="1:13" ht="14.4" x14ac:dyDescent="0.3">
      <c r="A11" s="36"/>
      <c r="B11" s="36"/>
      <c r="C11" s="36"/>
      <c r="D11" s="36"/>
      <c r="E11" s="30" t="s">
        <v>118</v>
      </c>
      <c r="F11" s="30">
        <f>F4/F5</f>
        <v>0.08</v>
      </c>
      <c r="G11" s="30" t="s">
        <v>20</v>
      </c>
      <c r="H11" s="36"/>
      <c r="I11" s="36"/>
      <c r="J11" s="36"/>
      <c r="K11" s="36"/>
      <c r="L11" s="36"/>
      <c r="M11" s="36"/>
    </row>
    <row r="12" spans="1:13" ht="14.4" x14ac:dyDescent="0.3">
      <c r="A12" s="30" t="s">
        <v>119</v>
      </c>
      <c r="B12" s="44">
        <f>F17</f>
        <v>0.255</v>
      </c>
      <c r="C12" s="30" t="s">
        <v>20</v>
      </c>
      <c r="D12" s="36"/>
      <c r="E12" s="30" t="s">
        <v>120</v>
      </c>
      <c r="F12" s="30">
        <f>0.5*F5*F11*F11</f>
        <v>3.2000000000000001E-2</v>
      </c>
      <c r="G12" s="30" t="s">
        <v>12</v>
      </c>
      <c r="H12" s="36"/>
      <c r="I12" s="36"/>
      <c r="J12" s="36"/>
      <c r="K12" s="36"/>
      <c r="L12" s="36"/>
      <c r="M12" s="36"/>
    </row>
    <row r="13" spans="1:13" ht="14.4" x14ac:dyDescent="0.3">
      <c r="A13" s="30" t="s">
        <v>121</v>
      </c>
      <c r="B13" s="30">
        <f>F14</f>
        <v>0.1</v>
      </c>
      <c r="C13" s="30" t="s">
        <v>20</v>
      </c>
      <c r="D13" s="36"/>
      <c r="E13" s="30" t="s">
        <v>122</v>
      </c>
      <c r="F13" s="30" t="str">
        <f>IF(2*F12 &lt;B6,"TRAPEZE","TRIANGLE")</f>
        <v>TRIANGLE</v>
      </c>
      <c r="G13" s="30" t="s">
        <v>99</v>
      </c>
      <c r="H13" s="36"/>
      <c r="I13" s="36"/>
      <c r="J13" s="36"/>
      <c r="K13" s="36"/>
      <c r="L13" s="36"/>
      <c r="M13" s="36"/>
    </row>
    <row r="14" spans="1:13" ht="14.4" x14ac:dyDescent="0.3">
      <c r="A14" s="30" t="s">
        <v>123</v>
      </c>
      <c r="B14" s="30">
        <f>F22</f>
        <v>0.4538722287164087</v>
      </c>
      <c r="C14" s="30" t="s">
        <v>20</v>
      </c>
      <c r="D14" s="36"/>
      <c r="E14" s="41" t="s">
        <v>124</v>
      </c>
      <c r="F14" s="41">
        <f>IF(F13="TRIANGLE",2*SQRT(B6/F5),"PROBLEME")</f>
        <v>0.1</v>
      </c>
      <c r="G14" s="41" t="s">
        <v>20</v>
      </c>
      <c r="H14" s="36"/>
      <c r="I14" s="36"/>
      <c r="J14" s="36"/>
      <c r="K14" s="36"/>
      <c r="L14" s="36"/>
      <c r="M14" s="36"/>
    </row>
    <row r="15" spans="1:13" ht="14.4" x14ac:dyDescent="0.3">
      <c r="A15" s="30" t="s">
        <v>125</v>
      </c>
      <c r="B15" s="44">
        <f>2*(B12+B13+B14)</f>
        <v>1.6177444574328175</v>
      </c>
      <c r="C15" s="30" t="s">
        <v>20</v>
      </c>
      <c r="D15" s="36"/>
      <c r="E15" s="42" t="s">
        <v>126</v>
      </c>
      <c r="F15" s="42"/>
      <c r="G15" s="42"/>
      <c r="H15" s="36"/>
      <c r="I15" s="36"/>
      <c r="J15" s="36"/>
      <c r="K15" s="36"/>
      <c r="L15" s="36"/>
      <c r="M15" s="36"/>
    </row>
    <row r="16" spans="1:13" ht="14.4" x14ac:dyDescent="0.3">
      <c r="A16" s="36"/>
      <c r="B16" s="36"/>
      <c r="C16" s="36"/>
      <c r="D16" s="36"/>
      <c r="E16" s="30" t="s">
        <v>122</v>
      </c>
      <c r="F16" s="30" t="str">
        <f>IF(2*F12 &lt;B5,"TRAPEZE","TRIANGLE")</f>
        <v>TRAPEZE</v>
      </c>
      <c r="G16" s="30" t="s">
        <v>99</v>
      </c>
      <c r="H16" s="36"/>
      <c r="I16" s="36"/>
      <c r="J16" s="36"/>
      <c r="K16" s="36"/>
      <c r="L16" s="36"/>
      <c r="M16" s="36"/>
    </row>
    <row r="17" spans="1:13" ht="14.4" x14ac:dyDescent="0.3">
      <c r="A17" s="30" t="s">
        <v>127</v>
      </c>
      <c r="B17" s="30">
        <f>B2/B3</f>
        <v>3</v>
      </c>
      <c r="C17" s="30" t="s">
        <v>20</v>
      </c>
      <c r="D17" s="36"/>
      <c r="E17" s="41" t="s">
        <v>128</v>
      </c>
      <c r="F17" s="41">
        <f>IF(F16="TRIANGLE",2*SQRT(B5/F5),2*F11+(B5-2*F12)/F4)</f>
        <v>0.255</v>
      </c>
      <c r="G17" s="41" t="s">
        <v>20</v>
      </c>
      <c r="H17" s="36"/>
      <c r="I17" s="36"/>
      <c r="J17" s="36"/>
      <c r="K17" s="36"/>
      <c r="L17" s="36"/>
      <c r="M17" s="36"/>
    </row>
    <row r="18" spans="1:13" ht="15" thickBot="1" x14ac:dyDescent="0.35">
      <c r="A18" s="41" t="s">
        <v>129</v>
      </c>
      <c r="B18" s="45">
        <f>B10+B9+B15</f>
        <v>2.6177444574328175</v>
      </c>
      <c r="C18" s="41" t="s">
        <v>20</v>
      </c>
      <c r="D18" s="36"/>
      <c r="E18" s="42" t="s">
        <v>130</v>
      </c>
      <c r="F18" s="42"/>
      <c r="G18" s="42"/>
      <c r="H18" s="36"/>
      <c r="I18" s="36"/>
      <c r="J18" s="36"/>
      <c r="K18" s="36"/>
      <c r="L18" s="36"/>
      <c r="M18" s="36"/>
    </row>
    <row r="19" spans="1:13" ht="15.6" thickTop="1" thickBot="1" x14ac:dyDescent="0.35">
      <c r="A19" s="40" t="s">
        <v>131</v>
      </c>
      <c r="B19" s="46" t="str">
        <f>IF(B18&lt;B17,"OK","Pas bon")</f>
        <v>OK</v>
      </c>
      <c r="C19" s="40" t="s">
        <v>99</v>
      </c>
      <c r="D19" s="36"/>
      <c r="E19" s="30" t="s">
        <v>132</v>
      </c>
      <c r="F19" s="30">
        <f>F2/F3</f>
        <v>0.25694999999999996</v>
      </c>
      <c r="G19" s="30" t="s">
        <v>20</v>
      </c>
      <c r="H19" s="36"/>
      <c r="I19" s="36"/>
      <c r="J19" s="36"/>
      <c r="K19" s="36"/>
      <c r="L19" s="36"/>
      <c r="M19" s="36"/>
    </row>
    <row r="20" spans="1:13" ht="15" thickTop="1" x14ac:dyDescent="0.3">
      <c r="A20" s="36"/>
      <c r="B20" s="36"/>
      <c r="C20" s="36"/>
      <c r="D20" s="36"/>
      <c r="E20" s="30" t="s">
        <v>120</v>
      </c>
      <c r="F20" s="30">
        <f>0.5*F3*F19*F19</f>
        <v>0.3301165124999999</v>
      </c>
      <c r="G20" s="30" t="s">
        <v>12</v>
      </c>
      <c r="H20" s="36"/>
      <c r="I20" s="36"/>
      <c r="J20" s="36"/>
      <c r="K20" s="36"/>
      <c r="L20" s="36"/>
      <c r="M20" s="36"/>
    </row>
    <row r="21" spans="1:13" ht="14.4" x14ac:dyDescent="0.3">
      <c r="A21" s="36"/>
      <c r="B21" s="36"/>
      <c r="C21" s="36"/>
      <c r="D21" s="36"/>
      <c r="E21" s="30" t="s">
        <v>122</v>
      </c>
      <c r="F21" s="30" t="str">
        <f>IF(2*F20 &lt;B7,"TRAPEZE","TRIANGLE")</f>
        <v>TRIANGLE</v>
      </c>
      <c r="G21" s="30" t="s">
        <v>99</v>
      </c>
      <c r="H21" s="36"/>
      <c r="I21" s="36"/>
      <c r="J21" s="36"/>
      <c r="K21" s="36"/>
      <c r="L21" s="36"/>
      <c r="M21" s="36"/>
    </row>
    <row r="22" spans="1:13" ht="14.4" x14ac:dyDescent="0.3">
      <c r="A22" s="36"/>
      <c r="B22" s="36"/>
      <c r="C22" s="36"/>
      <c r="D22" s="36"/>
      <c r="E22" s="41" t="s">
        <v>133</v>
      </c>
      <c r="F22" s="41">
        <f>IF(F21="TRIANGLE",2*SQRT(B7/F3),"PROBLEME")</f>
        <v>0.4538722287164087</v>
      </c>
      <c r="G22" s="41" t="s">
        <v>20</v>
      </c>
      <c r="H22" s="36"/>
      <c r="I22" s="36"/>
      <c r="J22" s="36"/>
      <c r="K22" s="36"/>
      <c r="L22" s="36"/>
      <c r="M22" s="36"/>
    </row>
    <row r="23" spans="1:13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29" spans="1:13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1:13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3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1:13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spans="1:13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1:13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03CE-B566-41C9-8838-E12FCE41EC10}">
  <dimension ref="A1:T95"/>
  <sheetViews>
    <sheetView workbookViewId="0">
      <selection activeCell="E20" sqref="E20"/>
    </sheetView>
  </sheetViews>
  <sheetFormatPr baseColWidth="10" defaultRowHeight="13.8" x14ac:dyDescent="0.25"/>
  <cols>
    <col min="1" max="1" width="24.5" customWidth="1"/>
    <col min="5" max="5" width="25" customWidth="1"/>
  </cols>
  <sheetData>
    <row r="1" spans="1:20" ht="14.4" x14ac:dyDescent="0.3">
      <c r="A1" s="35" t="s">
        <v>31</v>
      </c>
      <c r="B1" s="35" t="s">
        <v>92</v>
      </c>
      <c r="C1" s="35" t="s">
        <v>93</v>
      </c>
      <c r="D1" s="36"/>
      <c r="E1" s="35" t="s">
        <v>31</v>
      </c>
      <c r="F1" s="35" t="s">
        <v>92</v>
      </c>
      <c r="G1" s="35" t="s">
        <v>93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5">
      <c r="A2" s="39" t="s">
        <v>134</v>
      </c>
      <c r="B2" s="39">
        <v>3.6</v>
      </c>
      <c r="C2" s="39" t="s">
        <v>6</v>
      </c>
      <c r="D2" s="36"/>
      <c r="E2" s="39" t="s">
        <v>135</v>
      </c>
      <c r="F2" s="47">
        <f>B22*B18</f>
        <v>44.145000000000003</v>
      </c>
      <c r="G2" s="39" t="s">
        <v>136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4.4" x14ac:dyDescent="0.3">
      <c r="A3" s="39" t="s">
        <v>137</v>
      </c>
      <c r="B3" s="39">
        <v>0.77</v>
      </c>
      <c r="C3" s="39" t="s">
        <v>6</v>
      </c>
      <c r="D3" s="36"/>
      <c r="E3" s="39" t="s">
        <v>138</v>
      </c>
      <c r="F3" s="47">
        <f>B18*B27</f>
        <v>618.9682519120023</v>
      </c>
      <c r="G3" s="39" t="s">
        <v>136</v>
      </c>
      <c r="H3" s="36"/>
      <c r="I3" s="36"/>
      <c r="J3" s="36"/>
      <c r="K3" s="48"/>
      <c r="L3" s="36"/>
      <c r="M3" s="36"/>
      <c r="N3" s="36"/>
      <c r="O3" s="36"/>
      <c r="P3" s="36"/>
      <c r="Q3" s="36"/>
      <c r="R3" s="36"/>
      <c r="S3" s="36"/>
      <c r="T3" s="36"/>
    </row>
    <row r="4" spans="1:20" ht="14.4" x14ac:dyDescent="0.3">
      <c r="A4" s="39" t="s">
        <v>139</v>
      </c>
      <c r="B4" s="39">
        <v>3</v>
      </c>
      <c r="C4" s="39" t="s">
        <v>99</v>
      </c>
      <c r="D4" s="36"/>
      <c r="E4" s="36"/>
      <c r="F4" s="36"/>
      <c r="G4" s="36"/>
      <c r="H4" s="36"/>
      <c r="I4" s="36"/>
      <c r="J4" s="36"/>
      <c r="K4" s="36"/>
      <c r="L4" s="49"/>
      <c r="M4" s="49"/>
      <c r="N4" s="36"/>
      <c r="O4" s="36"/>
      <c r="P4" s="36"/>
      <c r="Q4" s="36"/>
      <c r="R4" s="36"/>
      <c r="S4" s="36"/>
      <c r="T4" s="36"/>
    </row>
    <row r="5" spans="1:20" x14ac:dyDescent="0.25">
      <c r="A5" s="39" t="s">
        <v>140</v>
      </c>
      <c r="B5" s="39">
        <v>5.6</v>
      </c>
      <c r="C5" s="39" t="s">
        <v>6</v>
      </c>
      <c r="D5" s="36"/>
      <c r="E5" s="39" t="s">
        <v>141</v>
      </c>
      <c r="F5" s="39">
        <v>750</v>
      </c>
      <c r="G5" s="39" t="s">
        <v>136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x14ac:dyDescent="0.25">
      <c r="A6" s="39" t="s">
        <v>142</v>
      </c>
      <c r="B6" s="39">
        <v>3</v>
      </c>
      <c r="C6" s="39" t="s">
        <v>6</v>
      </c>
      <c r="D6" s="36"/>
      <c r="E6" s="39" t="s">
        <v>143</v>
      </c>
      <c r="F6" s="39">
        <v>840</v>
      </c>
      <c r="G6" s="39" t="s">
        <v>136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ht="14.4" thickBot="1" x14ac:dyDescent="0.3">
      <c r="A7" s="39" t="s">
        <v>144</v>
      </c>
      <c r="B7" s="39">
        <f>B6+B5+B4*B3</f>
        <v>10.91</v>
      </c>
      <c r="C7" s="39" t="s">
        <v>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ht="15.6" thickTop="1" thickBot="1" x14ac:dyDescent="0.35">
      <c r="A8" s="36"/>
      <c r="B8" s="36"/>
      <c r="C8" s="36"/>
      <c r="D8" s="36"/>
      <c r="E8" s="40" t="s">
        <v>145</v>
      </c>
      <c r="F8" s="40" t="str">
        <f>IF(F2&lt;F5,"OK","PROBLEME")</f>
        <v>OK</v>
      </c>
      <c r="G8" s="40" t="s">
        <v>99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ht="15.6" thickTop="1" thickBot="1" x14ac:dyDescent="0.35">
      <c r="A9" s="39" t="s">
        <v>104</v>
      </c>
      <c r="B9" s="39">
        <v>0.14000000000000001</v>
      </c>
      <c r="C9" s="39" t="s">
        <v>12</v>
      </c>
      <c r="D9" s="36"/>
      <c r="E9" s="40" t="s">
        <v>146</v>
      </c>
      <c r="F9" s="40" t="str">
        <f>IF(F3&lt;F6,"OK","PROBLEME")</f>
        <v>OK</v>
      </c>
      <c r="G9" s="40" t="s">
        <v>99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 ht="14.4" thickTop="1" x14ac:dyDescent="0.25">
      <c r="A10" s="39" t="s">
        <v>107</v>
      </c>
      <c r="B10" s="39">
        <v>2.5000000000000001E-2</v>
      </c>
      <c r="C10" s="39" t="s">
        <v>12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x14ac:dyDescent="0.25">
      <c r="A11" s="39" t="s">
        <v>109</v>
      </c>
      <c r="B11" s="39">
        <v>0.51500000000000001</v>
      </c>
      <c r="C11" s="39" t="s">
        <v>12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x14ac:dyDescent="0.25">
      <c r="A12" s="39" t="s">
        <v>100</v>
      </c>
      <c r="B12" s="39">
        <f>'[1]Translation - Temps de cycle'!F3</f>
        <v>10</v>
      </c>
      <c r="C12" s="39" t="s">
        <v>22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 ht="14.4" x14ac:dyDescent="0.3">
      <c r="A14" s="50" t="s">
        <v>119</v>
      </c>
      <c r="B14" s="51">
        <f>'[1]Translation - Temps de cycle'!B12</f>
        <v>0.255</v>
      </c>
      <c r="C14" s="50" t="s">
        <v>20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14.4" x14ac:dyDescent="0.3">
      <c r="A15" s="50" t="s">
        <v>121</v>
      </c>
      <c r="B15" s="50">
        <f>'[1]Translation - Temps de cycle'!B13</f>
        <v>0.1</v>
      </c>
      <c r="C15" s="50" t="s">
        <v>20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ht="14.4" x14ac:dyDescent="0.3">
      <c r="A16" s="50" t="s">
        <v>123</v>
      </c>
      <c r="B16" s="50">
        <f>'[1]Translation - Temps de cycle'!B14</f>
        <v>0.4538722287164087</v>
      </c>
      <c r="C16" s="50" t="s">
        <v>20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4.4" x14ac:dyDescent="0.3">
      <c r="A17" s="52"/>
      <c r="B17" s="52"/>
      <c r="C17" s="52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14.4" x14ac:dyDescent="0.3">
      <c r="A18" s="53" t="s">
        <v>147</v>
      </c>
      <c r="B18" s="53">
        <v>5</v>
      </c>
      <c r="C18" s="53" t="s">
        <v>99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14.4" x14ac:dyDescent="0.3">
      <c r="A20" s="42" t="s">
        <v>117</v>
      </c>
      <c r="B20" s="42"/>
      <c r="C20" s="42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4.4" x14ac:dyDescent="0.3">
      <c r="A21" s="30" t="s">
        <v>17</v>
      </c>
      <c r="B21" s="30">
        <f>B10*9.81*B2</f>
        <v>0.88290000000000013</v>
      </c>
      <c r="C21" s="30" t="s">
        <v>18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14.4" x14ac:dyDescent="0.3">
      <c r="A22" s="30" t="s">
        <v>148</v>
      </c>
      <c r="B22" s="30">
        <f>B21/B15</f>
        <v>8.8290000000000006</v>
      </c>
      <c r="C22" s="30" t="s">
        <v>136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ht="14.4" x14ac:dyDescent="0.3">
      <c r="A24" s="42" t="s">
        <v>130</v>
      </c>
      <c r="B24" s="42"/>
      <c r="C24" s="42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4.4" x14ac:dyDescent="0.3">
      <c r="A25" s="30" t="s">
        <v>149</v>
      </c>
      <c r="B25" s="30">
        <f>B12*B7</f>
        <v>109.1</v>
      </c>
      <c r="C25" s="30" t="s">
        <v>24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ht="14.4" x14ac:dyDescent="0.3">
      <c r="A26" s="30" t="s">
        <v>17</v>
      </c>
      <c r="B26" s="30">
        <f>B11*B25</f>
        <v>56.186499999999995</v>
      </c>
      <c r="C26" s="30" t="s">
        <v>18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4.4" x14ac:dyDescent="0.3">
      <c r="A27" s="30" t="s">
        <v>148</v>
      </c>
      <c r="B27" s="30">
        <f>B26/B16</f>
        <v>123.79365038240046</v>
      </c>
      <c r="C27" s="30" t="s">
        <v>136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20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20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20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20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Convoyeur</vt:lpstr>
      <vt:lpstr>Translation - Temps de cycle</vt:lpstr>
      <vt:lpstr>Translation - Puissance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Doppler</cp:lastModifiedBy>
  <cp:revision>4</cp:revision>
  <dcterms:created xsi:type="dcterms:W3CDTF">2021-03-22T18:15:17Z</dcterms:created>
  <dcterms:modified xsi:type="dcterms:W3CDTF">2021-05-20T19:55:02Z</dcterms:modified>
</cp:coreProperties>
</file>