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8800" windowHeight="12435"/>
  </bookViews>
  <sheets>
    <sheet name="Потребность_19.10.2020" sheetId="1" r:id="rId1"/>
    <sheet name="Лист1" sheetId="2" r:id="rId2"/>
  </sheets>
  <definedNames>
    <definedName name="_xlnm._FilterDatabase" localSheetId="0" hidden="1">Потребность_19.10.2020!$A$70:$K$112</definedName>
  </definedNames>
  <calcPr calcId="152511"/>
</workbook>
</file>

<file path=xl/calcChain.xml><?xml version="1.0" encoding="utf-8"?>
<calcChain xmlns="http://schemas.openxmlformats.org/spreadsheetml/2006/main">
  <c r="G109" i="1" l="1"/>
  <c r="H109" i="1"/>
  <c r="I109" i="1"/>
  <c r="J109" i="1"/>
  <c r="I84" i="1"/>
  <c r="G84" i="1"/>
  <c r="H84" i="1"/>
  <c r="J84" i="1"/>
  <c r="H108" i="1"/>
  <c r="G108" i="1"/>
  <c r="H107" i="1"/>
  <c r="G107" i="1"/>
  <c r="H106" i="1"/>
  <c r="G106" i="1"/>
  <c r="H103" i="1"/>
  <c r="G103" i="1"/>
  <c r="H99" i="1"/>
  <c r="G99" i="1"/>
  <c r="H97" i="1"/>
  <c r="G97" i="1"/>
  <c r="H96" i="1"/>
  <c r="G96" i="1"/>
  <c r="H95" i="1"/>
  <c r="G95" i="1"/>
  <c r="H94" i="1"/>
  <c r="G94" i="1"/>
  <c r="H92" i="1"/>
  <c r="G92" i="1"/>
  <c r="H91" i="1"/>
  <c r="G91" i="1"/>
  <c r="H90" i="1"/>
  <c r="G90" i="1"/>
  <c r="H87" i="1"/>
  <c r="G87" i="1"/>
  <c r="H86" i="1"/>
  <c r="G86" i="1"/>
  <c r="H85" i="1"/>
  <c r="G85" i="1"/>
  <c r="H83" i="1"/>
  <c r="G83" i="1"/>
  <c r="H82" i="1"/>
  <c r="G82" i="1"/>
  <c r="H81" i="1"/>
  <c r="G81" i="1"/>
  <c r="H80" i="1"/>
  <c r="G80" i="1"/>
  <c r="H77" i="1"/>
  <c r="G77" i="1"/>
  <c r="H76" i="1"/>
  <c r="G76" i="1"/>
  <c r="H89" i="1" l="1"/>
  <c r="G89" i="1"/>
  <c r="D116" i="1"/>
  <c r="D115" i="1"/>
  <c r="E13" i="1"/>
  <c r="F13" i="1" s="1"/>
  <c r="H13" i="1" s="1"/>
  <c r="E11" i="1"/>
  <c r="F11" i="1" s="1"/>
  <c r="H11" i="1" s="1"/>
  <c r="E9" i="1"/>
  <c r="F9" i="1" s="1"/>
  <c r="H9" i="1" s="1"/>
  <c r="E8" i="1"/>
  <c r="E5" i="1"/>
  <c r="F5" i="1" s="1"/>
  <c r="H5" i="1" s="1"/>
  <c r="E15" i="1"/>
  <c r="F15" i="1" s="1"/>
  <c r="H15" i="1" s="1"/>
  <c r="E30" i="1"/>
  <c r="E29" i="1"/>
  <c r="F29" i="1" s="1"/>
  <c r="H29" i="1" s="1"/>
  <c r="E28" i="1"/>
  <c r="F28" i="1" s="1"/>
  <c r="H28" i="1" s="1"/>
  <c r="E27" i="1"/>
  <c r="F27" i="1" s="1"/>
  <c r="E26" i="1"/>
  <c r="F26" i="1" s="1"/>
  <c r="H26" i="1" s="1"/>
  <c r="E25" i="1"/>
  <c r="F25" i="1" s="1"/>
  <c r="H25" i="1" s="1"/>
  <c r="E24" i="1"/>
  <c r="F24" i="1" s="1"/>
  <c r="H24" i="1" s="1"/>
  <c r="E23" i="1"/>
  <c r="F23" i="1" s="1"/>
  <c r="H23" i="1" s="1"/>
  <c r="E22" i="1"/>
  <c r="F22" i="1" s="1"/>
  <c r="H22" i="1" s="1"/>
  <c r="E21" i="1"/>
  <c r="F21" i="1" s="1"/>
  <c r="H21" i="1" s="1"/>
  <c r="E20" i="1"/>
  <c r="F20" i="1" s="1"/>
  <c r="H20" i="1" s="1"/>
  <c r="E19" i="1"/>
  <c r="F19" i="1" s="1"/>
  <c r="H19" i="1" s="1"/>
  <c r="E18" i="1"/>
  <c r="F18" i="1" s="1"/>
  <c r="H18" i="1" s="1"/>
  <c r="E17" i="1"/>
  <c r="F17" i="1" s="1"/>
  <c r="H17" i="1" s="1"/>
  <c r="E14" i="1"/>
  <c r="F14" i="1" s="1"/>
  <c r="H14" i="1" s="1"/>
  <c r="E10" i="1"/>
  <c r="F10" i="1" s="1"/>
  <c r="H10" i="1" s="1"/>
  <c r="F16" i="1"/>
  <c r="H16" i="1" s="1"/>
  <c r="F6" i="1"/>
  <c r="H6" i="1" s="1"/>
  <c r="F7" i="1"/>
  <c r="H7" i="1" s="1"/>
  <c r="F12" i="1"/>
  <c r="H12" i="1" s="1"/>
  <c r="I107" i="1" l="1"/>
  <c r="I97" i="1"/>
  <c r="I77" i="1"/>
  <c r="I91" i="1"/>
  <c r="I82" i="1"/>
  <c r="I83" i="1"/>
  <c r="I89" i="1"/>
  <c r="I103" i="1"/>
  <c r="I96" i="1"/>
  <c r="I81" i="1"/>
  <c r="I94" i="1"/>
  <c r="I106" i="1"/>
  <c r="I80" i="1"/>
  <c r="I87" i="1"/>
  <c r="I76" i="1"/>
  <c r="I92" i="1"/>
  <c r="I108" i="1"/>
  <c r="I90" i="1"/>
  <c r="I85" i="1"/>
  <c r="I99" i="1"/>
  <c r="I86" i="1"/>
  <c r="G71" i="1"/>
  <c r="G72" i="1"/>
  <c r="G70" i="1"/>
  <c r="H71" i="1"/>
  <c r="H72" i="1"/>
  <c r="H70" i="1"/>
  <c r="H27" i="1"/>
  <c r="G112" i="1" l="1"/>
  <c r="H112" i="1"/>
  <c r="O35" i="1" l="1"/>
  <c r="P35" i="1" s="1"/>
  <c r="O34" i="1"/>
  <c r="P34" i="1" s="1"/>
  <c r="I70" i="1" l="1"/>
  <c r="I71" i="1" l="1"/>
  <c r="I72" i="1"/>
  <c r="I112" i="1" l="1"/>
  <c r="D31" i="1"/>
  <c r="F30" i="1"/>
  <c r="H30" i="1" l="1"/>
  <c r="E31" i="1"/>
  <c r="F8" i="1"/>
  <c r="H8" i="1" s="1"/>
  <c r="F31" i="1" l="1"/>
  <c r="J33" i="1" s="1"/>
  <c r="I25" i="1" s="1"/>
  <c r="H31" i="1"/>
  <c r="I7" i="1" l="1"/>
  <c r="I8" i="1"/>
  <c r="J8" i="1" s="1"/>
  <c r="I9" i="1"/>
  <c r="I5" i="1"/>
  <c r="I14" i="1"/>
  <c r="I11" i="1"/>
  <c r="I21" i="1"/>
  <c r="I13" i="1"/>
  <c r="I22" i="1"/>
  <c r="I18" i="1"/>
  <c r="I24" i="1"/>
  <c r="I27" i="1"/>
  <c r="I26" i="1"/>
  <c r="I17" i="1"/>
  <c r="I20" i="1"/>
  <c r="I30" i="1"/>
  <c r="I28" i="1"/>
  <c r="I6" i="1"/>
  <c r="I15" i="1"/>
  <c r="I29" i="1"/>
  <c r="I16" i="1"/>
  <c r="I19" i="1"/>
  <c r="I12" i="1"/>
  <c r="I23" i="1"/>
  <c r="I10" i="1"/>
  <c r="J25" i="1"/>
  <c r="M25" i="1" s="1"/>
  <c r="K25" i="1"/>
  <c r="N25" i="1" s="1"/>
  <c r="J22" i="1" l="1"/>
  <c r="M22" i="1" s="1"/>
  <c r="K8" i="1"/>
  <c r="L8" i="1" s="1"/>
  <c r="M8" i="1"/>
  <c r="J5" i="1"/>
  <c r="M5" i="1" s="1"/>
  <c r="K20" i="1"/>
  <c r="N20" i="1" s="1"/>
  <c r="K29" i="1"/>
  <c r="N29" i="1" s="1"/>
  <c r="J26" i="1"/>
  <c r="M26" i="1" s="1"/>
  <c r="J21" i="1"/>
  <c r="M21" i="1" s="1"/>
  <c r="J7" i="1"/>
  <c r="M7" i="1" s="1"/>
  <c r="J19" i="1"/>
  <c r="M19" i="1" s="1"/>
  <c r="K18" i="1"/>
  <c r="N18" i="1" s="1"/>
  <c r="J16" i="1"/>
  <c r="M16" i="1" s="1"/>
  <c r="J9" i="1"/>
  <c r="M9" i="1" s="1"/>
  <c r="J13" i="1"/>
  <c r="M13" i="1" s="1"/>
  <c r="K27" i="1"/>
  <c r="N27" i="1" s="1"/>
  <c r="K11" i="1"/>
  <c r="N11" i="1" s="1"/>
  <c r="J30" i="1"/>
  <c r="M30" i="1" s="1"/>
  <c r="K17" i="1"/>
  <c r="N17" i="1" s="1"/>
  <c r="J10" i="1"/>
  <c r="M10" i="1" s="1"/>
  <c r="K15" i="1"/>
  <c r="N15" i="1" s="1"/>
  <c r="K23" i="1"/>
  <c r="N23" i="1" s="1"/>
  <c r="K6" i="1"/>
  <c r="N6" i="1" s="1"/>
  <c r="K12" i="1"/>
  <c r="N12" i="1" s="1"/>
  <c r="K28" i="1"/>
  <c r="N28" i="1" s="1"/>
  <c r="K24" i="1"/>
  <c r="N24" i="1" s="1"/>
  <c r="K14" i="1"/>
  <c r="N14" i="1" s="1"/>
  <c r="J17" i="1"/>
  <c r="J28" i="1"/>
  <c r="K26" i="1"/>
  <c r="N26" i="1" s="1"/>
  <c r="K7" i="1"/>
  <c r="N7" i="1" s="1"/>
  <c r="K9" i="1"/>
  <c r="N9" i="1" s="1"/>
  <c r="J11" i="1"/>
  <c r="K16" i="1"/>
  <c r="N16" i="1" s="1"/>
  <c r="J12" i="1"/>
  <c r="M12" i="1" s="1"/>
  <c r="J24" i="1"/>
  <c r="K10" i="1"/>
  <c r="N10" i="1" s="1"/>
  <c r="J15" i="1"/>
  <c r="K21" i="1"/>
  <c r="N21" i="1" s="1"/>
  <c r="K5" i="1"/>
  <c r="J27" i="1"/>
  <c r="J29" i="1"/>
  <c r="K13" i="1"/>
  <c r="N13" i="1" s="1"/>
  <c r="J23" i="1"/>
  <c r="M23" i="1" s="1"/>
  <c r="J14" i="1"/>
  <c r="I31" i="1"/>
  <c r="J6" i="1"/>
  <c r="M6" i="1" s="1"/>
  <c r="K22" i="1"/>
  <c r="N22" i="1" s="1"/>
  <c r="K30" i="1"/>
  <c r="N30" i="1" s="1"/>
  <c r="J18" i="1"/>
  <c r="J20" i="1"/>
  <c r="K19" i="1"/>
  <c r="N19" i="1" s="1"/>
  <c r="L25" i="1"/>
  <c r="O25" i="1"/>
  <c r="L29" i="1" l="1"/>
  <c r="L24" i="1"/>
  <c r="L27" i="1"/>
  <c r="L28" i="1"/>
  <c r="M27" i="1"/>
  <c r="O27" i="1" s="1"/>
  <c r="L18" i="1"/>
  <c r="O9" i="1"/>
  <c r="L20" i="1"/>
  <c r="L15" i="1"/>
  <c r="M18" i="1"/>
  <c r="O18" i="1" s="1"/>
  <c r="N8" i="1"/>
  <c r="O8" i="1" s="1"/>
  <c r="L5" i="1"/>
  <c r="M24" i="1"/>
  <c r="O24" i="1" s="1"/>
  <c r="O12" i="1"/>
  <c r="M20" i="1"/>
  <c r="O20" i="1" s="1"/>
  <c r="M14" i="1"/>
  <c r="O14" i="1" s="1"/>
  <c r="M15" i="1"/>
  <c r="O23" i="1"/>
  <c r="M28" i="1"/>
  <c r="O28" i="1" s="1"/>
  <c r="M17" i="1"/>
  <c r="O17" i="1" s="1"/>
  <c r="M11" i="1"/>
  <c r="O11" i="1" s="1"/>
  <c r="M29" i="1"/>
  <c r="O29" i="1" s="1"/>
  <c r="N5" i="1"/>
  <c r="O6" i="1"/>
  <c r="L17" i="1"/>
  <c r="L12" i="1"/>
  <c r="L6" i="1"/>
  <c r="L11" i="1"/>
  <c r="O15" i="1"/>
  <c r="O26" i="1"/>
  <c r="L26" i="1"/>
  <c r="O16" i="1"/>
  <c r="O7" i="1"/>
  <c r="L7" i="1"/>
  <c r="L16" i="1"/>
  <c r="L9" i="1"/>
  <c r="L13" i="1"/>
  <c r="O10" i="1"/>
  <c r="L30" i="1"/>
  <c r="L10" i="1"/>
  <c r="O30" i="1"/>
  <c r="O13" i="1"/>
  <c r="L19" i="1"/>
  <c r="O21" i="1"/>
  <c r="L23" i="1"/>
  <c r="O22" i="1"/>
  <c r="L21" i="1"/>
  <c r="L14" i="1"/>
  <c r="L22" i="1"/>
  <c r="K31" i="1"/>
  <c r="J31" i="1"/>
  <c r="O19" i="1"/>
  <c r="N31" i="1" l="1"/>
  <c r="O5" i="1"/>
  <c r="O31" i="1" s="1"/>
  <c r="M31" i="1"/>
  <c r="L31" i="1"/>
</calcChain>
</file>

<file path=xl/comments1.xml><?xml version="1.0" encoding="utf-8"?>
<comments xmlns="http://schemas.openxmlformats.org/spreadsheetml/2006/main">
  <authors>
    <author>Автор</author>
  </authors>
  <commentList>
    <comment ref="D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 данным офиц.сайта, но есть сомнения в достоверности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парк Нитхимпром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данные из И-нет ресурса, могут не соответствовать факту</t>
        </r>
      </text>
    </comment>
  </commentList>
</comments>
</file>

<file path=xl/sharedStrings.xml><?xml version="1.0" encoding="utf-8"?>
<sst xmlns="http://schemas.openxmlformats.org/spreadsheetml/2006/main" count="198" uniqueCount="158">
  <si>
    <t>№ п/п</t>
  </si>
  <si>
    <t>Собственник</t>
  </si>
  <si>
    <t>Общее кол-во вагонов</t>
  </si>
  <si>
    <t>ФГК</t>
  </si>
  <si>
    <t>ПГК</t>
  </si>
  <si>
    <t>Нефтетранссервис</t>
  </si>
  <si>
    <t>Трансойл</t>
  </si>
  <si>
    <t>СУЭК</t>
  </si>
  <si>
    <t>Брансвик Рейл</t>
  </si>
  <si>
    <t>Трансконтейнер</t>
  </si>
  <si>
    <t>Газпромтранс</t>
  </si>
  <si>
    <t>Railgo</t>
  </si>
  <si>
    <t>ВРК-1</t>
  </si>
  <si>
    <t>ВРК-3</t>
  </si>
  <si>
    <t>БР</t>
  </si>
  <si>
    <t>НБ</t>
  </si>
  <si>
    <t>ИТОГО</t>
  </si>
  <si>
    <t>*Коэф.отцепки – посчитал среднее знач. выкупа "Б/у неремонтопригодного ЛИТЬЯ" у собственников за 24 мес. по данным ГРС (общ.парк обслуж.вагонов = 30тыс)</t>
  </si>
  <si>
    <t>Общ. за 1 мес</t>
  </si>
  <si>
    <t>Общ. за 24мес</t>
  </si>
  <si>
    <t>Общее</t>
  </si>
  <si>
    <t>Новотранс</t>
  </si>
  <si>
    <t xml:space="preserve">ГК РТК </t>
  </si>
  <si>
    <t>Globaltrans (НПК)</t>
  </si>
  <si>
    <t xml:space="preserve">Модум-Транс </t>
  </si>
  <si>
    <t>Атлант</t>
  </si>
  <si>
    <t>Новотранс_ВРП</t>
  </si>
  <si>
    <t>ТВМ</t>
  </si>
  <si>
    <t>СГ Транс</t>
  </si>
  <si>
    <t>УГМК</t>
  </si>
  <si>
    <t>ТГК</t>
  </si>
  <si>
    <t>НХТК</t>
  </si>
  <si>
    <t>Первый промышленный оператор</t>
  </si>
  <si>
    <t xml:space="preserve"> Совфрахт</t>
  </si>
  <si>
    <t xml:space="preserve"> Евросиб СПб</t>
  </si>
  <si>
    <t>ЛУКОЙЛ-Транс</t>
  </si>
  <si>
    <t>Мечел-Транс</t>
  </si>
  <si>
    <t>Уралкалий</t>
  </si>
  <si>
    <t>РН-Транс</t>
  </si>
  <si>
    <t>Коэф. Годного ЛИТЬЯ с 1 ваг. = 3 БР / 1.5 НБ</t>
  </si>
  <si>
    <t xml:space="preserve">Образование ЛИТЬЯ с плана разделки </t>
  </si>
  <si>
    <t xml:space="preserve">Кол-во вагонов в разделку </t>
  </si>
  <si>
    <t>ПРОЧИЕ*</t>
  </si>
  <si>
    <t>Коэф.списание =</t>
  </si>
  <si>
    <t>Кол-во вагонов на телеге 25т/о и Barber</t>
  </si>
  <si>
    <t>Кол-во ваг. на тележки 18-100</t>
  </si>
  <si>
    <t>ИТОГО ваг. в обороте на 18-100</t>
  </si>
  <si>
    <t xml:space="preserve">По данным ИПЕМ среднее списание в 2021 = 26тыс. </t>
  </si>
  <si>
    <r>
      <t xml:space="preserve">В обороте Коэф. от </t>
    </r>
    <r>
      <rPr>
        <b/>
        <sz val="11"/>
        <color theme="1"/>
        <rFont val="Calibri"/>
        <family val="2"/>
        <charset val="204"/>
      </rPr>
      <t>∑</t>
    </r>
  </si>
  <si>
    <t>Коэф. Потр. на 1 ваг/мес.</t>
  </si>
  <si>
    <t>НВК</t>
  </si>
  <si>
    <t>ВРК-2</t>
  </si>
  <si>
    <r>
      <t xml:space="preserve">ВРП, </t>
    </r>
    <r>
      <rPr>
        <b/>
        <sz val="11"/>
        <color theme="1"/>
        <rFont val="Calibri"/>
        <family val="2"/>
        <charset val="204"/>
      </rPr>
      <t xml:space="preserve">∑ </t>
    </r>
    <r>
      <rPr>
        <b/>
        <sz val="11"/>
        <color theme="1"/>
        <rFont val="Calibri"/>
        <family val="2"/>
        <charset val="204"/>
        <scheme val="minor"/>
      </rPr>
      <t>кол-во</t>
    </r>
  </si>
  <si>
    <t>Потребность по ВРП на 12 мес. 2021г.</t>
  </si>
  <si>
    <t>Потребность на 12 мес. 2021г. минус Разделка</t>
  </si>
  <si>
    <t>ЗАО "ВРК"  - Красный узел (аренда)(420)</t>
  </si>
  <si>
    <t>ЗАО "ВРК"</t>
  </si>
  <si>
    <t>ВРД Мураши - Уралхим (1180)</t>
  </si>
  <si>
    <t>ООО "Уралхим-транс"</t>
  </si>
  <si>
    <t>Канашский ВРЗ</t>
  </si>
  <si>
    <t>Промтрактор-Вагон</t>
  </si>
  <si>
    <t>ЗАО "Уральская вагоноремонтная компания" (Холдинг Globaltrans)</t>
  </si>
  <si>
    <t>ООО "СМУ Бийск" (624)</t>
  </si>
  <si>
    <t>ОАО "Сибур Минеральные удобрения"</t>
  </si>
  <si>
    <t>ООО "ВРК Купино" (607)</t>
  </si>
  <si>
    <t>ООО "ТрансОйл"</t>
  </si>
  <si>
    <t>Боготольский ВРЗ (135)</t>
  </si>
  <si>
    <t>ООО "Боготольский ВРЗ"</t>
  </si>
  <si>
    <t>ООО Саяногорский ВРЗ (1115)</t>
  </si>
  <si>
    <t>ООО "Саяногорский ВРЗ"</t>
  </si>
  <si>
    <t>Общество с ограниченной ответственностью «Центр Ремонта Вагонов Абдулино» (710)</t>
  </si>
  <si>
    <t>ЗАО «ЭКСТЭС-Транспорт».</t>
  </si>
  <si>
    <t>РБ "ПЖДТ" Тольятти (1017)</t>
  </si>
  <si>
    <t>Тольяттинская РБ "Промжелдортранс" (ВолгаУралТранс)</t>
  </si>
  <si>
    <t>Тольятти (568)</t>
  </si>
  <si>
    <t>ТрансГрупп-Инвест" (568)</t>
  </si>
  <si>
    <t>Филиал ООО "ВКМ-Сервис" (1203)</t>
  </si>
  <si>
    <t>Управляющая компания "Русская корпорация транспортного машиностроения"</t>
  </si>
  <si>
    <t>Моршанск</t>
  </si>
  <si>
    <t>Брянское ВРД ООО "Ф (1296)</t>
  </si>
  <si>
    <t xml:space="preserve">F.E.Транс </t>
  </si>
  <si>
    <t>ЗАО "Железногорский ВРЗ" (180)</t>
  </si>
  <si>
    <t>ЗАО "Железногорский ВРЗ"</t>
  </si>
  <si>
    <t>ТОО ПО "СФАТ-Рязань" (1176)</t>
  </si>
  <si>
    <t>ЗАО "ОТЭКО"</t>
  </si>
  <si>
    <t>Рославльский ВРЗ</t>
  </si>
  <si>
    <t>ООО "РусТрансКом".</t>
  </si>
  <si>
    <t>Великолукский ЛРЗ (55)</t>
  </si>
  <si>
    <t>Великолукский ВРЗ</t>
  </si>
  <si>
    <t>ВЧД Волгоград (129)</t>
  </si>
  <si>
    <t>Желдорсервис   Лукойл</t>
  </si>
  <si>
    <t>Кизел-ВЧД (581)</t>
  </si>
  <si>
    <t>ОАО "Сильвинит"</t>
  </si>
  <si>
    <t>Балахонцы-ВЧД (1166)</t>
  </si>
  <si>
    <t>ООО "Урал-Калий"</t>
  </si>
  <si>
    <t>Каменск-Уральский ВРП</t>
  </si>
  <si>
    <t>Иваново (378)</t>
  </si>
  <si>
    <t xml:space="preserve">ООО БалтТрансСервис </t>
  </si>
  <si>
    <t>ВЧД Ставрополь (1312)</t>
  </si>
  <si>
    <t>ЗАО "Кав-Транс"</t>
  </si>
  <si>
    <t>ОАО "Невинномысский АЗОТ"</t>
  </si>
  <si>
    <t>Минерально-химическая компания "ЕвроХим"</t>
  </si>
  <si>
    <t>Армавир (564)</t>
  </si>
  <si>
    <t>ОАО "Армавирский завод тяжелого машиностроения"</t>
  </si>
  <si>
    <t>ООО "ВагонДорМаш" (1300)</t>
  </si>
  <si>
    <t>ООО "Вагондормаш"</t>
  </si>
  <si>
    <t>Ремонтное вагонное депо Морозовская</t>
  </si>
  <si>
    <t>ООО "Колеса РЖД"</t>
  </si>
  <si>
    <t>Рефсервис</t>
  </si>
  <si>
    <t>Воронежский ВРЗ (76)</t>
  </si>
  <si>
    <t>ОАО "Вагонреммаш"</t>
  </si>
  <si>
    <t>ОАО ВРП "Грязи" (1332)</t>
  </si>
  <si>
    <t>ООО "НТК" и ОАО "РЖД"</t>
  </si>
  <si>
    <t>ВЧД Верхн Уфалей (603)</t>
  </si>
  <si>
    <t>группа компаний УГШК</t>
  </si>
  <si>
    <t>ЗАО "УВК" г.Магнитогорск (1305)</t>
  </si>
  <si>
    <t>Орский вагонный завод</t>
  </si>
  <si>
    <t>жд</t>
  </si>
  <si>
    <t>Предприятие</t>
  </si>
  <si>
    <t>Юр.лицо или холдинг</t>
  </si>
  <si>
    <t>ЗСБ, ЗАБ, МСК</t>
  </si>
  <si>
    <t>ПРВ, КБШ, МСК, ЗАБ, ЮВС</t>
  </si>
  <si>
    <t>ВСБ ЗАБ, ЮВС</t>
  </si>
  <si>
    <t>ООО "Дальвагоноремонт"</t>
  </si>
  <si>
    <t>ЗАБ, ЮУР, МСК</t>
  </si>
  <si>
    <t>ООО «Вагонно-Ремонтный Центр»</t>
  </si>
  <si>
    <t>ЗАО «ВРП Каменск-Уральский»</t>
  </si>
  <si>
    <t>ЮУР, ДВС</t>
  </si>
  <si>
    <t>РВД Троицк, РВД Уссурийск</t>
  </si>
  <si>
    <t>Бийск, Прокопьевск, Белая, Кашира</t>
  </si>
  <si>
    <t>Черемхово, Свободненский, Готня, Магдагачи</t>
  </si>
  <si>
    <t>Арчеда, Волгоград, Тольятти, Унеча, Хилок, Орск</t>
  </si>
  <si>
    <t>ГОР</t>
  </si>
  <si>
    <t>Бузулук, Павелец, Бурея</t>
  </si>
  <si>
    <t>ЗСБ</t>
  </si>
  <si>
    <t>КРС</t>
  </si>
  <si>
    <t>КБШ</t>
  </si>
  <si>
    <t>МСК</t>
  </si>
  <si>
    <t>ОКТ</t>
  </si>
  <si>
    <t>ПРВ</t>
  </si>
  <si>
    <t>СВР</t>
  </si>
  <si>
    <t>СЕВ</t>
  </si>
  <si>
    <t>ЮВС</t>
  </si>
  <si>
    <t xml:space="preserve"> *Среднее знач.на одно Депо по ВРК. Посчитал по запросу ВРК-3 у ГРС по 16_ВРП на 3-6 мес. 2020г.</t>
  </si>
  <si>
    <t>Сумма лота</t>
  </si>
  <si>
    <t>Цена за ед., руб. б/НДС</t>
  </si>
  <si>
    <t>Возможная реализация на ДЕПО</t>
  </si>
  <si>
    <t>на всей сети РЖД</t>
  </si>
  <si>
    <r>
      <t xml:space="preserve">*По данным доклада начальника ЦВ Сапетова в июне 2020 </t>
    </r>
    <r>
      <rPr>
        <sz val="11"/>
        <color theme="1"/>
        <rFont val="Calibri"/>
        <family val="2"/>
        <charset val="204"/>
      </rPr>
      <t>∑</t>
    </r>
    <r>
      <rPr>
        <sz val="9.35"/>
        <color theme="1"/>
        <rFont val="Calibri"/>
        <family val="2"/>
      </rPr>
      <t xml:space="preserve"> парк вагонов     1.180 млн., из к. 13.6 % инновация, а в простое около 100 тыс.ваг-в</t>
    </r>
  </si>
  <si>
    <t>Несколько компаний взял из И-нет ресурса и по данным коллег, по остальным вывел среднюю</t>
  </si>
  <si>
    <t>**По Частным ДЕПО взял за CONST мощность ВРП Новотранс (ст.Белая) Коэф.=1. По остальным относительно const * на их % (Коэф) произв.мощности</t>
  </si>
  <si>
    <t>Коэф.мощности относительно ВРП_Белая</t>
  </si>
  <si>
    <t>Для тех предприятий чьи мощностя к. не нашел, поставил среднее по Новотрансу / 4</t>
  </si>
  <si>
    <t>АО «В-Cибпромтранс»</t>
  </si>
  <si>
    <t>АО «В-Сибпромтранс» Красноярский Узел</t>
  </si>
  <si>
    <t>ООО "ЮВК"</t>
  </si>
  <si>
    <t>СКВ</t>
  </si>
  <si>
    <t>ВРД Махачкала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</si>
</sst>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.35"/>
      <color theme="1"/>
      <name val="Calibri"/>
      <family val="2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Border="1"/>
    <xf numFmtId="3" fontId="0" fillId="0" borderId="3" xfId="0" applyNumberForma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3" fontId="3" fillId="3" borderId="1" xfId="0" applyNumberFormat="1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4" borderId="0" xfId="0" applyFill="1"/>
    <xf numFmtId="164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Alignment="1"/>
    <xf numFmtId="3" fontId="3" fillId="2" borderId="9" xfId="0" applyNumberFormat="1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horizontal="center" vertical="center"/>
    </xf>
    <xf numFmtId="3" fontId="3" fillId="2" borderId="10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3" fontId="0" fillId="5" borderId="0" xfId="0" applyNumberFormat="1" applyFill="1" applyBorder="1" applyAlignment="1">
      <alignment horizontal="center" vertical="center"/>
    </xf>
    <xf numFmtId="0" fontId="0" fillId="5" borderId="0" xfId="0" applyFill="1"/>
    <xf numFmtId="164" fontId="0" fillId="5" borderId="0" xfId="0" applyNumberFormat="1" applyFill="1" applyBorder="1"/>
    <xf numFmtId="0" fontId="0" fillId="5" borderId="0" xfId="0" applyFill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3" fontId="0" fillId="3" borderId="0" xfId="0" applyNumberFormat="1" applyFill="1" applyBorder="1" applyAlignment="1">
      <alignment vertical="center" wrapText="1"/>
    </xf>
    <xf numFmtId="0" fontId="3" fillId="0" borderId="0" xfId="0" applyFont="1"/>
    <xf numFmtId="0" fontId="0" fillId="0" borderId="1" xfId="0" applyBorder="1"/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3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2" borderId="15" xfId="0" applyFill="1" applyBorder="1" applyAlignment="1">
      <alignment horizontal="center" vertical="center" wrapText="1"/>
    </xf>
    <xf numFmtId="3" fontId="0" fillId="3" borderId="16" xfId="0" applyNumberFormat="1" applyFill="1" applyBorder="1" applyAlignment="1">
      <alignment horizontal="center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518992961700677E-2"/>
          <c:y val="4.1010273715785528E-2"/>
          <c:w val="0.86998320732296519"/>
          <c:h val="0.648453743282089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Потребность_19.10.2020!$H$4</c:f>
              <c:strCache>
                <c:ptCount val="1"/>
                <c:pt idx="0">
                  <c:v>ИТОГО ваг. в обороте на 18-100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Потребность_19.10.2020!$B$5:$C$30</c:f>
              <c:multiLvlStrCache>
                <c:ptCount val="26"/>
                <c:lvl>
                  <c:pt idx="0">
                    <c:v>ФГК</c:v>
                  </c:pt>
                  <c:pt idx="1">
                    <c:v>ПГК</c:v>
                  </c:pt>
                  <c:pt idx="2">
                    <c:v>Модум-Транс </c:v>
                  </c:pt>
                  <c:pt idx="3">
                    <c:v>Globaltrans (НПК)</c:v>
                  </c:pt>
                  <c:pt idx="4">
                    <c:v>РН-Транс</c:v>
                  </c:pt>
                  <c:pt idx="5">
                    <c:v>Нефтетранссервис</c:v>
                  </c:pt>
                  <c:pt idx="6">
                    <c:v>ГК РТК </c:v>
                  </c:pt>
                  <c:pt idx="7">
                    <c:v>СУЭК</c:v>
                  </c:pt>
                  <c:pt idx="8">
                    <c:v>Трансойл</c:v>
                  </c:pt>
                  <c:pt idx="9">
                    <c:v>Атлант</c:v>
                  </c:pt>
                  <c:pt idx="10">
                    <c:v>Брансвик Рейл</c:v>
                  </c:pt>
                  <c:pt idx="11">
                    <c:v>Трансконтейнер</c:v>
                  </c:pt>
                  <c:pt idx="12">
                    <c:v>Газпромтранс</c:v>
                  </c:pt>
                  <c:pt idx="13">
                    <c:v>Railgo</c:v>
                  </c:pt>
                  <c:pt idx="14">
                    <c:v>СГ Транс</c:v>
                  </c:pt>
                  <c:pt idx="15">
                    <c:v>Новотранс</c:v>
                  </c:pt>
                  <c:pt idx="16">
                    <c:v>ЛУКОЙЛ-Транс</c:v>
                  </c:pt>
                  <c:pt idx="17">
                    <c:v>НХТК</c:v>
                  </c:pt>
                  <c:pt idx="18">
                    <c:v> Совфрахт</c:v>
                  </c:pt>
                  <c:pt idx="19">
                    <c:v> Евросиб СПб</c:v>
                  </c:pt>
                  <c:pt idx="20">
                    <c:v>ТГК</c:v>
                  </c:pt>
                  <c:pt idx="21">
                    <c:v>Мечел-Транс</c:v>
                  </c:pt>
                  <c:pt idx="22">
                    <c:v>УГМК</c:v>
                  </c:pt>
                  <c:pt idx="23">
                    <c:v>Первый промышленный оператор</c:v>
                  </c:pt>
                  <c:pt idx="24">
                    <c:v>Уралкалий</c:v>
                  </c:pt>
                  <c:pt idx="25">
                    <c:v>ПРОЧИЕ*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</c:lvl>
              </c:multiLvlStrCache>
            </c:multiLvlStrRef>
          </c:cat>
          <c:val>
            <c:numRef>
              <c:f>Потребность_19.10.2020!$O$5:$O$30</c:f>
              <c:numCache>
                <c:formatCode>#,##0</c:formatCode>
                <c:ptCount val="26"/>
                <c:pt idx="0">
                  <c:v>400.16639592679167</c:v>
                </c:pt>
                <c:pt idx="1">
                  <c:v>434.11031079119493</c:v>
                </c:pt>
                <c:pt idx="2">
                  <c:v>162.19418409884292</c:v>
                </c:pt>
                <c:pt idx="3">
                  <c:v>232.1121802968155</c:v>
                </c:pt>
                <c:pt idx="4">
                  <c:v>225.66461973301557</c:v>
                </c:pt>
                <c:pt idx="5">
                  <c:v>0</c:v>
                </c:pt>
                <c:pt idx="6">
                  <c:v>219.21705916921474</c:v>
                </c:pt>
                <c:pt idx="7">
                  <c:v>260.92107876770478</c:v>
                </c:pt>
                <c:pt idx="8">
                  <c:v>0</c:v>
                </c:pt>
                <c:pt idx="9">
                  <c:v>145.07011268551014</c:v>
                </c:pt>
                <c:pt idx="10">
                  <c:v>128.95121127600896</c:v>
                </c:pt>
                <c:pt idx="11">
                  <c:v>221.41469286106167</c:v>
                </c:pt>
                <c:pt idx="12">
                  <c:v>0</c:v>
                </c:pt>
                <c:pt idx="13">
                  <c:v>96.713408457006608</c:v>
                </c:pt>
                <c:pt idx="14">
                  <c:v>80.594507047505431</c:v>
                </c:pt>
                <c:pt idx="15">
                  <c:v>165.09269994750503</c:v>
                </c:pt>
                <c:pt idx="16">
                  <c:v>0</c:v>
                </c:pt>
                <c:pt idx="17">
                  <c:v>58.028045074203874</c:v>
                </c:pt>
                <c:pt idx="18">
                  <c:v>53.837130707733422</c:v>
                </c:pt>
                <c:pt idx="19">
                  <c:v>45.132923946603341</c:v>
                </c:pt>
                <c:pt idx="20">
                  <c:v>42.553899721082644</c:v>
                </c:pt>
                <c:pt idx="21">
                  <c:v>0</c:v>
                </c:pt>
                <c:pt idx="22">
                  <c:v>58.112630381521853</c:v>
                </c:pt>
                <c:pt idx="23">
                  <c:v>26.338284903124759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10-4829-B7F8-7B97D41CC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2232736"/>
        <c:axId val="182223056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Потребность_19.10.2020!$G$4</c15:sqref>
                        </c15:formulaRef>
                      </c:ext>
                    </c:extLst>
                    <c:strCache>
                      <c:ptCount val="1"/>
                      <c:pt idx="0">
                        <c:v>В обороте Коэф. от ∑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tint val="50000"/>
                          <a:satMod val="300000"/>
                        </a:schemeClr>
                      </a:gs>
                      <a:gs pos="35000">
                        <a:schemeClr val="accent2">
                          <a:tint val="37000"/>
                          <a:satMod val="300000"/>
                        </a:schemeClr>
                      </a:gs>
                      <a:gs pos="100000">
                        <a:schemeClr val="accent2">
                          <a:tint val="15000"/>
                          <a:satMod val="350000"/>
                        </a:schemeClr>
                      </a:gs>
                    </a:gsLst>
                    <a:lin ang="16200000" scaled="1"/>
                  </a:gradFill>
                  <a:ln w="9525" cap="flat" cmpd="sng" algn="ctr">
                    <a:solidFill>
                      <a:schemeClr val="accent2">
                        <a:shade val="95000"/>
                      </a:schemeClr>
                    </a:solidFill>
                    <a:round/>
                  </a:ln>
                  <a:effectLst>
                    <a:outerShdw blurRad="40000" dist="20000" dir="5400000" rotWithShape="0">
                      <a:srgbClr val="000000">
                        <a:alpha val="38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Потребность_19.10.2020!$B$5:$C$30</c15:sqref>
                        </c15:formulaRef>
                      </c:ext>
                    </c:extLst>
                    <c:multiLvlStrCache>
                      <c:ptCount val="26"/>
                      <c:lvl>
                        <c:pt idx="0">
                          <c:v>ФГК</c:v>
                        </c:pt>
                        <c:pt idx="1">
                          <c:v>ПГК</c:v>
                        </c:pt>
                        <c:pt idx="2">
                          <c:v>Модум-Транс </c:v>
                        </c:pt>
                        <c:pt idx="3">
                          <c:v>Globaltrans (НПК)</c:v>
                        </c:pt>
                        <c:pt idx="4">
                          <c:v>РН-Транс</c:v>
                        </c:pt>
                        <c:pt idx="5">
                          <c:v>Нефтетранссервис</c:v>
                        </c:pt>
                        <c:pt idx="6">
                          <c:v>ГК РТК </c:v>
                        </c:pt>
                        <c:pt idx="7">
                          <c:v>СУЭК</c:v>
                        </c:pt>
                        <c:pt idx="8">
                          <c:v>Трансойл</c:v>
                        </c:pt>
                        <c:pt idx="9">
                          <c:v>Атлант</c:v>
                        </c:pt>
                        <c:pt idx="10">
                          <c:v>Брансвик Рейл</c:v>
                        </c:pt>
                        <c:pt idx="11">
                          <c:v>Трансконтейнер</c:v>
                        </c:pt>
                        <c:pt idx="12">
                          <c:v>Газпромтранс</c:v>
                        </c:pt>
                        <c:pt idx="13">
                          <c:v>Railgo</c:v>
                        </c:pt>
                        <c:pt idx="14">
                          <c:v>СГ Транс</c:v>
                        </c:pt>
                        <c:pt idx="15">
                          <c:v>Новотранс</c:v>
                        </c:pt>
                        <c:pt idx="16">
                          <c:v>ЛУКОЙЛ-Транс</c:v>
                        </c:pt>
                        <c:pt idx="17">
                          <c:v>НХТК</c:v>
                        </c:pt>
                        <c:pt idx="18">
                          <c:v> Совфрахт</c:v>
                        </c:pt>
                        <c:pt idx="19">
                          <c:v> Евросиб СПб</c:v>
                        </c:pt>
                        <c:pt idx="20">
                          <c:v>ТГК</c:v>
                        </c:pt>
                        <c:pt idx="21">
                          <c:v>Мечел-Транс</c:v>
                        </c:pt>
                        <c:pt idx="22">
                          <c:v>УГМК</c:v>
                        </c:pt>
                        <c:pt idx="23">
                          <c:v>Первый промышленный оператор</c:v>
                        </c:pt>
                        <c:pt idx="24">
                          <c:v>Уралкалий</c:v>
                        </c:pt>
                        <c:pt idx="25">
                          <c:v>ПРОЧИЕ*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</c:lvl>
                    </c:multiLvlStrCache>
                  </c:multiLvl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Потребность_19.10.2020!$G$5:$G$30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0.91</c:v>
                      </c:pt>
                      <c:pt idx="1">
                        <c:v>0.91</c:v>
                      </c:pt>
                      <c:pt idx="2">
                        <c:v>0.95</c:v>
                      </c:pt>
                      <c:pt idx="3">
                        <c:v>0.91</c:v>
                      </c:pt>
                      <c:pt idx="4">
                        <c:v>0.91</c:v>
                      </c:pt>
                      <c:pt idx="5">
                        <c:v>0.87</c:v>
                      </c:pt>
                      <c:pt idx="6">
                        <c:v>0.91</c:v>
                      </c:pt>
                      <c:pt idx="7">
                        <c:v>0.95</c:v>
                      </c:pt>
                      <c:pt idx="8">
                        <c:v>0.87</c:v>
                      </c:pt>
                      <c:pt idx="9">
                        <c:v>0.91</c:v>
                      </c:pt>
                      <c:pt idx="10">
                        <c:v>0.91</c:v>
                      </c:pt>
                      <c:pt idx="11">
                        <c:v>0.97</c:v>
                      </c:pt>
                      <c:pt idx="12">
                        <c:v>0.87</c:v>
                      </c:pt>
                      <c:pt idx="13">
                        <c:v>0.91</c:v>
                      </c:pt>
                      <c:pt idx="14">
                        <c:v>0.91</c:v>
                      </c:pt>
                      <c:pt idx="15">
                        <c:v>0.95</c:v>
                      </c:pt>
                      <c:pt idx="16">
                        <c:v>0.87</c:v>
                      </c:pt>
                      <c:pt idx="17">
                        <c:v>0.91</c:v>
                      </c:pt>
                      <c:pt idx="18">
                        <c:v>0.91</c:v>
                      </c:pt>
                      <c:pt idx="19">
                        <c:v>0.91</c:v>
                      </c:pt>
                      <c:pt idx="20">
                        <c:v>0.91</c:v>
                      </c:pt>
                      <c:pt idx="21">
                        <c:v>0.85</c:v>
                      </c:pt>
                      <c:pt idx="22">
                        <c:v>0.95</c:v>
                      </c:pt>
                      <c:pt idx="23">
                        <c:v>0.91</c:v>
                      </c:pt>
                      <c:pt idx="24">
                        <c:v>0.85</c:v>
                      </c:pt>
                      <c:pt idx="25">
                        <c:v>0.85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2110-4829-B7F8-7B97D41CC91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Потребность_19.10.2020!$H$4</c15:sqref>
                        </c15:formulaRef>
                      </c:ext>
                    </c:extLst>
                    <c:strCache>
                      <c:ptCount val="1"/>
                      <c:pt idx="0">
                        <c:v>ИТОГО ваг. в обороте на 18-100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tint val="50000"/>
                          <a:satMod val="300000"/>
                        </a:schemeClr>
                      </a:gs>
                      <a:gs pos="35000">
                        <a:schemeClr val="accent3">
                          <a:tint val="37000"/>
                          <a:satMod val="300000"/>
                        </a:schemeClr>
                      </a:gs>
                      <a:gs pos="100000">
                        <a:schemeClr val="accent3">
                          <a:tint val="15000"/>
                          <a:satMod val="350000"/>
                        </a:schemeClr>
                      </a:gs>
                    </a:gsLst>
                    <a:lin ang="16200000" scaled="1"/>
                  </a:gradFill>
                  <a:ln w="9525" cap="flat" cmpd="sng" algn="ctr">
                    <a:solidFill>
                      <a:schemeClr val="accent3">
                        <a:shade val="95000"/>
                      </a:schemeClr>
                    </a:solidFill>
                    <a:round/>
                  </a:ln>
                  <a:effectLst>
                    <a:outerShdw blurRad="40000" dist="20000" dir="5400000" rotWithShape="0">
                      <a:srgbClr val="000000">
                        <a:alpha val="38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Потребность_19.10.2020!$B$5:$C$30</c15:sqref>
                        </c15:formulaRef>
                      </c:ext>
                    </c:extLst>
                    <c:multiLvlStrCache>
                      <c:ptCount val="26"/>
                      <c:lvl>
                        <c:pt idx="0">
                          <c:v>ФГК</c:v>
                        </c:pt>
                        <c:pt idx="1">
                          <c:v>ПГК</c:v>
                        </c:pt>
                        <c:pt idx="2">
                          <c:v>Модум-Транс </c:v>
                        </c:pt>
                        <c:pt idx="3">
                          <c:v>Globaltrans (НПК)</c:v>
                        </c:pt>
                        <c:pt idx="4">
                          <c:v>РН-Транс</c:v>
                        </c:pt>
                        <c:pt idx="5">
                          <c:v>Нефтетранссервис</c:v>
                        </c:pt>
                        <c:pt idx="6">
                          <c:v>ГК РТК </c:v>
                        </c:pt>
                        <c:pt idx="7">
                          <c:v>СУЭК</c:v>
                        </c:pt>
                        <c:pt idx="8">
                          <c:v>Трансойл</c:v>
                        </c:pt>
                        <c:pt idx="9">
                          <c:v>Атлант</c:v>
                        </c:pt>
                        <c:pt idx="10">
                          <c:v>Брансвик Рейл</c:v>
                        </c:pt>
                        <c:pt idx="11">
                          <c:v>Трансконтейнер</c:v>
                        </c:pt>
                        <c:pt idx="12">
                          <c:v>Газпромтранс</c:v>
                        </c:pt>
                        <c:pt idx="13">
                          <c:v>Railgo</c:v>
                        </c:pt>
                        <c:pt idx="14">
                          <c:v>СГ Транс</c:v>
                        </c:pt>
                        <c:pt idx="15">
                          <c:v>Новотранс</c:v>
                        </c:pt>
                        <c:pt idx="16">
                          <c:v>ЛУКОЙЛ-Транс</c:v>
                        </c:pt>
                        <c:pt idx="17">
                          <c:v>НХТК</c:v>
                        </c:pt>
                        <c:pt idx="18">
                          <c:v> Совфрахт</c:v>
                        </c:pt>
                        <c:pt idx="19">
                          <c:v> Евросиб СПб</c:v>
                        </c:pt>
                        <c:pt idx="20">
                          <c:v>ТГК</c:v>
                        </c:pt>
                        <c:pt idx="21">
                          <c:v>Мечел-Транс</c:v>
                        </c:pt>
                        <c:pt idx="22">
                          <c:v>УГМК</c:v>
                        </c:pt>
                        <c:pt idx="23">
                          <c:v>Первый промышленный оператор</c:v>
                        </c:pt>
                        <c:pt idx="24">
                          <c:v>Уралкалий</c:v>
                        </c:pt>
                        <c:pt idx="25">
                          <c:v>ПРОЧИЕ*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</c:lvl>
                    </c:multiLvlStrCache>
                  </c:multiLvl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Потребность_19.10.2020!$H$5:$H$30</c15:sqref>
                        </c15:formulaRef>
                      </c:ext>
                    </c:extLst>
                    <c:numCache>
                      <c:formatCode>#,##0</c:formatCode>
                      <c:ptCount val="26"/>
                      <c:pt idx="0">
                        <c:v>105778.40000000001</c:v>
                      </c:pt>
                      <c:pt idx="1">
                        <c:v>114751</c:v>
                      </c:pt>
                      <c:pt idx="2">
                        <c:v>21850</c:v>
                      </c:pt>
                      <c:pt idx="3">
                        <c:v>61355.614319999993</c:v>
                      </c:pt>
                      <c:pt idx="4">
                        <c:v>59651.291699999994</c:v>
                      </c:pt>
                      <c:pt idx="5">
                        <c:v>56621.905064999999</c:v>
                      </c:pt>
                      <c:pt idx="6">
                        <c:v>57946.969080000003</c:v>
                      </c:pt>
                      <c:pt idx="7">
                        <c:v>35150</c:v>
                      </c:pt>
                      <c:pt idx="8">
                        <c:v>41549.887170000002</c:v>
                      </c:pt>
                      <c:pt idx="9">
                        <c:v>38347.258950000003</c:v>
                      </c:pt>
                      <c:pt idx="10">
                        <c:v>34086.452400000002</c:v>
                      </c:pt>
                      <c:pt idx="11">
                        <c:v>24250</c:v>
                      </c:pt>
                      <c:pt idx="12">
                        <c:v>24441.110099999998</c:v>
                      </c:pt>
                      <c:pt idx="13">
                        <c:v>25564.8393</c:v>
                      </c:pt>
                      <c:pt idx="14">
                        <c:v>21304.032750000002</c:v>
                      </c:pt>
                      <c:pt idx="15">
                        <c:v>22240.473750000001</c:v>
                      </c:pt>
                      <c:pt idx="16">
                        <c:v>18738.184410000002</c:v>
                      </c:pt>
                      <c:pt idx="17">
                        <c:v>15338.903579999998</c:v>
                      </c:pt>
                      <c:pt idx="18">
                        <c:v>14231.093876999999</c:v>
                      </c:pt>
                      <c:pt idx="19">
                        <c:v>11930.25834</c:v>
                      </c:pt>
                      <c:pt idx="20">
                        <c:v>11248.529291999999</c:v>
                      </c:pt>
                      <c:pt idx="21">
                        <c:v>8755.7233500000002</c:v>
                      </c:pt>
                      <c:pt idx="22">
                        <c:v>7828.6467599999996</c:v>
                      </c:pt>
                      <c:pt idx="23">
                        <c:v>6962.1579026999998</c:v>
                      </c:pt>
                      <c:pt idx="24">
                        <c:v>6129.0063449999998</c:v>
                      </c:pt>
                      <c:pt idx="25">
                        <c:v>75617.610750000007</c:v>
                      </c:pt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2-2110-4829-B7F8-7B97D41CC91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Потребность_19.10.2020!$M$4</c15:sqref>
                        </c15:formulaRef>
                      </c:ext>
                    </c:extLst>
                    <c:strCache>
                      <c:ptCount val="1"/>
                      <c:pt idx="0">
                        <c:v>БР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tint val="50000"/>
                          <a:satMod val="300000"/>
                        </a:schemeClr>
                      </a:gs>
                      <a:gs pos="35000">
                        <a:schemeClr val="accent4">
                          <a:tint val="37000"/>
                          <a:satMod val="300000"/>
                        </a:schemeClr>
                      </a:gs>
                      <a:gs pos="100000">
                        <a:schemeClr val="accent4">
                          <a:tint val="15000"/>
                          <a:satMod val="350000"/>
                        </a:schemeClr>
                      </a:gs>
                    </a:gsLst>
                    <a:lin ang="16200000" scaled="1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>
                    <a:outerShdw blurRad="40000" dist="20000" dir="5400000" rotWithShape="0">
                      <a:srgbClr val="000000">
                        <a:alpha val="38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Потребность_19.10.2020!$B$5:$C$30</c15:sqref>
                        </c15:formulaRef>
                      </c:ext>
                    </c:extLst>
                    <c:multiLvlStrCache>
                      <c:ptCount val="26"/>
                      <c:lvl>
                        <c:pt idx="0">
                          <c:v>ФГК</c:v>
                        </c:pt>
                        <c:pt idx="1">
                          <c:v>ПГК</c:v>
                        </c:pt>
                        <c:pt idx="2">
                          <c:v>Модум-Транс </c:v>
                        </c:pt>
                        <c:pt idx="3">
                          <c:v>Globaltrans (НПК)</c:v>
                        </c:pt>
                        <c:pt idx="4">
                          <c:v>РН-Транс</c:v>
                        </c:pt>
                        <c:pt idx="5">
                          <c:v>Нефтетранссервис</c:v>
                        </c:pt>
                        <c:pt idx="6">
                          <c:v>ГК РТК </c:v>
                        </c:pt>
                        <c:pt idx="7">
                          <c:v>СУЭК</c:v>
                        </c:pt>
                        <c:pt idx="8">
                          <c:v>Трансойл</c:v>
                        </c:pt>
                        <c:pt idx="9">
                          <c:v>Атлант</c:v>
                        </c:pt>
                        <c:pt idx="10">
                          <c:v>Брансвик Рейл</c:v>
                        </c:pt>
                        <c:pt idx="11">
                          <c:v>Трансконтейнер</c:v>
                        </c:pt>
                        <c:pt idx="12">
                          <c:v>Газпромтранс</c:v>
                        </c:pt>
                        <c:pt idx="13">
                          <c:v>Railgo</c:v>
                        </c:pt>
                        <c:pt idx="14">
                          <c:v>СГ Транс</c:v>
                        </c:pt>
                        <c:pt idx="15">
                          <c:v>Новотранс</c:v>
                        </c:pt>
                        <c:pt idx="16">
                          <c:v>ЛУКОЙЛ-Транс</c:v>
                        </c:pt>
                        <c:pt idx="17">
                          <c:v>НХТК</c:v>
                        </c:pt>
                        <c:pt idx="18">
                          <c:v> Совфрахт</c:v>
                        </c:pt>
                        <c:pt idx="19">
                          <c:v> Евросиб СПб</c:v>
                        </c:pt>
                        <c:pt idx="20">
                          <c:v>ТГК</c:v>
                        </c:pt>
                        <c:pt idx="21">
                          <c:v>Мечел-Транс</c:v>
                        </c:pt>
                        <c:pt idx="22">
                          <c:v>УГМК</c:v>
                        </c:pt>
                        <c:pt idx="23">
                          <c:v>Первый промышленный оператор</c:v>
                        </c:pt>
                        <c:pt idx="24">
                          <c:v>Уралкалий</c:v>
                        </c:pt>
                        <c:pt idx="25">
                          <c:v>ПРОЧИЕ*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</c:lvl>
                    </c:multiLvlStrCache>
                  </c:multiLvl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Потребность_19.10.2020!$M$5:$M$30</c15:sqref>
                        </c15:formulaRef>
                      </c:ext>
                    </c:extLst>
                    <c:numCache>
                      <c:formatCode>#,##0</c:formatCode>
                      <c:ptCount val="26"/>
                      <c:pt idx="0">
                        <c:v>400.16639592679167</c:v>
                      </c:pt>
                      <c:pt idx="1">
                        <c:v>434.11031079119493</c:v>
                      </c:pt>
                      <c:pt idx="2">
                        <c:v>162.19418409884292</c:v>
                      </c:pt>
                      <c:pt idx="3">
                        <c:v>232.1121802968155</c:v>
                      </c:pt>
                      <c:pt idx="4">
                        <c:v>225.66461973301557</c:v>
                      </c:pt>
                      <c:pt idx="5">
                        <c:v>-10.852246669935084</c:v>
                      </c:pt>
                      <c:pt idx="6">
                        <c:v>219.21705916921474</c:v>
                      </c:pt>
                      <c:pt idx="7">
                        <c:v>260.92107876770478</c:v>
                      </c:pt>
                      <c:pt idx="8">
                        <c:v>-7.9635191390889304</c:v>
                      </c:pt>
                      <c:pt idx="9">
                        <c:v>145.07011268551014</c:v>
                      </c:pt>
                      <c:pt idx="10">
                        <c:v>128.95121127600896</c:v>
                      </c:pt>
                      <c:pt idx="11">
                        <c:v>221.41469286106167</c:v>
                      </c:pt>
                      <c:pt idx="12">
                        <c:v>-4.684423022993542</c:v>
                      </c:pt>
                      <c:pt idx="13">
                        <c:v>96.713408457006608</c:v>
                      </c:pt>
                      <c:pt idx="14">
                        <c:v>80.594507047505431</c:v>
                      </c:pt>
                      <c:pt idx="15">
                        <c:v>165.09269994750503</c:v>
                      </c:pt>
                      <c:pt idx="16">
                        <c:v>-3.591390984294776</c:v>
                      </c:pt>
                      <c:pt idx="17">
                        <c:v>58.028045074203874</c:v>
                      </c:pt>
                      <c:pt idx="18">
                        <c:v>53.837130707733422</c:v>
                      </c:pt>
                      <c:pt idx="19">
                        <c:v>45.132923946603341</c:v>
                      </c:pt>
                      <c:pt idx="20">
                        <c:v>42.553899721082644</c:v>
                      </c:pt>
                      <c:pt idx="21">
                        <c:v>-20.307224213097697</c:v>
                      </c:pt>
                      <c:pt idx="22">
                        <c:v>58.112630381521853</c:v>
                      </c:pt>
                      <c:pt idx="23">
                        <c:v>26.338284903124759</c:v>
                      </c:pt>
                      <c:pt idx="24">
                        <c:v>-14.215056949168343</c:v>
                      </c:pt>
                      <c:pt idx="25">
                        <c:v>-175.38057274948096</c:v>
                      </c:pt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3-2110-4829-B7F8-7B97D41CC91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Потребность_19.10.2020!$N$4</c15:sqref>
                        </c15:formulaRef>
                      </c:ext>
                    </c:extLst>
                    <c:strCache>
                      <c:ptCount val="1"/>
                      <c:pt idx="0">
                        <c:v>НБ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tint val="50000"/>
                          <a:satMod val="300000"/>
                        </a:schemeClr>
                      </a:gs>
                      <a:gs pos="35000">
                        <a:schemeClr val="accent5">
                          <a:tint val="37000"/>
                          <a:satMod val="300000"/>
                        </a:schemeClr>
                      </a:gs>
                      <a:gs pos="100000">
                        <a:schemeClr val="accent5">
                          <a:tint val="15000"/>
                          <a:satMod val="350000"/>
                        </a:schemeClr>
                      </a:gs>
                    </a:gsLst>
                    <a:lin ang="16200000" scaled="1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>
                    <a:outerShdw blurRad="40000" dist="20000" dir="5400000" rotWithShape="0">
                      <a:srgbClr val="000000">
                        <a:alpha val="38000"/>
                      </a:srgbClr>
                    </a:outerShdw>
                  </a:effectLst>
                </c:spPr>
                <c:invertIfNegative val="0"/>
                <c:cat>
                  <c:multiLvl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Потребность_19.10.2020!$B$5:$C$30</c15:sqref>
                        </c15:formulaRef>
                      </c:ext>
                    </c:extLst>
                    <c:multiLvlStrCache>
                      <c:ptCount val="26"/>
                      <c:lvl>
                        <c:pt idx="0">
                          <c:v>ФГК</c:v>
                        </c:pt>
                        <c:pt idx="1">
                          <c:v>ПГК</c:v>
                        </c:pt>
                        <c:pt idx="2">
                          <c:v>Модум-Транс </c:v>
                        </c:pt>
                        <c:pt idx="3">
                          <c:v>Globaltrans (НПК)</c:v>
                        </c:pt>
                        <c:pt idx="4">
                          <c:v>РН-Транс</c:v>
                        </c:pt>
                        <c:pt idx="5">
                          <c:v>Нефтетранссервис</c:v>
                        </c:pt>
                        <c:pt idx="6">
                          <c:v>ГК РТК </c:v>
                        </c:pt>
                        <c:pt idx="7">
                          <c:v>СУЭК</c:v>
                        </c:pt>
                        <c:pt idx="8">
                          <c:v>Трансойл</c:v>
                        </c:pt>
                        <c:pt idx="9">
                          <c:v>Атлант</c:v>
                        </c:pt>
                        <c:pt idx="10">
                          <c:v>Брансвик Рейл</c:v>
                        </c:pt>
                        <c:pt idx="11">
                          <c:v>Трансконтейнер</c:v>
                        </c:pt>
                        <c:pt idx="12">
                          <c:v>Газпромтранс</c:v>
                        </c:pt>
                        <c:pt idx="13">
                          <c:v>Railgo</c:v>
                        </c:pt>
                        <c:pt idx="14">
                          <c:v>СГ Транс</c:v>
                        </c:pt>
                        <c:pt idx="15">
                          <c:v>Новотранс</c:v>
                        </c:pt>
                        <c:pt idx="16">
                          <c:v>ЛУКОЙЛ-Транс</c:v>
                        </c:pt>
                        <c:pt idx="17">
                          <c:v>НХТК</c:v>
                        </c:pt>
                        <c:pt idx="18">
                          <c:v> Совфрахт</c:v>
                        </c:pt>
                        <c:pt idx="19">
                          <c:v> Евросиб СПб</c:v>
                        </c:pt>
                        <c:pt idx="20">
                          <c:v>ТГК</c:v>
                        </c:pt>
                        <c:pt idx="21">
                          <c:v>Мечел-Транс</c:v>
                        </c:pt>
                        <c:pt idx="22">
                          <c:v>УГМК</c:v>
                        </c:pt>
                        <c:pt idx="23">
                          <c:v>Первый промышленный оператор</c:v>
                        </c:pt>
                        <c:pt idx="24">
                          <c:v>Уралкалий</c:v>
                        </c:pt>
                        <c:pt idx="25">
                          <c:v>ПРОЧИЕ*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  <c:pt idx="20">
                          <c:v>21</c:v>
                        </c:pt>
                        <c:pt idx="21">
                          <c:v>22</c:v>
                        </c:pt>
                        <c:pt idx="22">
                          <c:v>23</c:v>
                        </c:pt>
                        <c:pt idx="23">
                          <c:v>24</c:v>
                        </c:pt>
                        <c:pt idx="24">
                          <c:v>25</c:v>
                        </c:pt>
                      </c:lvl>
                    </c:multiLvlStrCache>
                  </c:multiLvlStrRef>
                </c:cat>
                <c: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Потребность_19.10.2020!$N$5:$N$30</c15:sqref>
                        </c15:formulaRef>
                      </c:ext>
                    </c:extLst>
                    <c:numCache>
                      <c:formatCode>#,##0</c:formatCode>
                      <c:ptCount val="26"/>
                      <c:pt idx="0">
                        <c:v>-2528.0533143944381</c:v>
                      </c:pt>
                      <c:pt idx="1">
                        <c:v>-2742.4941753711169</c:v>
                      </c:pt>
                      <c:pt idx="2">
                        <c:v>-483.12035183877106</c:v>
                      </c:pt>
                      <c:pt idx="3">
                        <c:v>-1466.369921821306</c:v>
                      </c:pt>
                      <c:pt idx="4">
                        <c:v>-1425.6374239929362</c:v>
                      </c:pt>
                      <c:pt idx="5">
                        <c:v>-1463.8324023308439</c:v>
                      </c:pt>
                      <c:pt idx="6">
                        <c:v>-1384.9049261645669</c:v>
                      </c:pt>
                      <c:pt idx="7">
                        <c:v>-777.19360947976202</c:v>
                      </c:pt>
                      <c:pt idx="8">
                        <c:v>-1074.179172933425</c:v>
                      </c:pt>
                      <c:pt idx="9">
                        <c:v>-916.48120113831624</c:v>
                      </c:pt>
                      <c:pt idx="10">
                        <c:v>-814.64995656739211</c:v>
                      </c:pt>
                      <c:pt idx="11">
                        <c:v>-515.83915054938882</c:v>
                      </c:pt>
                      <c:pt idx="12">
                        <c:v>-631.87010172554426</c:v>
                      </c:pt>
                      <c:pt idx="13">
                        <c:v>-610.9874674255442</c:v>
                      </c:pt>
                      <c:pt idx="14">
                        <c:v>-509.1562228546203</c:v>
                      </c:pt>
                      <c:pt idx="15">
                        <c:v>-491.75402760462032</c:v>
                      </c:pt>
                      <c:pt idx="16">
                        <c:v>-484.43374465625055</c:v>
                      </c:pt>
                      <c:pt idx="17">
                        <c:v>-366.59248045532649</c:v>
                      </c:pt>
                      <c:pt idx="18">
                        <c:v>-340.11635686688629</c:v>
                      </c:pt>
                      <c:pt idx="19">
                        <c:v>-285.1274847985872</c:v>
                      </c:pt>
                      <c:pt idx="20">
                        <c:v>-268.83448566723951</c:v>
                      </c:pt>
                      <c:pt idx="21">
                        <c:v>-235.51418692103292</c:v>
                      </c:pt>
                      <c:pt idx="22">
                        <c:v>-173.09741771682633</c:v>
                      </c:pt>
                      <c:pt idx="23">
                        <c:v>-166.39225362888988</c:v>
                      </c:pt>
                      <c:pt idx="24">
                        <c:v>-164.85993084472301</c:v>
                      </c:pt>
                      <c:pt idx="25">
                        <c:v>-2033.9861597725574</c:v>
                      </c:pt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4-2110-4829-B7F8-7B97D41CC91C}"/>
                  </c:ext>
                </c:extLst>
              </c15:ser>
            </c15:filteredBarSeries>
          </c:ext>
        </c:extLst>
      </c:barChart>
      <c:catAx>
        <c:axId val="182223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230560"/>
        <c:crosses val="autoZero"/>
        <c:auto val="1"/>
        <c:lblAlgn val="ctr"/>
        <c:lblOffset val="100"/>
        <c:noMultiLvlLbl val="1"/>
      </c:catAx>
      <c:valAx>
        <c:axId val="182223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23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529478</xdr:colOff>
      <xdr:row>36</xdr:row>
      <xdr:rowOff>20729</xdr:rowOff>
    </xdr:from>
    <xdr:to>
      <xdr:col>13</xdr:col>
      <xdr:colOff>62194</xdr:colOff>
      <xdr:row>63</xdr:row>
      <xdr:rowOff>71715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7"/>
  <sheetViews>
    <sheetView showGridLines="0" tabSelected="1" zoomScale="85" zoomScaleNormal="85" workbookViewId="0">
      <selection activeCell="C2" sqref="C2"/>
    </sheetView>
  </sheetViews>
  <sheetFormatPr defaultRowHeight="15" outlineLevelRow="1" x14ac:dyDescent="0.25"/>
  <cols>
    <col min="2" max="2" width="6.7109375" bestFit="1" customWidth="1"/>
    <col min="3" max="3" width="36" customWidth="1"/>
    <col min="4" max="6" width="36" style="10" customWidth="1"/>
    <col min="7" max="10" width="19.42578125" customWidth="1"/>
    <col min="11" max="13" width="19.42578125" style="10" customWidth="1"/>
    <col min="14" max="15" width="19.42578125" customWidth="1"/>
    <col min="16" max="16" width="23.140625" customWidth="1"/>
    <col min="17" max="17" width="19.42578125" customWidth="1"/>
    <col min="18" max="18" width="19.42578125" style="10" customWidth="1"/>
    <col min="19" max="19" width="25.140625" customWidth="1"/>
    <col min="20" max="21" width="19.42578125" customWidth="1"/>
  </cols>
  <sheetData>
    <row r="1" spans="2:18" ht="15" customHeight="1" x14ac:dyDescent="0.25">
      <c r="D1"/>
      <c r="E1"/>
      <c r="F1"/>
      <c r="H1" s="10"/>
      <c r="I1" s="10"/>
      <c r="J1" s="35"/>
      <c r="K1" s="35"/>
      <c r="L1" s="35"/>
      <c r="M1" s="35"/>
      <c r="N1" s="35"/>
      <c r="O1" s="36"/>
      <c r="R1"/>
    </row>
    <row r="2" spans="2:18" ht="15" customHeight="1" thickBot="1" x14ac:dyDescent="0.3">
      <c r="C2" s="27"/>
      <c r="D2"/>
      <c r="E2"/>
      <c r="F2"/>
      <c r="G2" s="10"/>
      <c r="H2" s="10"/>
      <c r="I2" s="10"/>
      <c r="J2" s="35"/>
      <c r="K2"/>
      <c r="L2" s="35"/>
      <c r="M2" s="35"/>
      <c r="N2" s="35"/>
      <c r="O2" s="10"/>
      <c r="R2"/>
    </row>
    <row r="3" spans="2:18" s="10" customFormat="1" ht="15" customHeight="1" x14ac:dyDescent="0.25">
      <c r="C3" s="27"/>
      <c r="J3" s="106" t="s">
        <v>40</v>
      </c>
      <c r="K3" s="107"/>
      <c r="L3" s="108"/>
      <c r="M3" s="103" t="s">
        <v>54</v>
      </c>
      <c r="N3" s="104"/>
      <c r="O3" s="105"/>
    </row>
    <row r="4" spans="2:18" ht="30" x14ac:dyDescent="0.25">
      <c r="B4" s="48" t="s">
        <v>0</v>
      </c>
      <c r="C4" s="48" t="s">
        <v>1</v>
      </c>
      <c r="D4" s="49" t="s">
        <v>2</v>
      </c>
      <c r="E4" s="49" t="s">
        <v>44</v>
      </c>
      <c r="F4" s="49" t="s">
        <v>45</v>
      </c>
      <c r="G4" s="34" t="s">
        <v>48</v>
      </c>
      <c r="H4" s="50" t="s">
        <v>46</v>
      </c>
      <c r="I4" s="51" t="s">
        <v>41</v>
      </c>
      <c r="J4" s="52" t="s">
        <v>14</v>
      </c>
      <c r="K4" s="53" t="s">
        <v>15</v>
      </c>
      <c r="L4" s="54" t="s">
        <v>20</v>
      </c>
      <c r="M4" s="52" t="s">
        <v>14</v>
      </c>
      <c r="N4" s="55" t="s">
        <v>15</v>
      </c>
      <c r="O4" s="13" t="s">
        <v>20</v>
      </c>
      <c r="R4"/>
    </row>
    <row r="5" spans="2:18" x14ac:dyDescent="0.25">
      <c r="B5" s="1">
        <v>1</v>
      </c>
      <c r="C5" s="41" t="s">
        <v>3</v>
      </c>
      <c r="D5" s="31">
        <v>138400</v>
      </c>
      <c r="E5" s="31">
        <f>110800*0.2</f>
        <v>22160</v>
      </c>
      <c r="F5" s="31">
        <f t="shared" ref="F5:F30" si="0">D5-E5</f>
        <v>116240</v>
      </c>
      <c r="G5" s="1">
        <v>0.91</v>
      </c>
      <c r="H5" s="47">
        <f t="shared" ref="H5:H30" si="1">F5*G5</f>
        <v>105778.40000000001</v>
      </c>
      <c r="I5" s="45">
        <f t="shared" ref="I5:I30" si="2">F5*$J$33</f>
        <v>2959.1847101318808</v>
      </c>
      <c r="J5" s="14">
        <f>I5*3</f>
        <v>8877.5541303956416</v>
      </c>
      <c r="K5" s="3">
        <f>I5*1.5</f>
        <v>4438.7770651978208</v>
      </c>
      <c r="L5" s="45">
        <f>J5+K5</f>
        <v>13316.331195593462</v>
      </c>
      <c r="M5" s="14">
        <f t="shared" ref="M5:M30" si="3">(H5-I5)*$P$34*12-J5</f>
        <v>400.16639592679167</v>
      </c>
      <c r="N5" s="3">
        <f t="shared" ref="N5:N30" si="4">(H5-I5)*$P$35*12-K5</f>
        <v>-2528.0533143944381</v>
      </c>
      <c r="O5" s="15">
        <f>SUMIF(M5:N5,"&gt;0")</f>
        <v>400.16639592679167</v>
      </c>
      <c r="R5"/>
    </row>
    <row r="6" spans="2:18" x14ac:dyDescent="0.25">
      <c r="B6" s="41">
        <v>2</v>
      </c>
      <c r="C6" s="41" t="s">
        <v>4</v>
      </c>
      <c r="D6" s="42">
        <v>134600</v>
      </c>
      <c r="E6" s="42">
        <v>8500</v>
      </c>
      <c r="F6" s="31">
        <f t="shared" si="0"/>
        <v>126100</v>
      </c>
      <c r="G6" s="41">
        <v>0.91</v>
      </c>
      <c r="H6" s="47">
        <f t="shared" si="1"/>
        <v>114751</v>
      </c>
      <c r="I6" s="45">
        <f t="shared" si="2"/>
        <v>3210.1960766313673</v>
      </c>
      <c r="J6" s="14">
        <f t="shared" ref="J6:J26" si="5">I6*3</f>
        <v>9630.5882298941015</v>
      </c>
      <c r="K6" s="3">
        <f t="shared" ref="K6:K26" si="6">I6*1.5</f>
        <v>4815.2941149470507</v>
      </c>
      <c r="L6" s="45">
        <f t="shared" ref="L6:L26" si="7">J6+K6</f>
        <v>14445.882344841153</v>
      </c>
      <c r="M6" s="14">
        <f t="shared" si="3"/>
        <v>434.11031079119493</v>
      </c>
      <c r="N6" s="3">
        <f t="shared" si="4"/>
        <v>-2742.4941753711169</v>
      </c>
      <c r="O6" s="15">
        <f t="shared" ref="O6:O26" si="8">SUMIF(M6:N6,"&gt;0")</f>
        <v>434.11031079119493</v>
      </c>
      <c r="R6"/>
    </row>
    <row r="7" spans="2:18" x14ac:dyDescent="0.25">
      <c r="B7" s="30">
        <v>3</v>
      </c>
      <c r="C7" s="30" t="s">
        <v>24</v>
      </c>
      <c r="D7" s="31">
        <v>83000</v>
      </c>
      <c r="E7" s="31">
        <v>60000</v>
      </c>
      <c r="F7" s="31">
        <f t="shared" si="0"/>
        <v>23000</v>
      </c>
      <c r="G7" s="30">
        <v>0.95</v>
      </c>
      <c r="H7" s="47">
        <f t="shared" si="1"/>
        <v>21850</v>
      </c>
      <c r="I7" s="45">
        <f t="shared" si="2"/>
        <v>585.52347155052701</v>
      </c>
      <c r="J7" s="14">
        <f t="shared" si="5"/>
        <v>1756.5704146515809</v>
      </c>
      <c r="K7" s="3">
        <f t="shared" si="6"/>
        <v>878.28520732579045</v>
      </c>
      <c r="L7" s="45">
        <f t="shared" si="7"/>
        <v>2634.8556219773714</v>
      </c>
      <c r="M7" s="14">
        <f t="shared" si="3"/>
        <v>162.19418409884292</v>
      </c>
      <c r="N7" s="3">
        <f t="shared" si="4"/>
        <v>-483.12035183877106</v>
      </c>
      <c r="O7" s="15">
        <f t="shared" si="8"/>
        <v>162.19418409884292</v>
      </c>
      <c r="R7"/>
    </row>
    <row r="8" spans="2:18" x14ac:dyDescent="0.25">
      <c r="B8" s="11">
        <v>4</v>
      </c>
      <c r="C8" s="2" t="s">
        <v>23</v>
      </c>
      <c r="D8" s="3">
        <v>72000</v>
      </c>
      <c r="E8" s="3">
        <f>D8*$E$33</f>
        <v>4576.2480000000005</v>
      </c>
      <c r="F8" s="3">
        <f t="shared" si="0"/>
        <v>67423.751999999993</v>
      </c>
      <c r="G8" s="1">
        <v>0.91</v>
      </c>
      <c r="H8" s="47">
        <f t="shared" si="1"/>
        <v>61355.614319999993</v>
      </c>
      <c r="I8" s="45">
        <f t="shared" si="2"/>
        <v>1716.4430146087732</v>
      </c>
      <c r="J8" s="14">
        <f t="shared" si="5"/>
        <v>5149.3290438263193</v>
      </c>
      <c r="K8" s="3">
        <f t="shared" si="6"/>
        <v>2574.6645219131597</v>
      </c>
      <c r="L8" s="45">
        <f t="shared" si="7"/>
        <v>7723.993565739479</v>
      </c>
      <c r="M8" s="14">
        <f t="shared" si="3"/>
        <v>232.1121802968155</v>
      </c>
      <c r="N8" s="3">
        <f t="shared" si="4"/>
        <v>-1466.369921821306</v>
      </c>
      <c r="O8" s="15">
        <f t="shared" si="8"/>
        <v>232.1121802968155</v>
      </c>
      <c r="R8"/>
    </row>
    <row r="9" spans="2:18" s="10" customFormat="1" x14ac:dyDescent="0.25">
      <c r="B9" s="41">
        <v>5</v>
      </c>
      <c r="C9" s="28" t="s">
        <v>38</v>
      </c>
      <c r="D9" s="31">
        <v>70000</v>
      </c>
      <c r="E9" s="3">
        <f>D9*$E$33</f>
        <v>4449.13</v>
      </c>
      <c r="F9" s="3">
        <f t="shared" si="0"/>
        <v>65550.87</v>
      </c>
      <c r="G9" s="11">
        <v>0.91</v>
      </c>
      <c r="H9" s="47">
        <f t="shared" si="1"/>
        <v>59651.291699999994</v>
      </c>
      <c r="I9" s="45">
        <f t="shared" si="2"/>
        <v>1668.7640419807517</v>
      </c>
      <c r="J9" s="14">
        <f>I9*3</f>
        <v>5006.2921259422546</v>
      </c>
      <c r="K9" s="3">
        <f>I9*1.5</f>
        <v>2503.1460629711273</v>
      </c>
      <c r="L9" s="45">
        <f>J9+K9</f>
        <v>7509.438188913382</v>
      </c>
      <c r="M9" s="14">
        <f t="shared" si="3"/>
        <v>225.66461973301557</v>
      </c>
      <c r="N9" s="3">
        <f t="shared" si="4"/>
        <v>-1425.6374239929362</v>
      </c>
      <c r="O9" s="15">
        <f>SUMIF(M9:N9,"&gt;0")</f>
        <v>225.66461973301557</v>
      </c>
    </row>
    <row r="10" spans="2:18" x14ac:dyDescent="0.25">
      <c r="B10" s="30">
        <v>6</v>
      </c>
      <c r="C10" s="1" t="s">
        <v>5</v>
      </c>
      <c r="D10" s="3">
        <v>69500</v>
      </c>
      <c r="E10" s="3">
        <f>D10*$E$33</f>
        <v>4417.3505000000005</v>
      </c>
      <c r="F10" s="3">
        <f t="shared" si="0"/>
        <v>65082.6495</v>
      </c>
      <c r="G10" s="1">
        <v>0.87</v>
      </c>
      <c r="H10" s="47">
        <f t="shared" si="1"/>
        <v>56621.905064999999</v>
      </c>
      <c r="I10" s="45">
        <f t="shared" si="2"/>
        <v>1656.8442988237464</v>
      </c>
      <c r="J10" s="14">
        <f t="shared" si="5"/>
        <v>4970.5328964712389</v>
      </c>
      <c r="K10" s="3">
        <f t="shared" si="6"/>
        <v>2485.2664482356195</v>
      </c>
      <c r="L10" s="45">
        <f t="shared" si="7"/>
        <v>7455.7993447068584</v>
      </c>
      <c r="M10" s="14">
        <f t="shared" si="3"/>
        <v>-10.852246669935084</v>
      </c>
      <c r="N10" s="3">
        <f t="shared" si="4"/>
        <v>-1463.8324023308439</v>
      </c>
      <c r="O10" s="15">
        <f t="shared" si="8"/>
        <v>0</v>
      </c>
      <c r="R10"/>
    </row>
    <row r="11" spans="2:18" x14ac:dyDescent="0.25">
      <c r="B11" s="11">
        <v>7</v>
      </c>
      <c r="C11" s="2" t="s">
        <v>22</v>
      </c>
      <c r="D11" s="3">
        <v>68000</v>
      </c>
      <c r="E11" s="3">
        <f>D11*$E$33</f>
        <v>4322.0120000000006</v>
      </c>
      <c r="F11" s="3">
        <f t="shared" si="0"/>
        <v>63677.987999999998</v>
      </c>
      <c r="G11" s="11">
        <v>0.91</v>
      </c>
      <c r="H11" s="47">
        <f t="shared" si="1"/>
        <v>57946.969080000003</v>
      </c>
      <c r="I11" s="45">
        <f t="shared" si="2"/>
        <v>1621.0850693527302</v>
      </c>
      <c r="J11" s="14">
        <f t="shared" si="5"/>
        <v>4863.2552080581909</v>
      </c>
      <c r="K11" s="3">
        <f t="shared" si="6"/>
        <v>2431.6276040290954</v>
      </c>
      <c r="L11" s="45">
        <f t="shared" si="7"/>
        <v>7294.8828120872859</v>
      </c>
      <c r="M11" s="14">
        <f t="shared" si="3"/>
        <v>219.21705916921474</v>
      </c>
      <c r="N11" s="3">
        <f t="shared" si="4"/>
        <v>-1384.9049261645669</v>
      </c>
      <c r="O11" s="15">
        <f t="shared" si="8"/>
        <v>219.21705916921474</v>
      </c>
      <c r="R11"/>
    </row>
    <row r="12" spans="2:18" x14ac:dyDescent="0.25">
      <c r="B12" s="41">
        <v>8</v>
      </c>
      <c r="C12" s="30" t="s">
        <v>7</v>
      </c>
      <c r="D12" s="31">
        <v>53000</v>
      </c>
      <c r="E12" s="31">
        <v>16000</v>
      </c>
      <c r="F12" s="31">
        <f t="shared" si="0"/>
        <v>37000</v>
      </c>
      <c r="G12" s="1">
        <v>0.95</v>
      </c>
      <c r="H12" s="47">
        <f t="shared" si="1"/>
        <v>35150</v>
      </c>
      <c r="I12" s="45">
        <f t="shared" si="2"/>
        <v>941.92906292910857</v>
      </c>
      <c r="J12" s="14">
        <f t="shared" si="5"/>
        <v>2825.7871887873257</v>
      </c>
      <c r="K12" s="3">
        <f t="shared" si="6"/>
        <v>1412.8935943936629</v>
      </c>
      <c r="L12" s="45">
        <f t="shared" si="7"/>
        <v>4238.6807831809883</v>
      </c>
      <c r="M12" s="14">
        <f t="shared" si="3"/>
        <v>260.92107876770478</v>
      </c>
      <c r="N12" s="3">
        <f t="shared" si="4"/>
        <v>-777.19360947976202</v>
      </c>
      <c r="O12" s="15">
        <f t="shared" si="8"/>
        <v>260.92107876770478</v>
      </c>
      <c r="R12"/>
    </row>
    <row r="13" spans="2:18" x14ac:dyDescent="0.25">
      <c r="B13" s="30">
        <v>9</v>
      </c>
      <c r="C13" s="1" t="s">
        <v>6</v>
      </c>
      <c r="D13" s="3">
        <v>51000</v>
      </c>
      <c r="E13" s="3">
        <f>D13*$E$33</f>
        <v>3241.509</v>
      </c>
      <c r="F13" s="3">
        <f t="shared" si="0"/>
        <v>47758.491000000002</v>
      </c>
      <c r="G13" s="11">
        <v>0.87</v>
      </c>
      <c r="H13" s="47">
        <f t="shared" si="1"/>
        <v>41549.887170000002</v>
      </c>
      <c r="I13" s="45">
        <f t="shared" si="2"/>
        <v>1215.8138020145477</v>
      </c>
      <c r="J13" s="14">
        <f t="shared" si="5"/>
        <v>3647.4414060436429</v>
      </c>
      <c r="K13" s="3">
        <f t="shared" si="6"/>
        <v>1823.7207030218215</v>
      </c>
      <c r="L13" s="45">
        <f t="shared" si="7"/>
        <v>5471.1621090654644</v>
      </c>
      <c r="M13" s="14">
        <f t="shared" si="3"/>
        <v>-7.9635191390889304</v>
      </c>
      <c r="N13" s="3">
        <f t="shared" si="4"/>
        <v>-1074.179172933425</v>
      </c>
      <c r="O13" s="15">
        <f t="shared" si="8"/>
        <v>0</v>
      </c>
      <c r="R13"/>
    </row>
    <row r="14" spans="2:18" x14ac:dyDescent="0.25">
      <c r="B14" s="11">
        <v>10</v>
      </c>
      <c r="C14" s="30" t="s">
        <v>25</v>
      </c>
      <c r="D14" s="31">
        <v>45000</v>
      </c>
      <c r="E14" s="31">
        <f>D14*$E$33</f>
        <v>2860.1550000000002</v>
      </c>
      <c r="F14" s="31">
        <f t="shared" si="0"/>
        <v>42139.845000000001</v>
      </c>
      <c r="G14" s="11">
        <v>0.91</v>
      </c>
      <c r="H14" s="47">
        <f t="shared" si="1"/>
        <v>38347.258950000003</v>
      </c>
      <c r="I14" s="45">
        <f t="shared" si="2"/>
        <v>1072.7768841304833</v>
      </c>
      <c r="J14" s="14">
        <f t="shared" si="5"/>
        <v>3218.3306523914498</v>
      </c>
      <c r="K14" s="3">
        <f t="shared" si="6"/>
        <v>1609.1653261957249</v>
      </c>
      <c r="L14" s="45">
        <f t="shared" si="7"/>
        <v>4827.4959785871742</v>
      </c>
      <c r="M14" s="14">
        <f t="shared" si="3"/>
        <v>145.07011268551014</v>
      </c>
      <c r="N14" s="3">
        <f t="shared" si="4"/>
        <v>-916.48120113831624</v>
      </c>
      <c r="O14" s="15">
        <f t="shared" si="8"/>
        <v>145.07011268551014</v>
      </c>
      <c r="R14"/>
    </row>
    <row r="15" spans="2:18" x14ac:dyDescent="0.25">
      <c r="B15" s="41">
        <v>11</v>
      </c>
      <c r="C15" s="30" t="s">
        <v>8</v>
      </c>
      <c r="D15" s="31">
        <v>40000</v>
      </c>
      <c r="E15" s="31">
        <f>D15*$E$33</f>
        <v>2542.36</v>
      </c>
      <c r="F15" s="31">
        <f t="shared" si="0"/>
        <v>37457.64</v>
      </c>
      <c r="G15" s="11">
        <v>0.91</v>
      </c>
      <c r="H15" s="47">
        <f t="shared" si="1"/>
        <v>34086.452400000002</v>
      </c>
      <c r="I15" s="45">
        <f t="shared" si="2"/>
        <v>953.57945256042956</v>
      </c>
      <c r="J15" s="14">
        <f t="shared" si="5"/>
        <v>2860.7383576812886</v>
      </c>
      <c r="K15" s="3">
        <f t="shared" si="6"/>
        <v>1430.3691788406443</v>
      </c>
      <c r="L15" s="45">
        <f t="shared" si="7"/>
        <v>4291.1075365219331</v>
      </c>
      <c r="M15" s="14">
        <f t="shared" si="3"/>
        <v>128.95121127600896</v>
      </c>
      <c r="N15" s="3">
        <f t="shared" si="4"/>
        <v>-814.64995656739211</v>
      </c>
      <c r="O15" s="15">
        <f t="shared" si="8"/>
        <v>128.95121127600896</v>
      </c>
      <c r="R15"/>
    </row>
    <row r="16" spans="2:18" x14ac:dyDescent="0.25">
      <c r="B16" s="30">
        <v>12</v>
      </c>
      <c r="C16" s="30" t="s">
        <v>9</v>
      </c>
      <c r="D16" s="31">
        <v>32000</v>
      </c>
      <c r="E16" s="31">
        <v>7000</v>
      </c>
      <c r="F16" s="31">
        <f t="shared" si="0"/>
        <v>25000</v>
      </c>
      <c r="G16" s="1">
        <v>0.97</v>
      </c>
      <c r="H16" s="47">
        <f t="shared" si="1"/>
        <v>24250</v>
      </c>
      <c r="I16" s="45">
        <f t="shared" si="2"/>
        <v>636.4385560331815</v>
      </c>
      <c r="J16" s="14">
        <f t="shared" si="5"/>
        <v>1909.3156680995444</v>
      </c>
      <c r="K16" s="3">
        <f t="shared" si="6"/>
        <v>954.65783404977219</v>
      </c>
      <c r="L16" s="45">
        <f t="shared" si="7"/>
        <v>2863.9735021493166</v>
      </c>
      <c r="M16" s="14">
        <f t="shared" si="3"/>
        <v>221.41469286106167</v>
      </c>
      <c r="N16" s="3">
        <f t="shared" si="4"/>
        <v>-515.83915054938882</v>
      </c>
      <c r="O16" s="15">
        <f t="shared" si="8"/>
        <v>221.41469286106167</v>
      </c>
      <c r="R16"/>
    </row>
    <row r="17" spans="2:18" x14ac:dyDescent="0.25">
      <c r="B17" s="11">
        <v>13</v>
      </c>
      <c r="C17" s="30" t="s">
        <v>10</v>
      </c>
      <c r="D17" s="31">
        <v>30000</v>
      </c>
      <c r="E17" s="31">
        <f t="shared" ref="E17:E30" si="9">D17*$E$33</f>
        <v>1906.7700000000002</v>
      </c>
      <c r="F17" s="31">
        <f t="shared" si="0"/>
        <v>28093.23</v>
      </c>
      <c r="G17" s="11">
        <v>0.87</v>
      </c>
      <c r="H17" s="47">
        <f t="shared" si="1"/>
        <v>24441.110099999998</v>
      </c>
      <c r="I17" s="45">
        <f t="shared" si="2"/>
        <v>715.18458942032225</v>
      </c>
      <c r="J17" s="14">
        <f t="shared" si="5"/>
        <v>2145.5537682609665</v>
      </c>
      <c r="K17" s="3">
        <f t="shared" si="6"/>
        <v>1072.7768841304833</v>
      </c>
      <c r="L17" s="45">
        <f t="shared" si="7"/>
        <v>3218.3306523914498</v>
      </c>
      <c r="M17" s="14">
        <f t="shared" si="3"/>
        <v>-4.684423022993542</v>
      </c>
      <c r="N17" s="3">
        <f t="shared" si="4"/>
        <v>-631.87010172554426</v>
      </c>
      <c r="O17" s="15">
        <f t="shared" si="8"/>
        <v>0</v>
      </c>
      <c r="R17"/>
    </row>
    <row r="18" spans="2:18" x14ac:dyDescent="0.25">
      <c r="B18" s="41">
        <v>14</v>
      </c>
      <c r="C18" s="30" t="s">
        <v>11</v>
      </c>
      <c r="D18" s="31">
        <v>30000</v>
      </c>
      <c r="E18" s="31">
        <f t="shared" si="9"/>
        <v>1906.7700000000002</v>
      </c>
      <c r="F18" s="31">
        <f t="shared" si="0"/>
        <v>28093.23</v>
      </c>
      <c r="G18" s="11">
        <v>0.91</v>
      </c>
      <c r="H18" s="47">
        <f t="shared" si="1"/>
        <v>25564.8393</v>
      </c>
      <c r="I18" s="45">
        <f t="shared" si="2"/>
        <v>715.18458942032225</v>
      </c>
      <c r="J18" s="14">
        <f t="shared" si="5"/>
        <v>2145.5537682609665</v>
      </c>
      <c r="K18" s="3">
        <f t="shared" si="6"/>
        <v>1072.7768841304833</v>
      </c>
      <c r="L18" s="45">
        <f t="shared" si="7"/>
        <v>3218.3306523914498</v>
      </c>
      <c r="M18" s="14">
        <f t="shared" si="3"/>
        <v>96.713408457006608</v>
      </c>
      <c r="N18" s="3">
        <f t="shared" si="4"/>
        <v>-610.9874674255442</v>
      </c>
      <c r="O18" s="15">
        <f t="shared" si="8"/>
        <v>96.713408457006608</v>
      </c>
      <c r="R18"/>
    </row>
    <row r="19" spans="2:18" s="10" customFormat="1" x14ac:dyDescent="0.25">
      <c r="B19" s="30">
        <v>15</v>
      </c>
      <c r="C19" s="30" t="s">
        <v>28</v>
      </c>
      <c r="D19" s="3">
        <v>25000</v>
      </c>
      <c r="E19" s="3">
        <f t="shared" si="9"/>
        <v>1588.9750000000001</v>
      </c>
      <c r="F19" s="3">
        <f t="shared" si="0"/>
        <v>23411.025000000001</v>
      </c>
      <c r="G19" s="11">
        <v>0.91</v>
      </c>
      <c r="H19" s="47">
        <f t="shared" si="1"/>
        <v>21304.032750000002</v>
      </c>
      <c r="I19" s="45">
        <f t="shared" si="2"/>
        <v>595.98715785026855</v>
      </c>
      <c r="J19" s="14">
        <f t="shared" si="5"/>
        <v>1787.9614735508057</v>
      </c>
      <c r="K19" s="3">
        <f t="shared" si="6"/>
        <v>893.98073677540287</v>
      </c>
      <c r="L19" s="45">
        <f t="shared" si="7"/>
        <v>2681.9422103262086</v>
      </c>
      <c r="M19" s="14">
        <f t="shared" si="3"/>
        <v>80.594507047505431</v>
      </c>
      <c r="N19" s="3">
        <f t="shared" si="4"/>
        <v>-509.1562228546203</v>
      </c>
      <c r="O19" s="15">
        <f t="shared" si="8"/>
        <v>80.594507047505431</v>
      </c>
    </row>
    <row r="20" spans="2:18" x14ac:dyDescent="0.25">
      <c r="B20" s="11">
        <v>16</v>
      </c>
      <c r="C20" s="1" t="s">
        <v>21</v>
      </c>
      <c r="D20" s="3">
        <v>25000</v>
      </c>
      <c r="E20" s="3">
        <f t="shared" si="9"/>
        <v>1588.9750000000001</v>
      </c>
      <c r="F20" s="3">
        <f t="shared" si="0"/>
        <v>23411.025000000001</v>
      </c>
      <c r="G20" s="11">
        <v>0.95</v>
      </c>
      <c r="H20" s="47">
        <f t="shared" si="1"/>
        <v>22240.473750000001</v>
      </c>
      <c r="I20" s="45">
        <f t="shared" si="2"/>
        <v>595.98715785026855</v>
      </c>
      <c r="J20" s="14">
        <f t="shared" si="5"/>
        <v>1787.9614735508057</v>
      </c>
      <c r="K20" s="3">
        <f t="shared" si="6"/>
        <v>893.98073677540287</v>
      </c>
      <c r="L20" s="45">
        <f t="shared" si="7"/>
        <v>2681.9422103262086</v>
      </c>
      <c r="M20" s="14">
        <f t="shared" si="3"/>
        <v>165.09269994750503</v>
      </c>
      <c r="N20" s="3">
        <f t="shared" si="4"/>
        <v>-491.75402760462032</v>
      </c>
      <c r="O20" s="15">
        <f t="shared" si="8"/>
        <v>165.09269994750503</v>
      </c>
      <c r="R20"/>
    </row>
    <row r="21" spans="2:18" s="10" customFormat="1" x14ac:dyDescent="0.25">
      <c r="B21" s="41">
        <v>17</v>
      </c>
      <c r="C21" s="11" t="s">
        <v>35</v>
      </c>
      <c r="D21" s="3">
        <v>23000</v>
      </c>
      <c r="E21" s="3">
        <f t="shared" si="9"/>
        <v>1461.8570000000002</v>
      </c>
      <c r="F21" s="3">
        <f t="shared" si="0"/>
        <v>21538.143</v>
      </c>
      <c r="G21" s="11">
        <v>0.87</v>
      </c>
      <c r="H21" s="47">
        <f t="shared" si="1"/>
        <v>18738.184410000002</v>
      </c>
      <c r="I21" s="45">
        <f t="shared" si="2"/>
        <v>548.30818522224706</v>
      </c>
      <c r="J21" s="14">
        <f t="shared" si="5"/>
        <v>1644.9245556667411</v>
      </c>
      <c r="K21" s="3">
        <f t="shared" si="6"/>
        <v>822.46227783337054</v>
      </c>
      <c r="L21" s="45">
        <f t="shared" si="7"/>
        <v>2467.3868335001116</v>
      </c>
      <c r="M21" s="14">
        <f t="shared" si="3"/>
        <v>-3.591390984294776</v>
      </c>
      <c r="N21" s="3">
        <f t="shared" si="4"/>
        <v>-484.43374465625055</v>
      </c>
      <c r="O21" s="15">
        <f t="shared" si="8"/>
        <v>0</v>
      </c>
    </row>
    <row r="22" spans="2:18" s="10" customFormat="1" x14ac:dyDescent="0.25">
      <c r="B22" s="30">
        <v>18</v>
      </c>
      <c r="C22" s="20" t="s">
        <v>31</v>
      </c>
      <c r="D22" s="31">
        <v>18000</v>
      </c>
      <c r="E22" s="31">
        <f t="shared" si="9"/>
        <v>1144.0620000000001</v>
      </c>
      <c r="F22" s="31">
        <f t="shared" si="0"/>
        <v>16855.937999999998</v>
      </c>
      <c r="G22" s="11">
        <v>0.91</v>
      </c>
      <c r="H22" s="47">
        <f t="shared" si="1"/>
        <v>15338.903579999998</v>
      </c>
      <c r="I22" s="45">
        <f t="shared" si="2"/>
        <v>429.1107536521933</v>
      </c>
      <c r="J22" s="14">
        <f>I22*3</f>
        <v>1287.3322609565798</v>
      </c>
      <c r="K22" s="3">
        <f>I22*1.5</f>
        <v>643.66613047828992</v>
      </c>
      <c r="L22" s="45">
        <f>J22+K22</f>
        <v>1930.9983914348697</v>
      </c>
      <c r="M22" s="14">
        <f t="shared" si="3"/>
        <v>58.028045074203874</v>
      </c>
      <c r="N22" s="3">
        <f t="shared" si="4"/>
        <v>-366.59248045532649</v>
      </c>
      <c r="O22" s="15">
        <f>SUMIF(M22:N22,"&gt;0")</f>
        <v>58.028045074203874</v>
      </c>
    </row>
    <row r="23" spans="2:18" s="10" customFormat="1" x14ac:dyDescent="0.25">
      <c r="B23" s="11">
        <v>19</v>
      </c>
      <c r="C23" s="20" t="s">
        <v>33</v>
      </c>
      <c r="D23" s="31">
        <v>16700</v>
      </c>
      <c r="E23" s="31">
        <f t="shared" si="9"/>
        <v>1061.4353000000001</v>
      </c>
      <c r="F23" s="31">
        <f t="shared" si="0"/>
        <v>15638.564699999999</v>
      </c>
      <c r="G23" s="11">
        <v>0.91</v>
      </c>
      <c r="H23" s="47">
        <f t="shared" si="1"/>
        <v>14231.093876999999</v>
      </c>
      <c r="I23" s="45">
        <f t="shared" si="2"/>
        <v>398.11942144397932</v>
      </c>
      <c r="J23" s="14">
        <f t="shared" si="5"/>
        <v>1194.358264331938</v>
      </c>
      <c r="K23" s="3">
        <f t="shared" si="6"/>
        <v>597.17913216596901</v>
      </c>
      <c r="L23" s="45">
        <f t="shared" si="7"/>
        <v>1791.5373964979071</v>
      </c>
      <c r="M23" s="14">
        <f t="shared" si="3"/>
        <v>53.837130707733422</v>
      </c>
      <c r="N23" s="3">
        <f t="shared" si="4"/>
        <v>-340.11635686688629</v>
      </c>
      <c r="O23" s="15">
        <f t="shared" si="8"/>
        <v>53.837130707733422</v>
      </c>
    </row>
    <row r="24" spans="2:18" s="10" customFormat="1" x14ac:dyDescent="0.25">
      <c r="B24" s="41">
        <v>20</v>
      </c>
      <c r="C24" s="28" t="s">
        <v>34</v>
      </c>
      <c r="D24" s="3">
        <v>14000</v>
      </c>
      <c r="E24" s="3">
        <f t="shared" si="9"/>
        <v>889.82600000000002</v>
      </c>
      <c r="F24" s="3">
        <f t="shared" si="0"/>
        <v>13110.173999999999</v>
      </c>
      <c r="G24" s="11">
        <v>0.91</v>
      </c>
      <c r="H24" s="47">
        <f t="shared" si="1"/>
        <v>11930.25834</v>
      </c>
      <c r="I24" s="45">
        <f t="shared" si="2"/>
        <v>333.75280839615033</v>
      </c>
      <c r="J24" s="14">
        <f>I24*3</f>
        <v>1001.2584251884509</v>
      </c>
      <c r="K24" s="3">
        <f>I24*1.5</f>
        <v>500.62921259422546</v>
      </c>
      <c r="L24" s="45">
        <f>J24+K24</f>
        <v>1501.8876377826764</v>
      </c>
      <c r="M24" s="14">
        <f t="shared" si="3"/>
        <v>45.132923946603341</v>
      </c>
      <c r="N24" s="3">
        <f t="shared" si="4"/>
        <v>-285.1274847985872</v>
      </c>
      <c r="O24" s="15">
        <f>SUMIF(M24:N24,"&gt;0")</f>
        <v>45.132923946603341</v>
      </c>
    </row>
    <row r="25" spans="2:18" s="10" customFormat="1" x14ac:dyDescent="0.25">
      <c r="B25" s="30">
        <v>21</v>
      </c>
      <c r="C25" s="20" t="s">
        <v>30</v>
      </c>
      <c r="D25" s="31">
        <v>13200</v>
      </c>
      <c r="E25" s="31">
        <f t="shared" si="9"/>
        <v>838.97880000000009</v>
      </c>
      <c r="F25" s="31">
        <f t="shared" si="0"/>
        <v>12361.021199999999</v>
      </c>
      <c r="G25" s="11">
        <v>0.91</v>
      </c>
      <c r="H25" s="47">
        <f t="shared" si="1"/>
        <v>11248.529291999999</v>
      </c>
      <c r="I25" s="45">
        <f t="shared" si="2"/>
        <v>314.68121934494178</v>
      </c>
      <c r="J25" s="14">
        <f>I25*3</f>
        <v>944.04365803482528</v>
      </c>
      <c r="K25" s="3">
        <f>I25*1.5</f>
        <v>472.02182901741264</v>
      </c>
      <c r="L25" s="45">
        <f>J25+K25</f>
        <v>1416.065487052238</v>
      </c>
      <c r="M25" s="14">
        <f t="shared" si="3"/>
        <v>42.553899721082644</v>
      </c>
      <c r="N25" s="3">
        <f t="shared" si="4"/>
        <v>-268.83448566723951</v>
      </c>
      <c r="O25" s="15">
        <f>SUMIF(M25:N25,"&gt;0")</f>
        <v>42.553899721082644</v>
      </c>
    </row>
    <row r="26" spans="2:18" s="10" customFormat="1" x14ac:dyDescent="0.25">
      <c r="B26" s="11">
        <v>22</v>
      </c>
      <c r="C26" s="28" t="s">
        <v>36</v>
      </c>
      <c r="D26" s="31">
        <v>11000</v>
      </c>
      <c r="E26" s="3">
        <f t="shared" si="9"/>
        <v>699.149</v>
      </c>
      <c r="F26" s="3">
        <f t="shared" si="0"/>
        <v>10300.851000000001</v>
      </c>
      <c r="G26" s="11">
        <v>0.85</v>
      </c>
      <c r="H26" s="47">
        <f t="shared" si="1"/>
        <v>8755.7233500000002</v>
      </c>
      <c r="I26" s="45">
        <f t="shared" si="2"/>
        <v>262.23434945411816</v>
      </c>
      <c r="J26" s="14">
        <f t="shared" si="5"/>
        <v>786.70304836235448</v>
      </c>
      <c r="K26" s="3">
        <f t="shared" si="6"/>
        <v>393.35152418117724</v>
      </c>
      <c r="L26" s="45">
        <f t="shared" si="7"/>
        <v>1180.0545725435318</v>
      </c>
      <c r="M26" s="14">
        <f t="shared" si="3"/>
        <v>-20.307224213097697</v>
      </c>
      <c r="N26" s="3">
        <f t="shared" si="4"/>
        <v>-235.51418692103292</v>
      </c>
      <c r="O26" s="15">
        <f t="shared" si="8"/>
        <v>0</v>
      </c>
    </row>
    <row r="27" spans="2:18" s="10" customFormat="1" x14ac:dyDescent="0.25">
      <c r="B27" s="41">
        <v>23</v>
      </c>
      <c r="C27" s="20" t="s">
        <v>29</v>
      </c>
      <c r="D27" s="31">
        <v>8800</v>
      </c>
      <c r="E27" s="31">
        <f t="shared" si="9"/>
        <v>559.31920000000002</v>
      </c>
      <c r="F27" s="31">
        <f t="shared" si="0"/>
        <v>8240.6808000000001</v>
      </c>
      <c r="G27" s="11">
        <v>0.95</v>
      </c>
      <c r="H27" s="47">
        <f t="shared" si="1"/>
        <v>7828.6467599999996</v>
      </c>
      <c r="I27" s="45">
        <f t="shared" si="2"/>
        <v>209.78747956329451</v>
      </c>
      <c r="J27" s="14">
        <f>I27*3</f>
        <v>629.36243868988356</v>
      </c>
      <c r="K27" s="3">
        <f>I27*1.5</f>
        <v>314.68121934494178</v>
      </c>
      <c r="L27" s="45">
        <f>J27+K27</f>
        <v>944.04365803482528</v>
      </c>
      <c r="M27" s="14">
        <f t="shared" si="3"/>
        <v>58.112630381521853</v>
      </c>
      <c r="N27" s="3">
        <f t="shared" si="4"/>
        <v>-173.09741771682633</v>
      </c>
      <c r="O27" s="15">
        <f>SUMIF(M27:N27,"&gt;0")</f>
        <v>58.112630381521853</v>
      </c>
    </row>
    <row r="28" spans="2:18" s="10" customFormat="1" x14ac:dyDescent="0.25">
      <c r="B28" s="30">
        <v>24</v>
      </c>
      <c r="C28" s="28" t="s">
        <v>32</v>
      </c>
      <c r="D28" s="31">
        <v>8170</v>
      </c>
      <c r="E28" s="3">
        <f t="shared" si="9"/>
        <v>519.27703000000008</v>
      </c>
      <c r="F28" s="3">
        <f t="shared" si="0"/>
        <v>7650.7229699999998</v>
      </c>
      <c r="G28" s="11">
        <v>0.91</v>
      </c>
      <c r="H28" s="47">
        <f t="shared" si="1"/>
        <v>6962.1579026999998</v>
      </c>
      <c r="I28" s="45">
        <f t="shared" si="2"/>
        <v>194.76860318546775</v>
      </c>
      <c r="J28" s="14">
        <f>I28*3</f>
        <v>584.30580955640323</v>
      </c>
      <c r="K28" s="3">
        <f>I28*1.5</f>
        <v>292.15290477820162</v>
      </c>
      <c r="L28" s="45">
        <f>J28+K28</f>
        <v>876.45871433460479</v>
      </c>
      <c r="M28" s="14">
        <f t="shared" si="3"/>
        <v>26.338284903124759</v>
      </c>
      <c r="N28" s="3">
        <f t="shared" si="4"/>
        <v>-166.39225362888988</v>
      </c>
      <c r="O28" s="15">
        <f>SUMIF(M28:N28,"&gt;0")</f>
        <v>26.338284903124759</v>
      </c>
    </row>
    <row r="29" spans="2:18" s="10" customFormat="1" x14ac:dyDescent="0.25">
      <c r="B29" s="11">
        <v>25</v>
      </c>
      <c r="C29" s="28" t="s">
        <v>37</v>
      </c>
      <c r="D29" s="31">
        <v>7700</v>
      </c>
      <c r="E29" s="3">
        <f t="shared" si="9"/>
        <v>489.40430000000003</v>
      </c>
      <c r="F29" s="3">
        <f t="shared" si="0"/>
        <v>7210.5956999999999</v>
      </c>
      <c r="G29" s="11">
        <v>0.85</v>
      </c>
      <c r="H29" s="47">
        <f t="shared" si="1"/>
        <v>6129.0063449999998</v>
      </c>
      <c r="I29" s="45">
        <f t="shared" si="2"/>
        <v>183.5640446178827</v>
      </c>
      <c r="J29" s="14">
        <f>I29*3</f>
        <v>550.6921338536481</v>
      </c>
      <c r="K29" s="3">
        <f>I29*1.5</f>
        <v>275.34606692682405</v>
      </c>
      <c r="L29" s="45">
        <f>J29+K29</f>
        <v>826.03820078047215</v>
      </c>
      <c r="M29" s="14">
        <f t="shared" si="3"/>
        <v>-14.215056949168343</v>
      </c>
      <c r="N29" s="3">
        <f t="shared" si="4"/>
        <v>-164.85993084472301</v>
      </c>
      <c r="O29" s="15">
        <f>SUMIF(M29:N29,"&gt;0")</f>
        <v>0</v>
      </c>
    </row>
    <row r="30" spans="2:18" s="10" customFormat="1" x14ac:dyDescent="0.25">
      <c r="B30" s="41"/>
      <c r="C30" s="28" t="s">
        <v>42</v>
      </c>
      <c r="D30" s="3">
        <v>95000</v>
      </c>
      <c r="E30" s="3">
        <f t="shared" si="9"/>
        <v>6038.1050000000005</v>
      </c>
      <c r="F30" s="3">
        <f t="shared" si="0"/>
        <v>88961.895000000004</v>
      </c>
      <c r="G30" s="11">
        <v>0.85</v>
      </c>
      <c r="H30" s="47">
        <f t="shared" si="1"/>
        <v>75617.610750000007</v>
      </c>
      <c r="I30" s="45">
        <f t="shared" si="2"/>
        <v>2264.7511998310206</v>
      </c>
      <c r="J30" s="14">
        <f>I30*3</f>
        <v>6794.2535994930622</v>
      </c>
      <c r="K30" s="3">
        <f>I30*1.5</f>
        <v>3397.1267997465311</v>
      </c>
      <c r="L30" s="45">
        <f>J30+K30</f>
        <v>10191.380399239593</v>
      </c>
      <c r="M30" s="14">
        <f t="shared" si="3"/>
        <v>-175.38057274948096</v>
      </c>
      <c r="N30" s="3">
        <f t="shared" si="4"/>
        <v>-2033.9861597725574</v>
      </c>
      <c r="O30" s="15">
        <f>SUMIF(M30:N30,"&gt;0")</f>
        <v>0</v>
      </c>
    </row>
    <row r="31" spans="2:18" ht="15.75" thickBot="1" x14ac:dyDescent="0.3">
      <c r="B31" s="111" t="s">
        <v>16</v>
      </c>
      <c r="C31" s="112"/>
      <c r="D31" s="65">
        <f>SUM(D5:D30)</f>
        <v>1182070</v>
      </c>
      <c r="E31" s="65">
        <f>SUM(E5:E30)</f>
        <v>160761.66813000003</v>
      </c>
      <c r="F31" s="46">
        <f>SUM(F5:F30)</f>
        <v>1021308.3318699999</v>
      </c>
      <c r="G31" s="46"/>
      <c r="H31" s="56">
        <f>SUM(H5:H30)</f>
        <v>921669.34919170011</v>
      </c>
      <c r="I31" s="66">
        <f>SUM(I5:I30)</f>
        <v>26000</v>
      </c>
      <c r="J31" s="16">
        <f>SUM(J5:J30)</f>
        <v>78000.000000000029</v>
      </c>
      <c r="K31" s="21">
        <f>SUM(K5:K30)</f>
        <v>39000.000000000015</v>
      </c>
      <c r="L31" s="57">
        <f>SUM(L5:L30)</f>
        <v>117000.00000000003</v>
      </c>
      <c r="M31" s="73">
        <f>SUMIF(M5:M30,"&gt;0")</f>
        <v>3056.2253757924473</v>
      </c>
      <c r="N31" s="74">
        <f>SUMIF(N5:N30,"&gt;0")</f>
        <v>0</v>
      </c>
      <c r="O31" s="75">
        <f>SUMIF(O5:O30,"&gt;0")</f>
        <v>3056.2253757924473</v>
      </c>
      <c r="R31"/>
    </row>
    <row r="32" spans="2:18" s="10" customFormat="1" ht="15" customHeight="1" x14ac:dyDescent="0.25">
      <c r="B32" s="39"/>
      <c r="C32" s="114" t="s">
        <v>149</v>
      </c>
      <c r="D32" s="114"/>
      <c r="E32" s="63"/>
      <c r="F32" s="40"/>
      <c r="G32" s="40"/>
      <c r="H32" s="40"/>
      <c r="I32" s="67" t="s">
        <v>47</v>
      </c>
      <c r="J32" s="68"/>
      <c r="K32" s="68"/>
      <c r="L32" s="68"/>
      <c r="M32" s="113" t="s">
        <v>17</v>
      </c>
      <c r="N32" s="113"/>
      <c r="O32" s="113"/>
      <c r="P32" s="113"/>
    </row>
    <row r="33" spans="2:18" x14ac:dyDescent="0.25">
      <c r="B33" s="4"/>
      <c r="C33" s="115"/>
      <c r="D33" s="115"/>
      <c r="E33" s="63">
        <v>6.3559000000000004E-2</v>
      </c>
      <c r="F33"/>
      <c r="G33" s="4"/>
      <c r="H33" s="4"/>
      <c r="I33" s="69" t="s">
        <v>43</v>
      </c>
      <c r="J33" s="70">
        <f>26000/F31</f>
        <v>2.545754224132726E-2</v>
      </c>
      <c r="K33" s="71"/>
      <c r="L33" s="71"/>
      <c r="M33" s="58"/>
      <c r="N33" s="59" t="s">
        <v>19</v>
      </c>
      <c r="O33" s="59" t="s">
        <v>18</v>
      </c>
      <c r="P33" s="58" t="s">
        <v>49</v>
      </c>
      <c r="Q33" s="43"/>
      <c r="R33"/>
    </row>
    <row r="34" spans="2:18" s="10" customFormat="1" x14ac:dyDescent="0.25">
      <c r="B34" s="4"/>
      <c r="C34" s="115"/>
      <c r="D34" s="115"/>
      <c r="E34" s="64"/>
      <c r="G34" s="4"/>
      <c r="H34" s="4"/>
      <c r="I34" s="72" t="s">
        <v>39</v>
      </c>
      <c r="J34" s="70"/>
      <c r="K34" s="71"/>
      <c r="L34" s="71"/>
      <c r="M34" s="61" t="s">
        <v>14</v>
      </c>
      <c r="N34" s="59">
        <v>5414</v>
      </c>
      <c r="O34" s="62">
        <f>N34/24</f>
        <v>225.58333333333334</v>
      </c>
      <c r="P34" s="62">
        <f>O34/30000</f>
        <v>7.5194444444444449E-3</v>
      </c>
    </row>
    <row r="35" spans="2:18" s="10" customFormat="1" ht="34.5" customHeight="1" x14ac:dyDescent="0.25">
      <c r="B35" s="4"/>
      <c r="C35" s="115" t="s">
        <v>148</v>
      </c>
      <c r="D35" s="115"/>
      <c r="E35" s="87"/>
      <c r="F35" s="4"/>
      <c r="G35" s="4"/>
      <c r="H35" s="4"/>
      <c r="I35" s="4"/>
      <c r="K35" s="44"/>
      <c r="L35" s="7"/>
      <c r="M35" s="60" t="s">
        <v>15</v>
      </c>
      <c r="N35" s="59">
        <v>1115</v>
      </c>
      <c r="O35" s="62">
        <f>N35/24</f>
        <v>46.458333333333336</v>
      </c>
      <c r="P35" s="62">
        <f>O35/30000</f>
        <v>1.5486111111111113E-3</v>
      </c>
    </row>
    <row r="36" spans="2:18" s="10" customFormat="1" x14ac:dyDescent="0.25">
      <c r="B36" s="4"/>
      <c r="C36" s="5"/>
      <c r="D36" s="5"/>
      <c r="E36" s="5"/>
      <c r="F36" s="5"/>
      <c r="G36" s="6"/>
      <c r="H36" s="6"/>
      <c r="I36" s="4"/>
      <c r="J36" s="4"/>
      <c r="K36" s="6"/>
      <c r="L36" s="6"/>
      <c r="M36" s="4"/>
      <c r="O36" s="44"/>
      <c r="P36" s="7"/>
      <c r="Q36" s="7"/>
    </row>
    <row r="37" spans="2:18" s="10" customFormat="1" x14ac:dyDescent="0.25">
      <c r="B37" s="4"/>
      <c r="C37" s="5"/>
      <c r="D37" s="5"/>
      <c r="E37" s="5"/>
      <c r="F37" s="5"/>
      <c r="G37" s="6"/>
      <c r="H37" s="6"/>
      <c r="I37" s="4"/>
      <c r="J37" s="4"/>
      <c r="K37" s="6"/>
      <c r="L37" s="6"/>
      <c r="M37" s="4"/>
      <c r="O37" s="44"/>
      <c r="P37" s="7"/>
      <c r="Q37" s="7"/>
    </row>
    <row r="38" spans="2:18" s="10" customFormat="1" x14ac:dyDescent="0.25">
      <c r="B38" s="4"/>
      <c r="C38" s="5"/>
      <c r="D38" s="5"/>
      <c r="E38" s="5"/>
      <c r="F38" s="5"/>
      <c r="G38" s="6"/>
      <c r="H38" s="6"/>
      <c r="I38" s="4"/>
      <c r="J38" s="4"/>
      <c r="K38" s="6"/>
      <c r="L38" s="6"/>
      <c r="M38" s="4"/>
      <c r="O38" s="44"/>
      <c r="P38" s="7"/>
      <c r="Q38" s="7"/>
    </row>
    <row r="39" spans="2:18" s="10" customFormat="1" x14ac:dyDescent="0.25">
      <c r="B39" s="4"/>
      <c r="C39" s="5"/>
      <c r="D39" s="5"/>
      <c r="E39" s="5"/>
      <c r="F39" s="5"/>
      <c r="G39" s="6"/>
      <c r="H39" s="6"/>
      <c r="I39" s="4"/>
      <c r="J39" s="4"/>
      <c r="K39" s="6"/>
      <c r="L39" s="6"/>
      <c r="M39" s="4"/>
      <c r="O39" s="44"/>
      <c r="P39" s="7"/>
      <c r="Q39" s="7"/>
    </row>
    <row r="40" spans="2:18" s="10" customFormat="1" x14ac:dyDescent="0.25">
      <c r="B40" s="4"/>
      <c r="C40" s="5"/>
      <c r="D40" s="5"/>
      <c r="E40" s="5"/>
      <c r="F40" s="5"/>
      <c r="G40" s="6"/>
      <c r="H40" s="6"/>
      <c r="I40" s="4"/>
      <c r="J40" s="4"/>
      <c r="K40" s="6"/>
      <c r="L40" s="6"/>
      <c r="M40" s="4"/>
      <c r="O40" s="44"/>
      <c r="P40" s="7"/>
      <c r="Q40" s="7"/>
    </row>
    <row r="41" spans="2:18" s="10" customFormat="1" x14ac:dyDescent="0.25">
      <c r="B41" s="4"/>
      <c r="C41" s="5"/>
      <c r="D41" s="5"/>
      <c r="E41" s="5"/>
      <c r="F41" s="5"/>
      <c r="G41" s="6"/>
      <c r="H41" s="6"/>
      <c r="I41" s="4"/>
      <c r="J41" s="4"/>
      <c r="K41" s="6"/>
      <c r="L41" s="6"/>
      <c r="M41" s="4"/>
      <c r="O41" s="44"/>
      <c r="P41" s="7"/>
      <c r="Q41" s="7"/>
    </row>
    <row r="42" spans="2:18" s="10" customFormat="1" x14ac:dyDescent="0.25">
      <c r="B42" s="4"/>
      <c r="C42" s="5"/>
      <c r="D42" s="5"/>
      <c r="E42" s="5"/>
      <c r="F42" s="5"/>
      <c r="G42" s="6"/>
      <c r="H42" s="6"/>
      <c r="I42" s="4"/>
      <c r="J42" s="4"/>
      <c r="K42" s="6"/>
      <c r="L42" s="6"/>
      <c r="M42" s="4"/>
      <c r="O42" s="44"/>
      <c r="P42" s="7"/>
      <c r="Q42" s="7"/>
    </row>
    <row r="43" spans="2:18" s="10" customFormat="1" x14ac:dyDescent="0.25">
      <c r="B43" s="4"/>
      <c r="C43" s="5"/>
      <c r="D43" s="5"/>
      <c r="E43" s="5"/>
      <c r="F43" s="5"/>
      <c r="G43" s="6"/>
      <c r="H43" s="6"/>
      <c r="I43" s="4"/>
      <c r="J43" s="4"/>
      <c r="K43" s="6"/>
      <c r="L43" s="6"/>
      <c r="M43" s="4"/>
      <c r="O43" s="44"/>
      <c r="P43" s="7"/>
      <c r="Q43" s="7"/>
    </row>
    <row r="44" spans="2:18" s="10" customFormat="1" x14ac:dyDescent="0.25">
      <c r="B44" s="4"/>
      <c r="C44" s="5"/>
      <c r="D44" s="5"/>
      <c r="E44" s="5"/>
      <c r="F44" s="5"/>
      <c r="G44" s="6"/>
      <c r="H44" s="6"/>
      <c r="I44" s="4"/>
      <c r="J44" s="4"/>
      <c r="K44" s="6"/>
      <c r="L44" s="6"/>
      <c r="M44" s="4"/>
      <c r="O44" s="44"/>
      <c r="P44" s="7"/>
      <c r="Q44" s="7"/>
    </row>
    <row r="45" spans="2:18" s="10" customFormat="1" x14ac:dyDescent="0.25">
      <c r="B45" s="4"/>
      <c r="C45" s="5"/>
      <c r="D45" s="5"/>
      <c r="E45" s="5"/>
      <c r="F45" s="5"/>
      <c r="G45" s="6"/>
      <c r="H45" s="6"/>
      <c r="I45" s="4"/>
      <c r="J45" s="4"/>
      <c r="K45" s="6"/>
      <c r="L45" s="6"/>
      <c r="M45" s="4"/>
      <c r="O45" s="44"/>
      <c r="P45" s="7"/>
      <c r="Q45" s="7"/>
    </row>
    <row r="46" spans="2:18" s="10" customFormat="1" x14ac:dyDescent="0.25">
      <c r="B46" s="4"/>
      <c r="C46" s="5"/>
      <c r="D46" s="5"/>
      <c r="E46" s="5"/>
      <c r="F46" s="5"/>
      <c r="G46" s="6"/>
      <c r="H46" s="6"/>
      <c r="I46" s="4"/>
      <c r="J46" s="4"/>
      <c r="K46" s="6"/>
      <c r="L46" s="6"/>
      <c r="M46" s="4"/>
      <c r="O46" s="44"/>
      <c r="P46" s="7"/>
      <c r="Q46" s="7"/>
    </row>
    <row r="47" spans="2:18" s="10" customFormat="1" x14ac:dyDescent="0.25">
      <c r="B47" s="4"/>
      <c r="C47" s="5"/>
      <c r="D47" s="5"/>
      <c r="E47" s="5"/>
      <c r="F47" s="5"/>
      <c r="G47" s="6"/>
      <c r="H47" s="6"/>
      <c r="I47" s="4"/>
      <c r="J47" s="4"/>
      <c r="K47" s="6"/>
      <c r="L47" s="6"/>
      <c r="M47" s="4"/>
      <c r="O47" s="44"/>
      <c r="P47" s="7"/>
      <c r="Q47" s="7"/>
    </row>
    <row r="48" spans="2:18" s="10" customFormat="1" x14ac:dyDescent="0.25">
      <c r="B48" s="4"/>
      <c r="C48" s="5"/>
      <c r="D48" s="5"/>
      <c r="E48" s="5"/>
      <c r="F48" s="5"/>
      <c r="G48" s="6"/>
      <c r="H48" s="6"/>
      <c r="I48" s="4"/>
      <c r="J48" s="4"/>
      <c r="K48" s="6"/>
      <c r="L48" s="6"/>
      <c r="M48" s="4"/>
      <c r="O48" s="44"/>
      <c r="P48" s="7"/>
      <c r="Q48" s="7"/>
    </row>
    <row r="49" spans="2:17" s="10" customFormat="1" x14ac:dyDescent="0.25">
      <c r="B49" s="4"/>
      <c r="C49" s="5"/>
      <c r="D49" s="5"/>
      <c r="E49" s="5"/>
      <c r="F49" s="5"/>
      <c r="G49" s="6"/>
      <c r="H49" s="6"/>
      <c r="I49" s="4"/>
      <c r="J49" s="4"/>
      <c r="K49" s="6"/>
      <c r="L49" s="6"/>
      <c r="M49" s="4"/>
      <c r="O49" s="44"/>
      <c r="P49" s="7"/>
      <c r="Q49" s="7"/>
    </row>
    <row r="50" spans="2:17" s="10" customFormat="1" x14ac:dyDescent="0.25">
      <c r="B50" s="4"/>
      <c r="C50" s="5"/>
      <c r="D50" s="5"/>
      <c r="E50" s="5"/>
      <c r="F50" s="5"/>
      <c r="G50" s="6"/>
      <c r="H50" s="6"/>
      <c r="I50" s="4"/>
      <c r="J50" s="4"/>
      <c r="K50" s="6"/>
      <c r="L50" s="6"/>
      <c r="M50" s="4"/>
      <c r="O50" s="44"/>
      <c r="P50" s="7"/>
      <c r="Q50" s="7"/>
    </row>
    <row r="51" spans="2:17" s="10" customFormat="1" x14ac:dyDescent="0.25">
      <c r="B51" s="4"/>
      <c r="C51" s="5"/>
      <c r="D51" s="5"/>
      <c r="E51" s="5"/>
      <c r="F51" s="5"/>
      <c r="G51" s="6"/>
      <c r="H51" s="6"/>
      <c r="I51" s="4"/>
      <c r="J51" s="4"/>
      <c r="K51" s="6"/>
      <c r="L51" s="6"/>
      <c r="M51" s="4"/>
      <c r="O51" s="44"/>
      <c r="P51" s="7"/>
      <c r="Q51" s="7"/>
    </row>
    <row r="52" spans="2:17" s="10" customFormat="1" x14ac:dyDescent="0.25">
      <c r="B52" s="4"/>
      <c r="C52" s="5"/>
      <c r="D52" s="5"/>
      <c r="E52" s="5"/>
      <c r="F52" s="5"/>
      <c r="G52" s="6"/>
      <c r="H52" s="6"/>
      <c r="I52" s="4"/>
      <c r="J52" s="4"/>
      <c r="K52" s="6"/>
      <c r="L52" s="6"/>
      <c r="M52" s="4"/>
      <c r="O52" s="44"/>
      <c r="P52" s="7"/>
      <c r="Q52" s="7"/>
    </row>
    <row r="53" spans="2:17" s="10" customFormat="1" x14ac:dyDescent="0.25">
      <c r="B53" s="4"/>
      <c r="C53" s="5"/>
      <c r="D53" s="5"/>
      <c r="E53" s="5"/>
      <c r="F53" s="5"/>
      <c r="G53" s="6"/>
      <c r="H53" s="6"/>
      <c r="I53" s="4"/>
      <c r="J53" s="4"/>
      <c r="K53" s="6"/>
      <c r="L53" s="6"/>
      <c r="M53" s="4"/>
      <c r="O53" s="44"/>
      <c r="P53" s="7"/>
      <c r="Q53" s="7"/>
    </row>
    <row r="54" spans="2:17" s="10" customFormat="1" x14ac:dyDescent="0.25">
      <c r="B54" s="4"/>
      <c r="C54" s="5"/>
      <c r="D54" s="5"/>
      <c r="E54" s="5"/>
      <c r="F54" s="5"/>
      <c r="G54" s="6"/>
      <c r="H54" s="6"/>
      <c r="I54" s="4"/>
      <c r="J54" s="4"/>
      <c r="K54" s="6"/>
      <c r="L54" s="6"/>
      <c r="M54" s="4"/>
      <c r="O54" s="44"/>
      <c r="P54" s="7"/>
      <c r="Q54" s="7"/>
    </row>
    <row r="55" spans="2:17" s="10" customFormat="1" x14ac:dyDescent="0.25">
      <c r="B55" s="4"/>
      <c r="C55" s="5"/>
      <c r="D55" s="5"/>
      <c r="E55" s="5"/>
      <c r="F55" s="5"/>
      <c r="G55" s="6"/>
      <c r="H55" s="6"/>
      <c r="I55" s="4"/>
      <c r="J55" s="4"/>
      <c r="K55" s="6"/>
      <c r="L55" s="6"/>
      <c r="M55" s="4"/>
      <c r="O55" s="44"/>
      <c r="P55" s="7"/>
      <c r="Q55" s="7"/>
    </row>
    <row r="56" spans="2:17" s="10" customFormat="1" x14ac:dyDescent="0.25">
      <c r="B56" s="4"/>
      <c r="C56" s="5"/>
      <c r="D56" s="5"/>
      <c r="E56" s="5"/>
      <c r="F56" s="5"/>
      <c r="G56" s="6"/>
      <c r="H56" s="6"/>
      <c r="I56" s="4"/>
      <c r="J56" s="4"/>
      <c r="K56" s="6"/>
      <c r="L56" s="6"/>
      <c r="M56" s="4"/>
      <c r="O56" s="44"/>
      <c r="P56" s="7"/>
      <c r="Q56" s="7"/>
    </row>
    <row r="57" spans="2:17" s="10" customFormat="1" x14ac:dyDescent="0.25">
      <c r="B57" s="4"/>
      <c r="C57" s="5"/>
      <c r="D57" s="5"/>
      <c r="E57" s="5"/>
      <c r="F57" s="5"/>
      <c r="G57" s="6"/>
      <c r="H57" s="6"/>
      <c r="I57" s="4"/>
      <c r="J57" s="4"/>
      <c r="K57" s="6"/>
      <c r="L57" s="6"/>
      <c r="M57" s="4"/>
      <c r="O57" s="44"/>
      <c r="P57" s="7"/>
      <c r="Q57" s="7"/>
    </row>
    <row r="58" spans="2:17" s="10" customFormat="1" x14ac:dyDescent="0.25">
      <c r="B58" s="4"/>
      <c r="C58" s="5"/>
      <c r="D58" s="5"/>
      <c r="E58" s="5"/>
      <c r="F58" s="5"/>
      <c r="G58" s="6"/>
      <c r="H58" s="6"/>
      <c r="I58" s="4"/>
      <c r="J58" s="4"/>
      <c r="K58" s="6"/>
      <c r="L58" s="6"/>
      <c r="M58" s="4"/>
      <c r="O58" s="44"/>
      <c r="P58" s="7"/>
      <c r="Q58" s="7"/>
    </row>
    <row r="59" spans="2:17" s="10" customFormat="1" x14ac:dyDescent="0.25">
      <c r="B59" s="4"/>
      <c r="C59" s="5"/>
      <c r="D59" s="5"/>
      <c r="E59" s="5"/>
      <c r="F59" s="5"/>
      <c r="G59" s="6"/>
      <c r="H59" s="6"/>
      <c r="I59" s="4"/>
      <c r="J59" s="4"/>
      <c r="K59" s="6"/>
      <c r="L59" s="6"/>
      <c r="M59" s="4"/>
      <c r="O59" s="44"/>
      <c r="P59" s="7"/>
      <c r="Q59" s="7"/>
    </row>
    <row r="60" spans="2:17" s="10" customFormat="1" x14ac:dyDescent="0.25">
      <c r="B60" s="4"/>
      <c r="C60" s="5"/>
      <c r="D60" s="5"/>
      <c r="E60" s="5"/>
      <c r="F60" s="5"/>
      <c r="G60" s="6"/>
      <c r="H60" s="6"/>
      <c r="I60" s="4"/>
      <c r="J60" s="4"/>
      <c r="K60" s="6"/>
      <c r="L60" s="6"/>
      <c r="M60" s="4"/>
      <c r="O60" s="44"/>
      <c r="P60" s="7"/>
      <c r="Q60" s="7"/>
    </row>
    <row r="61" spans="2:17" s="10" customFormat="1" x14ac:dyDescent="0.25">
      <c r="B61" s="4"/>
      <c r="C61" s="5"/>
      <c r="D61" s="5"/>
      <c r="E61" s="5"/>
      <c r="F61" s="5"/>
      <c r="G61" s="6"/>
      <c r="H61" s="6"/>
      <c r="I61" s="4"/>
      <c r="J61" s="4"/>
      <c r="K61" s="6"/>
      <c r="L61" s="6"/>
      <c r="M61" s="4"/>
      <c r="O61" s="44"/>
      <c r="P61" s="7"/>
      <c r="Q61" s="7"/>
    </row>
    <row r="62" spans="2:17" s="10" customFormat="1" x14ac:dyDescent="0.25">
      <c r="B62" s="4"/>
      <c r="C62" s="5"/>
      <c r="D62" s="5"/>
      <c r="E62" s="5"/>
      <c r="F62" s="5"/>
      <c r="G62" s="6"/>
      <c r="H62" s="6"/>
      <c r="I62" s="4"/>
      <c r="J62" s="4"/>
      <c r="K62" s="6"/>
      <c r="L62" s="6"/>
      <c r="M62" s="4"/>
      <c r="O62" s="44"/>
      <c r="P62" s="7"/>
      <c r="Q62" s="7"/>
    </row>
    <row r="63" spans="2:17" s="10" customFormat="1" x14ac:dyDescent="0.25">
      <c r="B63" s="4"/>
      <c r="C63" s="5"/>
      <c r="D63" s="5"/>
      <c r="E63" s="5"/>
      <c r="F63" s="5"/>
      <c r="G63" s="6"/>
      <c r="H63" s="6"/>
      <c r="I63" s="4"/>
      <c r="J63" s="4"/>
      <c r="K63" s="6"/>
      <c r="L63" s="6"/>
      <c r="M63" s="4"/>
      <c r="O63" s="44"/>
      <c r="P63" s="7"/>
      <c r="Q63" s="7"/>
    </row>
    <row r="64" spans="2:17" s="10" customFormat="1" x14ac:dyDescent="0.25">
      <c r="B64" s="4"/>
      <c r="C64" s="5"/>
      <c r="D64" s="5"/>
      <c r="E64" s="5"/>
      <c r="F64" s="5"/>
      <c r="G64" s="6"/>
      <c r="H64" s="6"/>
      <c r="I64" s="4"/>
      <c r="J64" s="4"/>
      <c r="K64" s="6"/>
      <c r="L64" s="6"/>
      <c r="M64" s="4"/>
      <c r="O64" s="44"/>
      <c r="P64" s="7"/>
      <c r="Q64" s="7"/>
    </row>
    <row r="65" spans="2:18" s="81" customFormat="1" x14ac:dyDescent="0.25">
      <c r="B65" s="78"/>
      <c r="C65" s="79"/>
      <c r="D65" s="79"/>
      <c r="E65" s="79"/>
      <c r="F65" s="79"/>
      <c r="G65" s="80"/>
      <c r="H65" s="80"/>
      <c r="I65" s="78"/>
      <c r="J65" s="78"/>
      <c r="K65" s="80"/>
      <c r="L65" s="80"/>
      <c r="M65" s="78"/>
      <c r="O65" s="82"/>
      <c r="P65" s="83"/>
      <c r="Q65" s="83"/>
    </row>
    <row r="66" spans="2:18" x14ac:dyDescent="0.25">
      <c r="B66" s="4"/>
      <c r="C66" s="5"/>
      <c r="D66" s="5"/>
      <c r="E66" s="5"/>
      <c r="F66" s="5"/>
      <c r="G66" s="6"/>
      <c r="H66" s="6"/>
      <c r="I66" s="4"/>
      <c r="J66" s="4"/>
      <c r="K66" s="4"/>
      <c r="L66" s="4"/>
      <c r="M66" s="4"/>
      <c r="N66" s="4"/>
      <c r="O66" s="4"/>
      <c r="P66" s="7"/>
      <c r="Q66" s="7"/>
      <c r="R66" s="7"/>
    </row>
    <row r="67" spans="2:18" ht="19.5" thickBot="1" x14ac:dyDescent="0.3">
      <c r="B67" s="96" t="s">
        <v>146</v>
      </c>
      <c r="C67" s="5"/>
      <c r="D67" s="5"/>
      <c r="E67" s="5"/>
      <c r="F67" s="6"/>
      <c r="G67" s="6"/>
      <c r="H67" s="4"/>
      <c r="I67" s="4"/>
      <c r="J67" s="4"/>
      <c r="K67" s="4"/>
      <c r="L67" s="4"/>
      <c r="M67" s="4"/>
      <c r="N67" s="4"/>
      <c r="O67" s="7"/>
      <c r="P67" s="7"/>
      <c r="Q67" s="7"/>
      <c r="R67"/>
    </row>
    <row r="68" spans="2:18" ht="15.75" customHeight="1" x14ac:dyDescent="0.25">
      <c r="B68" s="109" t="s">
        <v>0</v>
      </c>
      <c r="C68" s="109" t="s">
        <v>119</v>
      </c>
      <c r="D68" s="109" t="s">
        <v>117</v>
      </c>
      <c r="E68" s="109" t="s">
        <v>118</v>
      </c>
      <c r="F68" s="110" t="s">
        <v>52</v>
      </c>
      <c r="G68" s="103" t="s">
        <v>53</v>
      </c>
      <c r="H68" s="104"/>
      <c r="I68" s="105"/>
      <c r="J68" s="116" t="s">
        <v>151</v>
      </c>
      <c r="K68" s="37"/>
      <c r="L68" s="37"/>
      <c r="M68" s="4"/>
      <c r="N68" s="4"/>
      <c r="O68" s="7"/>
      <c r="P68" s="7"/>
      <c r="Q68" s="7"/>
      <c r="R68"/>
    </row>
    <row r="69" spans="2:18" ht="30" customHeight="1" x14ac:dyDescent="0.25">
      <c r="B69" s="109"/>
      <c r="C69" s="109"/>
      <c r="D69" s="109"/>
      <c r="E69" s="109"/>
      <c r="F69" s="110"/>
      <c r="G69" s="52" t="s">
        <v>14</v>
      </c>
      <c r="H69" s="55" t="s">
        <v>15</v>
      </c>
      <c r="I69" s="76" t="s">
        <v>20</v>
      </c>
      <c r="J69" s="116"/>
      <c r="K69" s="38"/>
      <c r="L69" s="38"/>
      <c r="M69" s="7"/>
      <c r="R69"/>
    </row>
    <row r="70" spans="2:18" x14ac:dyDescent="0.25">
      <c r="B70" s="2">
        <v>1</v>
      </c>
      <c r="C70" s="2" t="s">
        <v>12</v>
      </c>
      <c r="D70" s="86" t="s">
        <v>147</v>
      </c>
      <c r="E70" s="86"/>
      <c r="F70" s="12">
        <v>39</v>
      </c>
      <c r="G70" s="17">
        <f>F70*$D$115*2</f>
        <v>2983.5</v>
      </c>
      <c r="H70" s="22">
        <f>F70*$D$116*2</f>
        <v>2086.5</v>
      </c>
      <c r="I70" s="15">
        <f>G70+H70</f>
        <v>5070</v>
      </c>
      <c r="J70" s="98"/>
      <c r="K70" s="6"/>
      <c r="L70" s="6"/>
      <c r="M70"/>
      <c r="R70"/>
    </row>
    <row r="71" spans="2:18" x14ac:dyDescent="0.25">
      <c r="B71" s="2">
        <v>2</v>
      </c>
      <c r="C71" s="2" t="s">
        <v>51</v>
      </c>
      <c r="D71" s="86" t="s">
        <v>147</v>
      </c>
      <c r="E71" s="86"/>
      <c r="F71" s="12">
        <v>38</v>
      </c>
      <c r="G71" s="17">
        <f>F71*$D$115*2</f>
        <v>2907</v>
      </c>
      <c r="H71" s="22">
        <f>F71*$D$116*2</f>
        <v>2033</v>
      </c>
      <c r="I71" s="15">
        <f t="shared" ref="I71:I112" si="10">G71+H71</f>
        <v>4940</v>
      </c>
      <c r="J71" s="98"/>
      <c r="K71" s="6"/>
      <c r="L71" s="6"/>
      <c r="M71"/>
      <c r="R71"/>
    </row>
    <row r="72" spans="2:18" x14ac:dyDescent="0.25">
      <c r="B72" s="28">
        <v>3</v>
      </c>
      <c r="C72" s="2" t="s">
        <v>13</v>
      </c>
      <c r="D72" s="86" t="s">
        <v>147</v>
      </c>
      <c r="E72" s="86"/>
      <c r="F72" s="12">
        <v>39</v>
      </c>
      <c r="G72" s="17">
        <f>F72*$D$115*2</f>
        <v>2983.5</v>
      </c>
      <c r="H72" s="22">
        <f>F72*$D$116*2</f>
        <v>2086.5</v>
      </c>
      <c r="I72" s="15">
        <f t="shared" si="10"/>
        <v>5070</v>
      </c>
      <c r="J72" s="98"/>
      <c r="K72" s="6"/>
      <c r="L72" s="6"/>
      <c r="M72"/>
      <c r="R72"/>
    </row>
    <row r="73" spans="2:18" s="10" customFormat="1" ht="30" x14ac:dyDescent="0.25">
      <c r="B73" s="32">
        <v>4</v>
      </c>
      <c r="C73" s="28" t="s">
        <v>50</v>
      </c>
      <c r="D73" s="86" t="s">
        <v>121</v>
      </c>
      <c r="E73" s="86" t="s">
        <v>131</v>
      </c>
      <c r="F73" s="29">
        <v>6</v>
      </c>
      <c r="G73" s="17">
        <v>780</v>
      </c>
      <c r="H73" s="22">
        <v>465</v>
      </c>
      <c r="I73" s="15">
        <v>1245</v>
      </c>
      <c r="J73" s="98"/>
      <c r="K73" s="6"/>
      <c r="L73" s="6"/>
    </row>
    <row r="74" spans="2:18" s="10" customFormat="1" x14ac:dyDescent="0.25">
      <c r="B74" s="32">
        <v>5</v>
      </c>
      <c r="C74" s="25" t="s">
        <v>26</v>
      </c>
      <c r="D74" s="86" t="s">
        <v>120</v>
      </c>
      <c r="E74" s="86" t="s">
        <v>129</v>
      </c>
      <c r="F74" s="26">
        <v>4</v>
      </c>
      <c r="G74" s="17">
        <v>520</v>
      </c>
      <c r="H74" s="22">
        <v>310</v>
      </c>
      <c r="I74" s="15">
        <v>830</v>
      </c>
      <c r="J74" s="98"/>
      <c r="K74" s="6"/>
      <c r="L74" s="6"/>
    </row>
    <row r="75" spans="2:18" s="10" customFormat="1" ht="30" x14ac:dyDescent="0.25">
      <c r="B75" s="32">
        <v>6</v>
      </c>
      <c r="C75" s="32" t="s">
        <v>27</v>
      </c>
      <c r="D75" s="86" t="s">
        <v>122</v>
      </c>
      <c r="E75" s="86" t="s">
        <v>130</v>
      </c>
      <c r="F75" s="33">
        <v>4</v>
      </c>
      <c r="G75" s="17">
        <v>520</v>
      </c>
      <c r="H75" s="22">
        <v>310</v>
      </c>
      <c r="I75" s="15">
        <v>830</v>
      </c>
      <c r="J75" s="98"/>
      <c r="K75" s="6"/>
    </row>
    <row r="76" spans="2:18" s="10" customFormat="1" ht="30" x14ac:dyDescent="0.25">
      <c r="B76" s="32">
        <v>7</v>
      </c>
      <c r="C76" s="32" t="s">
        <v>56</v>
      </c>
      <c r="D76" s="86" t="s">
        <v>132</v>
      </c>
      <c r="E76" s="86" t="s">
        <v>55</v>
      </c>
      <c r="F76" s="33">
        <v>1</v>
      </c>
      <c r="G76" s="17">
        <f>F76*$D$120*2*J76</f>
        <v>58.984427894380495</v>
      </c>
      <c r="H76" s="22">
        <f>F76*$D$121*2*J76</f>
        <v>29.492213947190248</v>
      </c>
      <c r="I76" s="15">
        <f t="shared" ref="I76:I108" si="11">G76+H76</f>
        <v>88.476641841570739</v>
      </c>
      <c r="J76" s="99">
        <v>0.29492213947190249</v>
      </c>
      <c r="K76" s="6"/>
    </row>
    <row r="77" spans="2:18" s="10" customFormat="1" x14ac:dyDescent="0.25">
      <c r="B77" s="32">
        <v>8</v>
      </c>
      <c r="C77" s="32" t="s">
        <v>58</v>
      </c>
      <c r="D77" s="86" t="s">
        <v>132</v>
      </c>
      <c r="E77" s="86" t="s">
        <v>57</v>
      </c>
      <c r="F77" s="33">
        <v>1</v>
      </c>
      <c r="G77" s="17">
        <f>F77*$D$120*2*J77</f>
        <v>84.766418415707506</v>
      </c>
      <c r="H77" s="22">
        <f>F77*$D$121*2*J77</f>
        <v>42.383209207853753</v>
      </c>
      <c r="I77" s="15">
        <f t="shared" si="11"/>
        <v>127.14962762356126</v>
      </c>
      <c r="J77" s="99">
        <v>0.42383209207853756</v>
      </c>
      <c r="K77" s="6"/>
    </row>
    <row r="78" spans="2:18" s="10" customFormat="1" x14ac:dyDescent="0.25">
      <c r="B78" s="32">
        <v>9</v>
      </c>
      <c r="C78" s="32" t="s">
        <v>60</v>
      </c>
      <c r="D78" s="86" t="s">
        <v>132</v>
      </c>
      <c r="E78" s="86" t="s">
        <v>59</v>
      </c>
      <c r="F78" s="33">
        <v>1</v>
      </c>
      <c r="G78" s="17">
        <v>130</v>
      </c>
      <c r="H78" s="22">
        <v>77.5</v>
      </c>
      <c r="I78" s="15">
        <v>207.5</v>
      </c>
      <c r="J78" s="99"/>
      <c r="K78" s="6"/>
    </row>
    <row r="79" spans="2:18" s="10" customFormat="1" x14ac:dyDescent="0.25">
      <c r="B79" s="32">
        <v>10</v>
      </c>
      <c r="C79" s="32" t="s">
        <v>123</v>
      </c>
      <c r="D79" s="86" t="s">
        <v>124</v>
      </c>
      <c r="E79" s="86" t="s">
        <v>133</v>
      </c>
      <c r="F79" s="33">
        <v>3</v>
      </c>
      <c r="G79" s="17">
        <v>390</v>
      </c>
      <c r="H79" s="22">
        <v>232.5</v>
      </c>
      <c r="I79" s="15">
        <v>622.5</v>
      </c>
      <c r="J79" s="99"/>
      <c r="K79" s="6"/>
    </row>
    <row r="80" spans="2:18" s="10" customFormat="1" ht="30" x14ac:dyDescent="0.25">
      <c r="B80" s="32">
        <v>11</v>
      </c>
      <c r="C80" s="32" t="s">
        <v>63</v>
      </c>
      <c r="D80" s="86" t="s">
        <v>134</v>
      </c>
      <c r="E80" s="86" t="s">
        <v>62</v>
      </c>
      <c r="F80" s="33">
        <v>1</v>
      </c>
      <c r="G80" s="17">
        <f t="shared" ref="G80:G87" si="12">F80*$D$120*2*J80</f>
        <v>88.612051455653358</v>
      </c>
      <c r="H80" s="22">
        <f t="shared" ref="H80:H87" si="13">F80*$D$121*2*J80</f>
        <v>44.306025727826679</v>
      </c>
      <c r="I80" s="15">
        <f t="shared" si="11"/>
        <v>132.91807718348002</v>
      </c>
      <c r="J80" s="99">
        <v>0.44306025727826676</v>
      </c>
    </row>
    <row r="81" spans="2:10" s="10" customFormat="1" x14ac:dyDescent="0.25">
      <c r="B81" s="32">
        <v>12</v>
      </c>
      <c r="C81" s="32" t="s">
        <v>65</v>
      </c>
      <c r="D81" s="86" t="s">
        <v>134</v>
      </c>
      <c r="E81" s="86" t="s">
        <v>64</v>
      </c>
      <c r="F81" s="33">
        <v>1</v>
      </c>
      <c r="G81" s="17">
        <f t="shared" si="12"/>
        <v>170.75152335815841</v>
      </c>
      <c r="H81" s="22">
        <f t="shared" si="13"/>
        <v>85.375761679079204</v>
      </c>
      <c r="I81" s="15">
        <f t="shared" si="11"/>
        <v>256.12728503723758</v>
      </c>
      <c r="J81" s="99">
        <v>0.8537576167907921</v>
      </c>
    </row>
    <row r="82" spans="2:10" s="10" customFormat="1" x14ac:dyDescent="0.25">
      <c r="B82" s="32">
        <v>13</v>
      </c>
      <c r="C82" s="32" t="s">
        <v>67</v>
      </c>
      <c r="D82" s="86" t="s">
        <v>135</v>
      </c>
      <c r="E82" s="86" t="s">
        <v>66</v>
      </c>
      <c r="F82" s="33">
        <v>1</v>
      </c>
      <c r="G82" s="17">
        <f t="shared" si="12"/>
        <v>64.319566689234932</v>
      </c>
      <c r="H82" s="22">
        <f t="shared" si="13"/>
        <v>32.159783344617466</v>
      </c>
      <c r="I82" s="15">
        <f t="shared" si="11"/>
        <v>96.479350033852398</v>
      </c>
      <c r="J82" s="99">
        <v>0.32159783344617465</v>
      </c>
    </row>
    <row r="83" spans="2:10" s="10" customFormat="1" x14ac:dyDescent="0.25">
      <c r="B83" s="32">
        <v>14</v>
      </c>
      <c r="C83" s="32" t="s">
        <v>69</v>
      </c>
      <c r="D83" s="86" t="s">
        <v>135</v>
      </c>
      <c r="E83" s="86" t="s">
        <v>68</v>
      </c>
      <c r="F83" s="33">
        <v>1</v>
      </c>
      <c r="G83" s="17">
        <f t="shared" si="12"/>
        <v>26.97359512525389</v>
      </c>
      <c r="H83" s="22">
        <f t="shared" si="13"/>
        <v>13.486797562626945</v>
      </c>
      <c r="I83" s="15">
        <f t="shared" si="11"/>
        <v>40.460392687880834</v>
      </c>
      <c r="J83" s="99">
        <v>0.13486797562626945</v>
      </c>
    </row>
    <row r="84" spans="2:10" s="10" customFormat="1" ht="30" x14ac:dyDescent="0.25">
      <c r="B84" s="32">
        <v>15</v>
      </c>
      <c r="C84" s="86" t="s">
        <v>153</v>
      </c>
      <c r="D84" s="86" t="s">
        <v>135</v>
      </c>
      <c r="E84" s="86" t="s">
        <v>154</v>
      </c>
      <c r="F84" s="33">
        <v>1</v>
      </c>
      <c r="G84" s="17">
        <f t="shared" si="12"/>
        <v>49.006261911244216</v>
      </c>
      <c r="H84" s="22">
        <f t="shared" si="13"/>
        <v>24.503130955622108</v>
      </c>
      <c r="I84" s="15">
        <f t="shared" si="11"/>
        <v>73.509392866866321</v>
      </c>
      <c r="J84" s="99">
        <f>1800/7346</f>
        <v>0.24503130955622107</v>
      </c>
    </row>
    <row r="85" spans="2:10" s="10" customFormat="1" ht="45" x14ac:dyDescent="0.25">
      <c r="B85" s="32">
        <v>16</v>
      </c>
      <c r="C85" s="86" t="s">
        <v>71</v>
      </c>
      <c r="D85" s="32" t="s">
        <v>136</v>
      </c>
      <c r="E85" s="86" t="s">
        <v>70</v>
      </c>
      <c r="F85" s="33">
        <v>1</v>
      </c>
      <c r="G85" s="17">
        <f t="shared" si="12"/>
        <v>77.373053486797559</v>
      </c>
      <c r="H85" s="22">
        <f t="shared" si="13"/>
        <v>38.68652674339878</v>
      </c>
      <c r="I85" s="15">
        <f t="shared" si="11"/>
        <v>116.05958023019633</v>
      </c>
      <c r="J85" s="99">
        <v>0.3868652674339878</v>
      </c>
    </row>
    <row r="86" spans="2:10" s="10" customFormat="1" ht="45" x14ac:dyDescent="0.25">
      <c r="B86" s="32">
        <v>17</v>
      </c>
      <c r="C86" s="86" t="s">
        <v>73</v>
      </c>
      <c r="D86" s="32" t="s">
        <v>136</v>
      </c>
      <c r="E86" s="86" t="s">
        <v>72</v>
      </c>
      <c r="F86" s="33">
        <v>1</v>
      </c>
      <c r="G86" s="17">
        <f t="shared" si="12"/>
        <v>65.646580907244413</v>
      </c>
      <c r="H86" s="22">
        <f t="shared" si="13"/>
        <v>32.823290453622207</v>
      </c>
      <c r="I86" s="15">
        <f t="shared" si="11"/>
        <v>98.46987136086662</v>
      </c>
      <c r="J86" s="99">
        <v>0.32823290453622206</v>
      </c>
    </row>
    <row r="87" spans="2:10" s="10" customFormat="1" x14ac:dyDescent="0.25">
      <c r="B87" s="32">
        <v>18</v>
      </c>
      <c r="C87" s="86" t="s">
        <v>75</v>
      </c>
      <c r="D87" s="32" t="s">
        <v>136</v>
      </c>
      <c r="E87" s="86" t="s">
        <v>74</v>
      </c>
      <c r="F87" s="33">
        <v>1</v>
      </c>
      <c r="G87" s="17">
        <f t="shared" si="12"/>
        <v>71.360866621530121</v>
      </c>
      <c r="H87" s="22">
        <f t="shared" si="13"/>
        <v>35.680433310765061</v>
      </c>
      <c r="I87" s="15">
        <f t="shared" si="11"/>
        <v>107.04129993229517</v>
      </c>
      <c r="J87" s="99">
        <v>0.35680433310765064</v>
      </c>
    </row>
    <row r="88" spans="2:10" s="10" customFormat="1" ht="45" x14ac:dyDescent="0.25">
      <c r="B88" s="32">
        <v>19</v>
      </c>
      <c r="C88" s="86" t="s">
        <v>77</v>
      </c>
      <c r="D88" s="32" t="s">
        <v>136</v>
      </c>
      <c r="E88" s="86" t="s">
        <v>76</v>
      </c>
      <c r="F88" s="33">
        <v>1</v>
      </c>
      <c r="G88" s="17">
        <v>130</v>
      </c>
      <c r="H88" s="22">
        <v>77.5</v>
      </c>
      <c r="I88" s="15">
        <v>207.5</v>
      </c>
      <c r="J88" s="99"/>
    </row>
    <row r="89" spans="2:10" s="10" customFormat="1" x14ac:dyDescent="0.25">
      <c r="B89" s="32">
        <v>20</v>
      </c>
      <c r="C89" s="86" t="s">
        <v>125</v>
      </c>
      <c r="D89" s="32" t="s">
        <v>136</v>
      </c>
      <c r="E89" s="86" t="s">
        <v>78</v>
      </c>
      <c r="F89" s="33">
        <v>1</v>
      </c>
      <c r="G89" s="17">
        <f>F89*$D$120*2</f>
        <v>200</v>
      </c>
      <c r="H89" s="22">
        <f>F89*$D$121*2</f>
        <v>100</v>
      </c>
      <c r="I89" s="15">
        <f t="shared" si="11"/>
        <v>300</v>
      </c>
      <c r="J89" s="99"/>
    </row>
    <row r="90" spans="2:10" s="10" customFormat="1" x14ac:dyDescent="0.25">
      <c r="B90" s="32">
        <v>21</v>
      </c>
      <c r="C90" s="86" t="s">
        <v>80</v>
      </c>
      <c r="D90" s="32" t="s">
        <v>137</v>
      </c>
      <c r="E90" s="86" t="s">
        <v>79</v>
      </c>
      <c r="F90" s="33">
        <v>1</v>
      </c>
      <c r="G90" s="17">
        <f>F90*$D$120*2*J90</f>
        <v>34.069058903182125</v>
      </c>
      <c r="H90" s="22">
        <f>F90*$D$121*2*J90</f>
        <v>17.034529451591062</v>
      </c>
      <c r="I90" s="15">
        <f t="shared" si="11"/>
        <v>51.103588354773187</v>
      </c>
      <c r="J90" s="99">
        <v>0.17034529451591063</v>
      </c>
    </row>
    <row r="91" spans="2:10" s="10" customFormat="1" x14ac:dyDescent="0.25">
      <c r="B91" s="32">
        <v>22</v>
      </c>
      <c r="C91" s="86" t="s">
        <v>82</v>
      </c>
      <c r="D91" s="32" t="s">
        <v>137</v>
      </c>
      <c r="E91" s="86" t="s">
        <v>81</v>
      </c>
      <c r="F91" s="33">
        <v>1</v>
      </c>
      <c r="G91" s="17">
        <f>F91*$D$120*2*J91</f>
        <v>55.842924847664186</v>
      </c>
      <c r="H91" s="22">
        <f>F91*$D$121*2*J91</f>
        <v>27.921462423832093</v>
      </c>
      <c r="I91" s="15">
        <f t="shared" si="11"/>
        <v>83.764387271496275</v>
      </c>
      <c r="J91" s="99">
        <v>0.27921462423832094</v>
      </c>
    </row>
    <row r="92" spans="2:10" s="10" customFormat="1" x14ac:dyDescent="0.25">
      <c r="B92" s="32">
        <v>23</v>
      </c>
      <c r="C92" s="86" t="s">
        <v>84</v>
      </c>
      <c r="D92" s="32" t="s">
        <v>137</v>
      </c>
      <c r="E92" s="86" t="s">
        <v>83</v>
      </c>
      <c r="F92" s="33">
        <v>1</v>
      </c>
      <c r="G92" s="17">
        <f>F92*$D$120*2*J92</f>
        <v>174.10968178740691</v>
      </c>
      <c r="H92" s="22">
        <f>F92*$D$121*2*J92</f>
        <v>87.054840893703457</v>
      </c>
      <c r="I92" s="15">
        <f t="shared" si="11"/>
        <v>261.16452268111038</v>
      </c>
      <c r="J92" s="99">
        <v>0.87054840893703456</v>
      </c>
    </row>
    <row r="93" spans="2:10" s="10" customFormat="1" x14ac:dyDescent="0.25">
      <c r="B93" s="32">
        <v>24</v>
      </c>
      <c r="C93" s="86" t="s">
        <v>86</v>
      </c>
      <c r="D93" s="32" t="s">
        <v>137</v>
      </c>
      <c r="E93" s="86" t="s">
        <v>85</v>
      </c>
      <c r="F93" s="33">
        <v>1</v>
      </c>
      <c r="G93" s="17">
        <v>130</v>
      </c>
      <c r="H93" s="22">
        <v>77.5</v>
      </c>
      <c r="I93" s="15">
        <v>207.5</v>
      </c>
      <c r="J93" s="99"/>
    </row>
    <row r="94" spans="2:10" s="10" customFormat="1" x14ac:dyDescent="0.25">
      <c r="B94" s="32">
        <v>25</v>
      </c>
      <c r="C94" s="86" t="s">
        <v>88</v>
      </c>
      <c r="D94" s="32" t="s">
        <v>138</v>
      </c>
      <c r="E94" s="86" t="s">
        <v>87</v>
      </c>
      <c r="F94" s="33">
        <v>1</v>
      </c>
      <c r="G94" s="17">
        <f>F94*$D$120*2*J94</f>
        <v>62.017603249830735</v>
      </c>
      <c r="H94" s="22">
        <f>F94*$D$121*2*J94</f>
        <v>31.008801624915368</v>
      </c>
      <c r="I94" s="15">
        <f t="shared" si="11"/>
        <v>93.026404874746106</v>
      </c>
      <c r="J94" s="99">
        <v>0.31008801624915366</v>
      </c>
    </row>
    <row r="95" spans="2:10" s="10" customFormat="1" x14ac:dyDescent="0.25">
      <c r="B95" s="32">
        <v>26</v>
      </c>
      <c r="C95" s="86" t="s">
        <v>90</v>
      </c>
      <c r="D95" s="32" t="s">
        <v>139</v>
      </c>
      <c r="E95" s="86" t="s">
        <v>89</v>
      </c>
      <c r="F95" s="33">
        <v>1</v>
      </c>
      <c r="G95" s="17">
        <f>F95*$D$120*2*J95</f>
        <v>56.113744075829388</v>
      </c>
      <c r="H95" s="22">
        <f>F95*$D$121*2*J95</f>
        <v>28.056872037914694</v>
      </c>
      <c r="I95" s="15"/>
      <c r="J95" s="99">
        <v>0.28056872037914693</v>
      </c>
    </row>
    <row r="96" spans="2:10" s="10" customFormat="1" x14ac:dyDescent="0.25">
      <c r="B96" s="32">
        <v>27</v>
      </c>
      <c r="C96" s="86" t="s">
        <v>92</v>
      </c>
      <c r="D96" s="32" t="s">
        <v>140</v>
      </c>
      <c r="E96" s="86" t="s">
        <v>91</v>
      </c>
      <c r="F96" s="33">
        <v>1</v>
      </c>
      <c r="G96" s="17">
        <f>F96*$D$120*2*J96</f>
        <v>65.917400135409608</v>
      </c>
      <c r="H96" s="22">
        <f>F96*$D$121*2*J96</f>
        <v>32.958700067704804</v>
      </c>
      <c r="I96" s="15">
        <f t="shared" si="11"/>
        <v>98.876100203114419</v>
      </c>
      <c r="J96" s="99">
        <v>0.32958700067704805</v>
      </c>
    </row>
    <row r="97" spans="2:10" s="10" customFormat="1" x14ac:dyDescent="0.25">
      <c r="B97" s="32">
        <v>28</v>
      </c>
      <c r="C97" s="86" t="s">
        <v>94</v>
      </c>
      <c r="D97" s="32" t="s">
        <v>140</v>
      </c>
      <c r="E97" s="86" t="s">
        <v>93</v>
      </c>
      <c r="F97" s="33">
        <v>1</v>
      </c>
      <c r="G97" s="17">
        <f>F97*$D$120*2*J97</f>
        <v>62.044685172647263</v>
      </c>
      <c r="H97" s="22">
        <f>F97*$D$121*2*J97</f>
        <v>31.022342586323632</v>
      </c>
      <c r="I97" s="15">
        <f t="shared" si="11"/>
        <v>93.067027758970895</v>
      </c>
      <c r="J97" s="99">
        <v>0.31022342586323631</v>
      </c>
    </row>
    <row r="98" spans="2:10" s="10" customFormat="1" x14ac:dyDescent="0.25">
      <c r="B98" s="32">
        <v>29</v>
      </c>
      <c r="C98" s="86" t="s">
        <v>126</v>
      </c>
      <c r="D98" s="32" t="s">
        <v>140</v>
      </c>
      <c r="E98" s="86" t="s">
        <v>95</v>
      </c>
      <c r="F98" s="33">
        <v>1</v>
      </c>
      <c r="G98" s="17">
        <v>130</v>
      </c>
      <c r="H98" s="22">
        <v>77.5</v>
      </c>
      <c r="I98" s="15">
        <v>207.5</v>
      </c>
      <c r="J98" s="99"/>
    </row>
    <row r="99" spans="2:10" s="10" customFormat="1" x14ac:dyDescent="0.25">
      <c r="B99" s="32">
        <v>30</v>
      </c>
      <c r="C99" s="86" t="s">
        <v>97</v>
      </c>
      <c r="D99" s="32" t="s">
        <v>141</v>
      </c>
      <c r="E99" s="86" t="s">
        <v>96</v>
      </c>
      <c r="F99" s="33">
        <v>1</v>
      </c>
      <c r="G99" s="17">
        <f>F99*$D$120*2*J99</f>
        <v>78.402166553825325</v>
      </c>
      <c r="H99" s="22">
        <f>F99*$D$121*2*J99</f>
        <v>39.201083276912662</v>
      </c>
      <c r="I99" s="15">
        <f t="shared" si="11"/>
        <v>117.60324983073798</v>
      </c>
      <c r="J99" s="99">
        <v>0.39201083276912663</v>
      </c>
    </row>
    <row r="100" spans="2:10" s="10" customFormat="1" x14ac:dyDescent="0.25">
      <c r="B100" s="32">
        <v>31</v>
      </c>
      <c r="C100" s="86" t="s">
        <v>99</v>
      </c>
      <c r="D100" s="32" t="s">
        <v>141</v>
      </c>
      <c r="E100" s="86" t="s">
        <v>98</v>
      </c>
      <c r="F100" s="33">
        <v>1</v>
      </c>
      <c r="G100" s="17">
        <v>130</v>
      </c>
      <c r="H100" s="22">
        <v>77.5</v>
      </c>
      <c r="I100" s="15">
        <v>207.5</v>
      </c>
      <c r="J100" s="99"/>
    </row>
    <row r="101" spans="2:10" s="10" customFormat="1" ht="30" x14ac:dyDescent="0.25">
      <c r="B101" s="32">
        <v>32</v>
      </c>
      <c r="C101" s="86" t="s">
        <v>101</v>
      </c>
      <c r="D101" s="32" t="s">
        <v>141</v>
      </c>
      <c r="E101" s="86" t="s">
        <v>100</v>
      </c>
      <c r="F101" s="33">
        <v>1</v>
      </c>
      <c r="G101" s="17">
        <v>130</v>
      </c>
      <c r="H101" s="22">
        <v>77.5</v>
      </c>
      <c r="I101" s="15">
        <v>207.5</v>
      </c>
      <c r="J101" s="99"/>
    </row>
    <row r="102" spans="2:10" s="10" customFormat="1" ht="30" x14ac:dyDescent="0.25">
      <c r="B102" s="32">
        <v>33</v>
      </c>
      <c r="C102" s="86" t="s">
        <v>103</v>
      </c>
      <c r="D102" s="32" t="s">
        <v>141</v>
      </c>
      <c r="E102" s="86" t="s">
        <v>102</v>
      </c>
      <c r="F102" s="33">
        <v>1</v>
      </c>
      <c r="G102" s="17">
        <v>130</v>
      </c>
      <c r="H102" s="22">
        <v>77.5</v>
      </c>
      <c r="I102" s="15">
        <v>207.5</v>
      </c>
      <c r="J102" s="99"/>
    </row>
    <row r="103" spans="2:10" s="10" customFormat="1" x14ac:dyDescent="0.25">
      <c r="B103" s="32">
        <v>34</v>
      </c>
      <c r="C103" s="86" t="s">
        <v>105</v>
      </c>
      <c r="D103" s="32" t="s">
        <v>141</v>
      </c>
      <c r="E103" s="86" t="s">
        <v>104</v>
      </c>
      <c r="F103" s="33">
        <v>1</v>
      </c>
      <c r="G103" s="17">
        <f>F103*$D$120*2*J103</f>
        <v>85.714285714285708</v>
      </c>
      <c r="H103" s="22">
        <f>F103*$D$121*2*J103</f>
        <v>42.857142857142854</v>
      </c>
      <c r="I103" s="15">
        <f t="shared" si="11"/>
        <v>128.57142857142856</v>
      </c>
      <c r="J103" s="99">
        <v>0.42857142857142855</v>
      </c>
    </row>
    <row r="104" spans="2:10" s="10" customFormat="1" ht="30" x14ac:dyDescent="0.25">
      <c r="B104" s="32">
        <v>35</v>
      </c>
      <c r="C104" s="86" t="s">
        <v>107</v>
      </c>
      <c r="D104" s="32" t="s">
        <v>141</v>
      </c>
      <c r="E104" s="86" t="s">
        <v>106</v>
      </c>
      <c r="F104" s="33">
        <v>1</v>
      </c>
      <c r="G104" s="17">
        <v>130</v>
      </c>
      <c r="H104" s="22">
        <v>77.5</v>
      </c>
      <c r="I104" s="15">
        <v>207.5</v>
      </c>
      <c r="J104" s="99"/>
    </row>
    <row r="105" spans="2:10" s="10" customFormat="1" x14ac:dyDescent="0.25">
      <c r="B105" s="32">
        <v>36</v>
      </c>
      <c r="C105" s="86" t="s">
        <v>110</v>
      </c>
      <c r="D105" s="32" t="s">
        <v>142</v>
      </c>
      <c r="E105" s="86" t="s">
        <v>109</v>
      </c>
      <c r="F105" s="33">
        <v>1</v>
      </c>
      <c r="G105" s="17">
        <v>130</v>
      </c>
      <c r="H105" s="22">
        <v>77.5</v>
      </c>
      <c r="I105" s="15">
        <v>207.5</v>
      </c>
      <c r="J105" s="99"/>
    </row>
    <row r="106" spans="2:10" s="10" customFormat="1" x14ac:dyDescent="0.25">
      <c r="B106" s="32">
        <v>37</v>
      </c>
      <c r="C106" s="86" t="s">
        <v>112</v>
      </c>
      <c r="D106" s="32" t="s">
        <v>142</v>
      </c>
      <c r="E106" s="86" t="s">
        <v>111</v>
      </c>
      <c r="F106" s="33">
        <v>1</v>
      </c>
      <c r="G106" s="17">
        <f>F106*$D$120*2*J106</f>
        <v>112.49830737982396</v>
      </c>
      <c r="H106" s="22">
        <f>F106*$D$121*2*J106</f>
        <v>56.249153689911978</v>
      </c>
      <c r="I106" s="15">
        <f t="shared" si="11"/>
        <v>168.74746106973595</v>
      </c>
      <c r="J106" s="99">
        <v>0.56249153689911979</v>
      </c>
    </row>
    <row r="107" spans="2:10" s="10" customFormat="1" x14ac:dyDescent="0.25">
      <c r="B107" s="32">
        <v>38</v>
      </c>
      <c r="C107" s="86" t="s">
        <v>114</v>
      </c>
      <c r="D107" s="32" t="s">
        <v>142</v>
      </c>
      <c r="E107" s="86" t="s">
        <v>113</v>
      </c>
      <c r="F107" s="33">
        <v>1</v>
      </c>
      <c r="G107" s="17">
        <f>F107*$D$120*2*J107</f>
        <v>95.626269465132026</v>
      </c>
      <c r="H107" s="22">
        <f>F107*$D$121*2*J107</f>
        <v>47.813134732566013</v>
      </c>
      <c r="I107" s="15">
        <f t="shared" si="11"/>
        <v>143.43940419769802</v>
      </c>
      <c r="J107" s="99">
        <v>0.47813134732566009</v>
      </c>
    </row>
    <row r="108" spans="2:10" s="10" customFormat="1" ht="30" x14ac:dyDescent="0.25">
      <c r="B108" s="32">
        <v>39</v>
      </c>
      <c r="C108" s="86" t="s">
        <v>61</v>
      </c>
      <c r="D108" s="32" t="s">
        <v>142</v>
      </c>
      <c r="E108" s="86" t="s">
        <v>115</v>
      </c>
      <c r="F108" s="33">
        <v>1</v>
      </c>
      <c r="G108" s="17">
        <f>F108*$D$120*2*J108</f>
        <v>116.39810426540285</v>
      </c>
      <c r="H108" s="22">
        <f>F108*$D$121*2*J108</f>
        <v>58.199052132701425</v>
      </c>
      <c r="I108" s="15">
        <f t="shared" si="11"/>
        <v>174.59715639810429</v>
      </c>
      <c r="J108" s="99">
        <v>0.58199052132701423</v>
      </c>
    </row>
    <row r="109" spans="2:10" s="10" customFormat="1" x14ac:dyDescent="0.25">
      <c r="B109" s="32">
        <v>40</v>
      </c>
      <c r="C109" s="86" t="s">
        <v>108</v>
      </c>
      <c r="D109" s="32" t="s">
        <v>127</v>
      </c>
      <c r="E109" s="86" t="s">
        <v>128</v>
      </c>
      <c r="F109" s="33">
        <v>2</v>
      </c>
      <c r="G109" s="17">
        <f>F109*$D$120*2*J109</f>
        <v>98.630136986301366</v>
      </c>
      <c r="H109" s="22">
        <f>F109*$D$121*2*J109</f>
        <v>49.315068493150683</v>
      </c>
      <c r="I109" s="15">
        <f t="shared" ref="I109" si="14">G109+H109</f>
        <v>147.94520547945206</v>
      </c>
      <c r="J109" s="99">
        <f>1800/7300</f>
        <v>0.24657534246575341</v>
      </c>
    </row>
    <row r="110" spans="2:10" s="10" customFormat="1" x14ac:dyDescent="0.25">
      <c r="B110" s="32">
        <v>41</v>
      </c>
      <c r="C110" s="86" t="s">
        <v>116</v>
      </c>
      <c r="D110" s="32" t="s">
        <v>142</v>
      </c>
      <c r="E110" s="86" t="s">
        <v>116</v>
      </c>
      <c r="F110" s="33">
        <v>1</v>
      </c>
      <c r="G110" s="17">
        <v>130</v>
      </c>
      <c r="H110" s="22">
        <v>77.5</v>
      </c>
      <c r="I110" s="15">
        <v>207.5</v>
      </c>
      <c r="J110" s="98"/>
    </row>
    <row r="111" spans="2:10" s="10" customFormat="1" x14ac:dyDescent="0.25">
      <c r="B111" s="32">
        <v>42</v>
      </c>
      <c r="C111" s="86" t="s">
        <v>155</v>
      </c>
      <c r="D111" s="32" t="s">
        <v>156</v>
      </c>
      <c r="E111" s="86" t="s">
        <v>157</v>
      </c>
      <c r="F111" s="33">
        <v>1</v>
      </c>
      <c r="G111" s="17">
        <v>130</v>
      </c>
      <c r="H111" s="22">
        <v>77.5</v>
      </c>
      <c r="I111" s="15">
        <v>207.5</v>
      </c>
      <c r="J111" s="98"/>
    </row>
    <row r="112" spans="2:10" s="10" customFormat="1" ht="15.75" thickBot="1" x14ac:dyDescent="0.3">
      <c r="B112" s="84" t="s">
        <v>16</v>
      </c>
      <c r="C112" s="85"/>
      <c r="D112" s="85"/>
      <c r="E112" s="85"/>
      <c r="F112" s="85"/>
      <c r="G112" s="18">
        <f>SUM(G70:G110)</f>
        <v>14439.178714401949</v>
      </c>
      <c r="H112" s="23">
        <f>SUM(H70:H110)</f>
        <v>9326.0893572009736</v>
      </c>
      <c r="I112" s="24">
        <f t="shared" si="10"/>
        <v>23765.268071602921</v>
      </c>
      <c r="J112" s="100"/>
    </row>
    <row r="113" spans="1:18" s="10" customFormat="1" x14ac:dyDescent="0.25">
      <c r="B113" s="5"/>
      <c r="C113" s="5"/>
      <c r="D113" s="5"/>
      <c r="E113" s="5"/>
      <c r="F113" s="4"/>
      <c r="G113" s="9"/>
      <c r="H113" s="9"/>
      <c r="I113"/>
    </row>
    <row r="114" spans="1:18" s="10" customFormat="1" x14ac:dyDescent="0.25">
      <c r="B114" s="5"/>
      <c r="C114" s="8" t="s">
        <v>143</v>
      </c>
      <c r="D114" s="8"/>
      <c r="E114" s="8"/>
      <c r="F114" s="5"/>
      <c r="G114" s="5"/>
      <c r="H114" s="5"/>
      <c r="I114" s="5"/>
    </row>
    <row r="115" spans="1:18" s="10" customFormat="1" x14ac:dyDescent="0.25">
      <c r="B115" s="5"/>
      <c r="C115" s="19" t="s">
        <v>14</v>
      </c>
      <c r="D115" s="19">
        <f>612/16</f>
        <v>38.25</v>
      </c>
      <c r="E115" s="5"/>
      <c r="F115" s="5"/>
      <c r="G115" s="5"/>
      <c r="H115" s="5"/>
      <c r="I115" s="5"/>
    </row>
    <row r="116" spans="1:18" s="10" customFormat="1" x14ac:dyDescent="0.25">
      <c r="B116" s="5"/>
      <c r="C116" s="19" t="s">
        <v>15</v>
      </c>
      <c r="D116" s="19">
        <f>428/16</f>
        <v>26.75</v>
      </c>
      <c r="E116" s="5"/>
      <c r="F116" s="5"/>
      <c r="G116" s="5"/>
      <c r="H116" s="5"/>
      <c r="I116" s="5"/>
      <c r="J116" s="5"/>
      <c r="K116" s="6"/>
      <c r="L116" s="6"/>
    </row>
    <row r="117" spans="1:18" s="10" customFormat="1" x14ac:dyDescent="0.25">
      <c r="A117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/>
    </row>
    <row r="118" spans="1:18" s="10" customFormat="1" x14ac:dyDescent="0.25">
      <c r="A118"/>
      <c r="B118"/>
      <c r="C118" s="8" t="s">
        <v>150</v>
      </c>
      <c r="D118" s="8"/>
      <c r="E118" s="8"/>
      <c r="F118" s="8"/>
      <c r="G118" s="5"/>
      <c r="H118"/>
      <c r="I118"/>
      <c r="J118"/>
      <c r="K118" s="6"/>
      <c r="L118" s="6"/>
      <c r="M118"/>
    </row>
    <row r="119" spans="1:18" s="10" customFormat="1" x14ac:dyDescent="0.25">
      <c r="C119" s="8" t="s">
        <v>152</v>
      </c>
      <c r="D119" s="8"/>
      <c r="E119" s="8"/>
      <c r="F119" s="8"/>
      <c r="G119" s="5"/>
      <c r="K119" s="6"/>
      <c r="L119" s="6"/>
    </row>
    <row r="120" spans="1:18" x14ac:dyDescent="0.25">
      <c r="C120" s="20" t="s">
        <v>14</v>
      </c>
      <c r="D120" s="32">
        <v>100</v>
      </c>
      <c r="E120"/>
      <c r="F120"/>
      <c r="H120" s="10"/>
      <c r="I120" s="10"/>
      <c r="J120" s="10"/>
      <c r="K120" s="6"/>
      <c r="L120" s="6"/>
      <c r="R120"/>
    </row>
    <row r="121" spans="1:18" x14ac:dyDescent="0.25">
      <c r="C121" s="20" t="s">
        <v>15</v>
      </c>
      <c r="D121" s="32">
        <v>50</v>
      </c>
      <c r="E121"/>
      <c r="F121"/>
      <c r="H121" s="10"/>
      <c r="I121" s="10"/>
      <c r="J121" s="10"/>
      <c r="K121" s="6"/>
      <c r="L121" s="6"/>
      <c r="M121"/>
      <c r="R121"/>
    </row>
    <row r="122" spans="1:18" s="10" customFormat="1" x14ac:dyDescent="0.25">
      <c r="A122"/>
      <c r="B122"/>
      <c r="C122" s="77"/>
      <c r="D122" s="77"/>
      <c r="E122" s="77"/>
      <c r="F122"/>
      <c r="G122"/>
      <c r="H122"/>
      <c r="I122"/>
      <c r="K122" s="6"/>
      <c r="L122" s="6"/>
      <c r="M122"/>
    </row>
    <row r="123" spans="1:18" s="10" customFormat="1" x14ac:dyDescent="0.25">
      <c r="A123"/>
      <c r="B123"/>
      <c r="C123" s="97"/>
      <c r="F123"/>
      <c r="G123"/>
      <c r="H123"/>
      <c r="I123"/>
      <c r="K123" s="6"/>
      <c r="L123" s="6"/>
      <c r="M123"/>
    </row>
    <row r="124" spans="1:18" x14ac:dyDescent="0.25">
      <c r="F124"/>
      <c r="J124" s="10"/>
      <c r="K124" s="6"/>
      <c r="L124" s="6"/>
      <c r="M124"/>
      <c r="R124"/>
    </row>
    <row r="125" spans="1:18" x14ac:dyDescent="0.25">
      <c r="K125" s="6"/>
      <c r="L125" s="6"/>
      <c r="M125"/>
      <c r="R125"/>
    </row>
    <row r="126" spans="1:18" s="10" customFormat="1" ht="15.75" hidden="1" outlineLevel="1" thickBot="1" x14ac:dyDescent="0.3">
      <c r="B126" s="88"/>
    </row>
    <row r="127" spans="1:18" s="10" customFormat="1" ht="30" hidden="1" outlineLevel="1" x14ac:dyDescent="0.25">
      <c r="B127" s="89"/>
      <c r="C127" s="11"/>
      <c r="D127" s="32"/>
      <c r="E127" s="33"/>
      <c r="F127" s="90"/>
      <c r="G127" s="91" t="s">
        <v>144</v>
      </c>
      <c r="H127" s="32" t="s">
        <v>145</v>
      </c>
    </row>
    <row r="128" spans="1:18" s="10" customFormat="1" hidden="1" outlineLevel="1" x14ac:dyDescent="0.25">
      <c r="B128" s="32"/>
      <c r="C128" s="32"/>
      <c r="D128" s="11"/>
      <c r="E128" s="33"/>
      <c r="F128" s="92"/>
      <c r="G128" s="93">
        <v>62064320.07</v>
      </c>
      <c r="H128" s="94">
        <v>63000</v>
      </c>
    </row>
    <row r="129" spans="2:18" s="10" customFormat="1" hidden="1" outlineLevel="1" x14ac:dyDescent="0.25">
      <c r="B129" s="32"/>
      <c r="C129" s="32"/>
      <c r="D129" s="11"/>
      <c r="E129" s="33"/>
      <c r="F129" s="92"/>
      <c r="G129" s="93">
        <v>90688456</v>
      </c>
      <c r="H129" s="94">
        <v>63000</v>
      </c>
    </row>
    <row r="130" spans="2:18" s="10" customFormat="1" ht="15.75" hidden="1" outlineLevel="1" thickBot="1" x14ac:dyDescent="0.3">
      <c r="B130" s="101"/>
      <c r="C130" s="101"/>
      <c r="D130" s="101"/>
      <c r="E130" s="102"/>
      <c r="F130" s="95"/>
    </row>
    <row r="131" spans="2:18" s="10" customFormat="1" hidden="1" outlineLevel="1" x14ac:dyDescent="0.25"/>
    <row r="132" spans="2:18" s="10" customFormat="1" hidden="1" outlineLevel="1" x14ac:dyDescent="0.25"/>
    <row r="133" spans="2:18" s="10" customFormat="1" hidden="1" outlineLevel="1" x14ac:dyDescent="0.25"/>
    <row r="134" spans="2:18" s="10" customFormat="1" hidden="1" outlineLevel="1" x14ac:dyDescent="0.25"/>
    <row r="135" spans="2:18" collapsed="1" x14ac:dyDescent="0.25">
      <c r="K135" s="6"/>
      <c r="L135" s="6"/>
      <c r="M135"/>
      <c r="R135"/>
    </row>
    <row r="136" spans="2:18" x14ac:dyDescent="0.25">
      <c r="K136" s="6"/>
      <c r="L136" s="6"/>
      <c r="M136"/>
      <c r="R136"/>
    </row>
    <row r="137" spans="2:18" x14ac:dyDescent="0.25">
      <c r="K137"/>
      <c r="L137"/>
      <c r="M137"/>
      <c r="R137"/>
    </row>
  </sheetData>
  <mergeCells count="14">
    <mergeCell ref="B130:E130"/>
    <mergeCell ref="M3:O3"/>
    <mergeCell ref="J3:L3"/>
    <mergeCell ref="G68:I68"/>
    <mergeCell ref="C68:C69"/>
    <mergeCell ref="B68:B69"/>
    <mergeCell ref="F68:F69"/>
    <mergeCell ref="B31:C31"/>
    <mergeCell ref="M32:P32"/>
    <mergeCell ref="C32:D34"/>
    <mergeCell ref="C35:D35"/>
    <mergeCell ref="D68:D69"/>
    <mergeCell ref="E68:E69"/>
    <mergeCell ref="J68:J69"/>
  </mergeCells>
  <conditionalFormatting sqref="M5:O5 O28:O30 O6:O26 M6:N30">
    <cfRule type="cellIs" dxfId="1" priority="3" operator="lessThan">
      <formula>0</formula>
    </cfRule>
  </conditionalFormatting>
  <conditionalFormatting sqref="O27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Потребность_19.10.2020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2022-03-30T22:47:56Z</dcterms:modified>
</cp:coreProperties>
</file>