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60.xml" ContentType="application/vnd.openxmlformats-officedocument.spreadsheetml.worksheet+xml"/>
  <Override PartName="/xl/worksheets/sheet8.xml" ContentType="application/vnd.openxmlformats-officedocument.spreadsheetml.worksheet+xml"/>
  <Override PartName="/xl/worksheets/sheet61.xml" ContentType="application/vnd.openxmlformats-officedocument.spreadsheetml.worksheet+xml"/>
  <Override PartName="/xl/worksheets/sheet9.xml" ContentType="application/vnd.openxmlformats-officedocument.spreadsheetml.worksheet+xml"/>
  <Override PartName="/xl/worksheets/sheet6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enarios" sheetId="1" state="visible" r:id="rId2"/>
    <sheet name="Contributions" sheetId="2" state="visible" r:id="rId3"/>
    <sheet name="RetireUp Market Returns" sheetId="3" state="visible" r:id="rId4"/>
    <sheet name="Tables" sheetId="4" state="visible" r:id="rId5"/>
    <sheet name="IRS Changes" sheetId="5" state="visible" r:id="rId6"/>
    <sheet name="Notes" sheetId="6" state="visible" r:id="rId7"/>
    <sheet name="Scenario1" sheetId="7" state="visible" r:id="rId8"/>
    <sheet name="Scenario2" sheetId="8" state="visible" r:id="rId9"/>
    <sheet name="Scenario3" sheetId="9" state="visible" r:id="rId10"/>
    <sheet name="Scenario4" sheetId="10" state="visible" r:id="rId11"/>
    <sheet name="Scenario5" sheetId="11" state="visible" r:id="rId12"/>
    <sheet name="Scenario6" sheetId="12" state="visible" r:id="rId13"/>
    <sheet name="Scenario7" sheetId="13" state="visible" r:id="rId14"/>
    <sheet name="Scenario8" sheetId="14" state="visible" r:id="rId15"/>
    <sheet name="Scenario9" sheetId="15" state="visible" r:id="rId16"/>
    <sheet name="Scenario10" sheetId="16" state="visible" r:id="rId17"/>
    <sheet name="Scenario11" sheetId="17" state="visible" r:id="rId18"/>
    <sheet name="Scenario12" sheetId="18" state="visible" r:id="rId19"/>
    <sheet name="Scenario13" sheetId="19" state="visible" r:id="rId20"/>
    <sheet name="Scenario14" sheetId="20" state="visible" r:id="rId21"/>
    <sheet name="Scenario15" sheetId="21" state="visible" r:id="rId22"/>
    <sheet name="Scenario16" sheetId="22" state="visible" r:id="rId23"/>
    <sheet name="Scenario17" sheetId="23" state="visible" r:id="rId24"/>
    <sheet name="Scenario18" sheetId="24" state="visible" r:id="rId25"/>
    <sheet name="Scenario19" sheetId="25" state="visible" r:id="rId26"/>
    <sheet name="Scenario20" sheetId="26" state="visible" r:id="rId27"/>
    <sheet name="Scenario21" sheetId="27" state="visible" r:id="rId28"/>
    <sheet name="Scenario22" sheetId="28" state="visible" r:id="rId29"/>
    <sheet name="Scenario23" sheetId="29" state="visible" r:id="rId30"/>
    <sheet name="Scenario24" sheetId="30" state="visible" r:id="rId31"/>
    <sheet name="Scenario25" sheetId="31" state="visible" r:id="rId32"/>
    <sheet name="Scenario26" sheetId="32" state="visible" r:id="rId33"/>
    <sheet name="Scenario27" sheetId="33" state="visible" r:id="rId34"/>
    <sheet name="Scenario28" sheetId="34" state="visible" r:id="rId35"/>
    <sheet name="Scenario29" sheetId="35" state="visible" r:id="rId36"/>
    <sheet name="Scenario30" sheetId="36" state="visible" r:id="rId37"/>
    <sheet name="Scenario31" sheetId="37" state="visible" r:id="rId38"/>
    <sheet name="Scenario32" sheetId="38" state="visible" r:id="rId39"/>
    <sheet name="Scenario33" sheetId="39" state="visible" r:id="rId40"/>
    <sheet name="Scenario34" sheetId="40" state="visible" r:id="rId41"/>
    <sheet name="Scenario35" sheetId="41" state="visible" r:id="rId42"/>
    <sheet name="Scenario36" sheetId="42" state="visible" r:id="rId43"/>
    <sheet name="Scenario37" sheetId="43" state="visible" r:id="rId44"/>
    <sheet name="Scenario38" sheetId="44" state="visible" r:id="rId45"/>
    <sheet name="Scenario39" sheetId="45" state="visible" r:id="rId46"/>
    <sheet name="Scenario40" sheetId="46" state="visible" r:id="rId47"/>
    <sheet name="Scenario41" sheetId="47" state="visible" r:id="rId48"/>
    <sheet name="Scenario42" sheetId="48" state="visible" r:id="rId49"/>
    <sheet name="Scenario43" sheetId="49" state="visible" r:id="rId50"/>
    <sheet name="Scenario44" sheetId="50" state="visible" r:id="rId51"/>
    <sheet name="Scenario45" sheetId="51" state="visible" r:id="rId52"/>
    <sheet name="Scenario46" sheetId="52" state="visible" r:id="rId53"/>
    <sheet name="Scenario47" sheetId="53" state="visible" r:id="rId54"/>
    <sheet name="Scenario48" sheetId="54" state="visible" r:id="rId55"/>
    <sheet name="Scenario49" sheetId="55" state="visible" r:id="rId56"/>
    <sheet name="Scenario50" sheetId="56" state="visible" r:id="rId57"/>
    <sheet name="Scenario51" sheetId="57" state="visible" r:id="rId58"/>
    <sheet name="Scenario52" sheetId="58" state="visible" r:id="rId59"/>
    <sheet name="Scenario53" sheetId="59" state="visible" r:id="rId60"/>
    <sheet name="Scenario54" sheetId="60" state="visible" r:id="rId61"/>
    <sheet name="Scenario55" sheetId="61" state="visible" r:id="rId62"/>
    <sheet name="Scenario56" sheetId="62" state="visible" r:id="rId63"/>
    <sheet name="Scenario57" sheetId="63" state="visible" r:id="rId64"/>
    <sheet name="Scenario58" sheetId="64" state="visible" r:id="rId65"/>
    <sheet name="Scenario59" sheetId="65" state="visible" r:id="rId66"/>
    <sheet name="Scenario60" sheetId="66" state="visible" r:id="rId67"/>
    <sheet name="Scenario61" sheetId="67" state="visible" r:id="rId68"/>
    <sheet name="Scenario62" sheetId="68" state="visible" r:id="rId69"/>
    <sheet name="Scenario63" sheetId="69" state="visible" r:id="rId70"/>
    <sheet name="Scenario64" sheetId="70" state="visible" r:id="rId71"/>
  </sheets>
  <definedNames>
    <definedName function="false" hidden="true" localSheetId="0" name="_xlnm._FilterDatabase" vbProcedure="false">Scenarios!$A$2:$AB$61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<sst xmlns="http://schemas.openxmlformats.org/spreadsheetml/2006/main" count="5559" uniqueCount="221">
  <si>
    <t xml:space="preserve">Scenario</t>
  </si>
  <si>
    <t xml:space="preserve">Scenario Description</t>
  </si>
  <si>
    <t xml:space="preserve">Current Age</t>
  </si>
  <si>
    <t xml:space="preserve">Retirement Age</t>
  </si>
  <si>
    <t xml:space="preserve">End Age</t>
  </si>
  <si>
    <t xml:space="preserve">Annual Salary</t>
  </si>
  <si>
    <t xml:space="preserve">Annual Salary Increase</t>
  </si>
  <si>
    <t xml:space="preserve">Marital Status</t>
  </si>
  <si>
    <t xml:space="preserve">Average Market Return</t>
  </si>
  <si>
    <t xml:space="preserve">Market Index Year</t>
  </si>
  <si>
    <t xml:space="preserve">Goal in Current Dollars</t>
  </si>
  <si>
    <t xml:space="preserve">Effective Tax Rate</t>
  </si>
  <si>
    <t xml:space="preserve">Overall Inflation Rate</t>
  </si>
  <si>
    <t xml:space="preserve">Tax Status</t>
  </si>
  <si>
    <t xml:space="preserve">Account Type</t>
  </si>
  <si>
    <t xml:space="preserve">Investment Account Balance</t>
  </si>
  <si>
    <t xml:space="preserve">Employee Contribution Type</t>
  </si>
  <si>
    <t xml:space="preserve">Employee Contribution Amount</t>
  </si>
  <si>
    <t xml:space="preserve">Employee Contribution Percent of Salary</t>
  </si>
  <si>
    <t xml:space="preserve">Increasing per Month/Year Amount</t>
  </si>
  <si>
    <t xml:space="preserve">Up To Maximum Contribution Amount</t>
  </si>
  <si>
    <t xml:space="preserve">Increasing per Year Percent Salary</t>
  </si>
  <si>
    <t xml:space="preserve">Up To Maximum Increase Percent Salary</t>
  </si>
  <si>
    <t xml:space="preserve">Employer Contribution Type</t>
  </si>
  <si>
    <t xml:space="preserve">Employer Contribution Amount</t>
  </si>
  <si>
    <t xml:space="preserve">Employer Contribution % of Salary</t>
  </si>
  <si>
    <t xml:space="preserve">Match Cents Per Dollar</t>
  </si>
  <si>
    <t xml:space="preserve">Match Percent of Salary</t>
  </si>
  <si>
    <t xml:space="preserve">Single</t>
  </si>
  <si>
    <t xml:space="preserve">Qualified</t>
  </si>
  <si>
    <t xml:space="preserve">IRA</t>
  </si>
  <si>
    <t xml:space="preserve">Maximum Allowable</t>
  </si>
  <si>
    <t xml:space="preserve">None</t>
  </si>
  <si>
    <t xml:space="preserve">Monthly</t>
  </si>
  <si>
    <t xml:space="preserve">Married</t>
  </si>
  <si>
    <t xml:space="preserve">Annual</t>
  </si>
  <si>
    <t xml:space="preserve">% of Salary</t>
  </si>
  <si>
    <t xml:space="preserve">Roth IRA</t>
  </si>
  <si>
    <t xml:space="preserve">401k</t>
  </si>
  <si>
    <t xml:space="preserve">Match</t>
  </si>
  <si>
    <t xml:space="preserve">403b</t>
  </si>
  <si>
    <t xml:space="preserve">457b</t>
  </si>
  <si>
    <t xml:space="preserve">Health Savings Account</t>
  </si>
  <si>
    <t xml:space="preserve">Roth 401k</t>
  </si>
  <si>
    <t xml:space="preserve">ORP</t>
  </si>
  <si>
    <t xml:space="preserve">Other</t>
  </si>
  <si>
    <t xml:space="preserve">Profit Sharing</t>
  </si>
  <si>
    <t xml:space="preserve">SEP</t>
  </si>
  <si>
    <t xml:space="preserve">SIMPLE</t>
  </si>
  <si>
    <t xml:space="preserve">401a</t>
  </si>
  <si>
    <t xml:space="preserve">Roth 403b</t>
  </si>
  <si>
    <t xml:space="preserve">Roth 457b</t>
  </si>
  <si>
    <t xml:space="preserve">Roth SEP</t>
  </si>
  <si>
    <t xml:space="preserve">Roth SIMPLE</t>
  </si>
  <si>
    <t xml:space="preserve">Profile Setup</t>
  </si>
  <si>
    <t xml:space="preserve">Client</t>
  </si>
  <si>
    <t xml:space="preserve">Asset with Employee Contribution</t>
  </si>
  <si>
    <t xml:space="preserve">Employer Contribution</t>
  </si>
  <si>
    <t xml:space="preserve">IRS Contribution Limits</t>
  </si>
  <si>
    <t xml:space="preserve">Contribution Limit</t>
  </si>
  <si>
    <t xml:space="preserve">Elective deferrals 401(k), 403(b), 457, and SARSEPs</t>
  </si>
  <si>
    <t xml:space="preserve">Catch-up Contribution Age 50+</t>
  </si>
  <si>
    <t xml:space="preserve">Account Type ID from cell F3</t>
  </si>
  <si>
    <t xml:space="preserve">Defined Contribution 401k, 403b, SEP (Employee&amp;Employer)</t>
  </si>
  <si>
    <t xml:space="preserve">Employee Contribution Baseline</t>
  </si>
  <si>
    <t xml:space="preserve">Defined Contribution 457b (Employee&amp;Employer)</t>
  </si>
  <si>
    <t xml:space="preserve">Employee 50+ (HSA 55+) Catchup Baseline</t>
  </si>
  <si>
    <t xml:space="preserve">SIMPLE plan</t>
  </si>
  <si>
    <t xml:space="preserve">Employee/Employer Contribution Baseline</t>
  </si>
  <si>
    <t xml:space="preserve">SIMPLE plan Catch-up Contribution Age 50+</t>
  </si>
  <si>
    <t xml:space="preserve">IRA or Roth IRA contribution limit </t>
  </si>
  <si>
    <t xml:space="preserve">Up to Maximum Contribution Amount</t>
  </si>
  <si>
    <t xml:space="preserve">IRA or Roth IRA catch-up Age 50+</t>
  </si>
  <si>
    <t xml:space="preserve">HSA Single</t>
  </si>
  <si>
    <t xml:space="preserve">HSA Married</t>
  </si>
  <si>
    <t xml:space="preserve">HSA Catch-up Contribution Age 55+</t>
  </si>
  <si>
    <t xml:space="preserve">Minimum Salary for Roth treatment of contributions</t>
  </si>
  <si>
    <t xml:space="preserve">Scenario21</t>
  </si>
  <si>
    <t xml:space="preserve">Retirement Account</t>
  </si>
  <si>
    <t xml:space="preserve">Calendar Year</t>
  </si>
  <si>
    <t xml:space="preserve">Contract Year Begin Date</t>
  </si>
  <si>
    <t xml:space="preserve">Contract Year</t>
  </si>
  <si>
    <t xml:space="preserve">Beginning Age of Client</t>
  </si>
  <si>
    <t xml:space="preserve">Market Return</t>
  </si>
  <si>
    <t xml:space="preserve">Inflation</t>
  </si>
  <si>
    <t xml:space="preserve">Cummulative Inflation Factor</t>
  </si>
  <si>
    <t xml:space="preserve">Salary</t>
  </si>
  <si>
    <t xml:space="preserve">Beginning Balance</t>
  </si>
  <si>
    <t xml:space="preserve">Gain</t>
  </si>
  <si>
    <t xml:space="preserve">Balance after Gain</t>
  </si>
  <si>
    <t xml:space="preserve">RMD Factor</t>
  </si>
  <si>
    <t xml:space="preserve">Total RMD Amount</t>
  </si>
  <si>
    <t xml:space="preserve">Goal Taken</t>
  </si>
  <si>
    <t xml:space="preserve">Total Withdrawal RMD or Goal</t>
  </si>
  <si>
    <t xml:space="preserve">Balance after Withdrawal</t>
  </si>
  <si>
    <t xml:space="preserve">Requested Employee Annual Contribution</t>
  </si>
  <si>
    <t xml:space="preserve">Requested Employer Annual Contribution</t>
  </si>
  <si>
    <t xml:space="preserve">Employee Annual Contribution Limit</t>
  </si>
  <si>
    <t xml:space="preserve">Employee Catch-up Contribution Limit</t>
  </si>
  <si>
    <t xml:space="preserve">Employee / Employer  Contribution Limit</t>
  </si>
  <si>
    <t xml:space="preserve">Final Employee Contribution</t>
  </si>
  <si>
    <t xml:space="preserve">Final Catch-up Contribtion</t>
  </si>
  <si>
    <t xml:space="preserve">Final Employer Contribution</t>
  </si>
  <si>
    <t xml:space="preserve">Total Contributions</t>
  </si>
  <si>
    <t xml:space="preserve">Ending Balance After Contributions</t>
  </si>
  <si>
    <t xml:space="preserve">Index</t>
  </si>
  <si>
    <t xml:space="preserve">Custom</t>
  </si>
  <si>
    <t xml:space="preserve">Fixed 0%</t>
  </si>
  <si>
    <t xml:space="preserve">Fixed 3%</t>
  </si>
  <si>
    <t xml:space="preserve">Fixed 5%</t>
  </si>
  <si>
    <t xml:space="preserve">Mean</t>
  </si>
  <si>
    <t xml:space="preserve">Std Dev</t>
  </si>
  <si>
    <t xml:space="preserve">Max</t>
  </si>
  <si>
    <t xml:space="preserve">Median</t>
  </si>
  <si>
    <t xml:space="preserve">Min</t>
  </si>
  <si>
    <t xml:space="preserve">Index Index</t>
  </si>
  <si>
    <t xml:space="preserve">Number of Negative Years out of 100</t>
  </si>
  <si>
    <t xml:space="preserve">Contribution Limits</t>
  </si>
  <si>
    <t xml:space="preserve">Required Minimum Distribution Table</t>
  </si>
  <si>
    <t xml:space="preserve">Age</t>
  </si>
  <si>
    <t xml:space="preserve">Distribution Period</t>
  </si>
  <si>
    <t xml:space="preserve">-</t>
  </si>
  <si>
    <t xml:space="preserve">Validation Table</t>
  </si>
  <si>
    <t xml:space="preserve">Non-Qualified</t>
  </si>
  <si>
    <t xml:space="preserve">IRS Changes</t>
  </si>
  <si>
    <t xml:space="preserve">Color Code:</t>
  </si>
  <si>
    <t xml:space="preserve">No Update</t>
  </si>
  <si>
    <t xml:space="preserve">New Value</t>
  </si>
  <si>
    <t xml:space="preserve">Retirement Plans</t>
  </si>
  <si>
    <t xml:space="preserve">SECURE 2.0 Act</t>
  </si>
  <si>
    <t xml:space="preserve">Defined Contribution 401k, etc. (Emplyee&amp;Emplyor)</t>
  </si>
  <si>
    <t xml:space="preserve">HSA</t>
  </si>
  <si>
    <t xml:space="preserve">Minimum Deductible Amount</t>
  </si>
  <si>
    <t xml:space="preserve">Family</t>
  </si>
  <si>
    <t xml:space="preserve">Catch-up Contribution Age 55+</t>
  </si>
  <si>
    <t xml:space="preserve">Tax Tables</t>
  </si>
  <si>
    <t xml:space="preserve">Rate</t>
  </si>
  <si>
    <t xml:space="preserve">Married Filing Jointly</t>
  </si>
  <si>
    <t xml:space="preserve">Standard Deduction</t>
  </si>
  <si>
    <t xml:space="preserve">MFJ</t>
  </si>
  <si>
    <t xml:space="preserve">Estate and Gift Tax</t>
  </si>
  <si>
    <t xml:space="preserve">Annual gift tax exclusion</t>
  </si>
  <si>
    <t xml:space="preserve">Estate and gift tax basic exclusion</t>
  </si>
  <si>
    <t xml:space="preserve">Generation skipping exemption</t>
  </si>
  <si>
    <t xml:space="preserve">Maximum estate tax rate</t>
  </si>
  <si>
    <t xml:space="preserve">Capital Gains Tax</t>
  </si>
  <si>
    <t xml:space="preserve">PDF Disclosure Changes</t>
  </si>
  <si>
    <t xml:space="preserve">https://www.irs.gov/pub/irs-tege/uniform_rmd_wksht.pdf</t>
  </si>
  <si>
    <t xml:space="preserve">Default expense costs by state</t>
  </si>
  <si>
    <t xml:space="preserve">List of policies available by state</t>
  </si>
  <si>
    <t xml:space="preserve">Assisted Care and Facility Care expenses get created on first time clicking on the LTC tab on Plan page.</t>
  </si>
  <si>
    <t xml:space="preserve">LTC Premium expense is created after clicking Add to Plan and filling out details of LTC policy.</t>
  </si>
  <si>
    <t xml:space="preserve">Version</t>
  </si>
  <si>
    <t xml:space="preserve">Changes</t>
  </si>
  <si>
    <t xml:space="preserve">Initial attempt at product</t>
  </si>
  <si>
    <t xml:space="preserve">Added Simple baseline and reduced for withdrawals</t>
  </si>
  <si>
    <t xml:space="preserve">Added state matrix</t>
  </si>
  <si>
    <t xml:space="preserve">Add daily cap to benefit</t>
  </si>
  <si>
    <t xml:space="preserve">Scenario1</t>
  </si>
  <si>
    <t xml:space="preserve">Scenario2</t>
  </si>
  <si>
    <t xml:space="preserve">Scenario3</t>
  </si>
  <si>
    <t xml:space="preserve">Scenario4</t>
  </si>
  <si>
    <t xml:space="preserve">Scenario5</t>
  </si>
  <si>
    <t xml:space="preserve">Scenario6</t>
  </si>
  <si>
    <t xml:space="preserve">Scenario7</t>
  </si>
  <si>
    <t xml:space="preserve">Scenario8</t>
  </si>
  <si>
    <t xml:space="preserve">Scenario9</t>
  </si>
  <si>
    <t xml:space="preserve">Scenario10</t>
  </si>
  <si>
    <t xml:space="preserve">Scenario11</t>
  </si>
  <si>
    <t xml:space="preserve">Scenario12</t>
  </si>
  <si>
    <t xml:space="preserve">Scenario13</t>
  </si>
  <si>
    <t xml:space="preserve">Scenario14</t>
  </si>
  <si>
    <t xml:space="preserve">Scenario15</t>
  </si>
  <si>
    <t xml:space="preserve">Scenario16</t>
  </si>
  <si>
    <t xml:space="preserve">Scenario17</t>
  </si>
  <si>
    <t xml:space="preserve">Scenario18</t>
  </si>
  <si>
    <t xml:space="preserve">Scenario19</t>
  </si>
  <si>
    <t xml:space="preserve">Scenario20</t>
  </si>
  <si>
    <t xml:space="preserve">Scenario22</t>
  </si>
  <si>
    <t xml:space="preserve">Scenario23</t>
  </si>
  <si>
    <t xml:space="preserve">Scenario24</t>
  </si>
  <si>
    <t xml:space="preserve">Scenario25</t>
  </si>
  <si>
    <t xml:space="preserve">Scenario26</t>
  </si>
  <si>
    <t xml:space="preserve">Scenario27</t>
  </si>
  <si>
    <t xml:space="preserve">Scenario28</t>
  </si>
  <si>
    <t xml:space="preserve">Scenario29</t>
  </si>
  <si>
    <t xml:space="preserve">Scenario30</t>
  </si>
  <si>
    <t xml:space="preserve">Scenario31</t>
  </si>
  <si>
    <t xml:space="preserve">Scenario32</t>
  </si>
  <si>
    <t xml:space="preserve">Scenario33</t>
  </si>
  <si>
    <t xml:space="preserve">Scenario34</t>
  </si>
  <si>
    <t xml:space="preserve">Scenario35</t>
  </si>
  <si>
    <t xml:space="preserve">Scenario36</t>
  </si>
  <si>
    <t xml:space="preserve">Scenario37</t>
  </si>
  <si>
    <t xml:space="preserve">Scenario38</t>
  </si>
  <si>
    <t xml:space="preserve">Scenario39</t>
  </si>
  <si>
    <t xml:space="preserve">Scenario40</t>
  </si>
  <si>
    <t xml:space="preserve">Scenario41</t>
  </si>
  <si>
    <t xml:space="preserve">Scenario42</t>
  </si>
  <si>
    <t xml:space="preserve">Scenario43</t>
  </si>
  <si>
    <t xml:space="preserve">Scenario44</t>
  </si>
  <si>
    <t xml:space="preserve">Scenario45</t>
  </si>
  <si>
    <t xml:space="preserve">Scenario46</t>
  </si>
  <si>
    <t xml:space="preserve">Scenario47</t>
  </si>
  <si>
    <t xml:space="preserve">Scenario48</t>
  </si>
  <si>
    <t xml:space="preserve">Scenario49</t>
  </si>
  <si>
    <t xml:space="preserve">Scenario50</t>
  </si>
  <si>
    <t xml:space="preserve">Scenario51</t>
  </si>
  <si>
    <t xml:space="preserve">Scenario52</t>
  </si>
  <si>
    <t xml:space="preserve">Scenario53</t>
  </si>
  <si>
    <t xml:space="preserve">Scenario54</t>
  </si>
  <si>
    <t xml:space="preserve">Scenario55</t>
  </si>
  <si>
    <t xml:space="preserve">Scenario56</t>
  </si>
  <si>
    <t xml:space="preserve">Scenario57</t>
  </si>
  <si>
    <t xml:space="preserve">Scenario58</t>
  </si>
  <si>
    <t xml:space="preserve">Scenario59</t>
  </si>
  <si>
    <t xml:space="preserve">Scenario60</t>
  </si>
  <si>
    <t xml:space="preserve">Scenario61</t>
  </si>
  <si>
    <t xml:space="preserve">Scenario62</t>
  </si>
  <si>
    <t xml:space="preserve">Scenario63</t>
  </si>
  <si>
    <t xml:space="preserve">Scenario64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</si>
</sst>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General"/>
    <numFmt numFmtId="166" formatCode="\$#,##0"/>
    <numFmt numFmtId="167" formatCode="0%"/>
    <numFmt numFmtId="168" formatCode="0.00%"/>
    <numFmt numFmtId="169" formatCode="\$#,##0_);[RED]&quot;($&quot;#,##0\)"/>
    <numFmt numFmtId="170" formatCode="\$#,##0.00"/>
    <numFmt numFmtId="171" formatCode="0"/>
    <numFmt numFmtId="172" formatCode="0.0%"/>
    <numFmt numFmtId="173" formatCode="0.00"/>
    <numFmt numFmtId="174" formatCode="\$#,##0.00"/>
    <numFmt numFmtId="175" formatCode="m/d/yyyy"/>
    <numFmt numFmtId="176" formatCode="0.000"/>
    <numFmt numFmtId="177" formatCode="#,##0.0000"/>
    <numFmt numFmtId="178" formatCode="_(\$* #,##0.00_);_(\$* \(#,##0.00\);_(\$* \-??_);_(@_)"/>
    <numFmt numFmtId="179" formatCode="#,##0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0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4F81BD"/>
        <bgColor rgb="FF808080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6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7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7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1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E2F0D9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12600</xdr:colOff>
      <xdr:row>58</xdr:row>
      <xdr:rowOff>25560</xdr:rowOff>
    </xdr:from>
    <xdr:to>
      <xdr:col>13</xdr:col>
      <xdr:colOff>342360</xdr:colOff>
      <xdr:row>68</xdr:row>
      <xdr:rowOff>55080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959440" y="11750760"/>
          <a:ext cx="8006040" cy="202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203040</xdr:colOff>
      <xdr:row>54</xdr:row>
      <xdr:rowOff>177840</xdr:rowOff>
    </xdr:from>
    <xdr:to>
      <xdr:col>2</xdr:col>
      <xdr:colOff>659880</xdr:colOff>
      <xdr:row>71</xdr:row>
      <xdr:rowOff>126720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03040" y="11103120"/>
          <a:ext cx="5578200" cy="334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254160</xdr:colOff>
      <xdr:row>72</xdr:row>
      <xdr:rowOff>165240</xdr:rowOff>
    </xdr:from>
    <xdr:to>
      <xdr:col>5</xdr:col>
      <xdr:colOff>609480</xdr:colOff>
      <xdr:row>102</xdr:row>
      <xdr:rowOff>57600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254160" y="14690880"/>
          <a:ext cx="8005320" cy="5893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6"/>
  <sheetViews>
    <sheetView showFormulas="false" showGridLines="true" showRowColHeaders="true" showZeros="true" rightToLeft="false" tabSelected="false" showOutlineSymbols="true" defaultGridColor="true" view="normal" topLeftCell="P1" colorId="64" zoomScale="120" zoomScaleNormal="120" zoomScalePageLayoutView="100" workbookViewId="0">
      <pane xSplit="0" ySplit="2" topLeftCell="A55" activePane="bottomLeft" state="frozen"/>
      <selection pane="topLeft" activeCell="P1" activeCellId="0" sqref="P1"/>
      <selection pane="bottom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2" min="2" style="0" width="48.67"/>
    <col collapsed="false" customWidth="true" hidden="false" outlineLevel="0" max="3" min="3" style="1" width="7.84"/>
    <col collapsed="false" customWidth="true" hidden="false" outlineLevel="0" max="4" min="4" style="1" width="10.5"/>
    <col collapsed="false" customWidth="true" hidden="false" outlineLevel="0" max="5" min="5" style="1" width="8.67"/>
    <col collapsed="false" customWidth="true" hidden="false" outlineLevel="0" max="6" min="6" style="1" width="10.83"/>
    <col collapsed="false" customWidth="true" hidden="false" outlineLevel="0" max="7" min="7" style="1" width="9.5"/>
    <col collapsed="false" customWidth="true" hidden="false" outlineLevel="0" max="8" min="8" style="1" width="9"/>
    <col collapsed="false" customWidth="false" hidden="false" outlineLevel="0" max="9" min="9" style="1" width="11"/>
    <col collapsed="false" customWidth="true" hidden="false" outlineLevel="0" max="10" min="10" style="1" width="7.84"/>
    <col collapsed="false" customWidth="true" hidden="false" outlineLevel="0" max="11" min="11" style="1" width="9.83"/>
    <col collapsed="false" customWidth="true" hidden="false" outlineLevel="0" max="12" min="12" style="1" width="8.16"/>
    <col collapsed="false" customWidth="true" hidden="false" outlineLevel="0" max="13" min="13" style="1" width="9.5"/>
    <col collapsed="false" customWidth="true" hidden="false" outlineLevel="0" max="14" min="14" style="0" width="8.84"/>
    <col collapsed="false" customWidth="true" hidden="false" outlineLevel="0" max="15" min="15" style="0" width="20.5"/>
    <col collapsed="false" customWidth="true" hidden="false" outlineLevel="0" max="16" min="16" style="1" width="12.17"/>
    <col collapsed="false" customWidth="true" hidden="false" outlineLevel="0" max="17" min="17" style="0" width="18.16"/>
    <col collapsed="false" customWidth="true" hidden="false" outlineLevel="0" max="18" min="18" style="0" width="13.67"/>
    <col collapsed="false" customWidth="true" hidden="false" outlineLevel="0" max="19" min="19" style="0" width="16.33"/>
    <col collapsed="false" customWidth="true" hidden="false" outlineLevel="0" max="20" min="20" style="0" width="16.16"/>
    <col collapsed="false" customWidth="true" hidden="false" outlineLevel="0" max="21" min="21" style="0" width="15.33"/>
    <col collapsed="false" customWidth="true" hidden="false" outlineLevel="0" max="22" min="22" style="1" width="14.83"/>
    <col collapsed="false" customWidth="true" hidden="false" outlineLevel="0" max="23" min="23" style="1" width="17.84"/>
    <col collapsed="false" customWidth="true" hidden="false" outlineLevel="0" max="24" min="24" style="0" width="18.5"/>
    <col collapsed="false" customWidth="true" hidden="false" outlineLevel="0" max="25" min="25" style="0" width="13.67"/>
    <col collapsed="false" customWidth="true" hidden="false" outlineLevel="0" max="26" min="26" style="0" width="11.83"/>
    <col collapsed="false" customWidth="true" hidden="false" outlineLevel="0" max="27" min="27" style="0" width="13.67"/>
    <col collapsed="false" customWidth="true" hidden="false" outlineLevel="0" max="28" min="28" style="0" width="13.33"/>
  </cols>
  <sheetData>
    <row r="1" s="10" customFormat="true" ht="51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</row>
    <row r="2" s="1" customFormat="true" ht="16.5" hidden="false" customHeight="false" outlineLevel="0" collapsed="false">
      <c r="A2" s="11" t="n">
        <v>1</v>
      </c>
      <c r="B2" s="12" t="n">
        <f aca="false">A2+1</f>
        <v>2</v>
      </c>
      <c r="C2" s="12" t="n">
        <f aca="false">B2+1</f>
        <v>3</v>
      </c>
      <c r="D2" s="12" t="n">
        <f aca="false">C2+1</f>
        <v>4</v>
      </c>
      <c r="E2" s="12" t="n">
        <f aca="false">D2+1</f>
        <v>5</v>
      </c>
      <c r="F2" s="12" t="n">
        <f aca="false">E2+1</f>
        <v>6</v>
      </c>
      <c r="G2" s="12" t="n">
        <f aca="false">F2+1</f>
        <v>7</v>
      </c>
      <c r="H2" s="12" t="n">
        <f aca="false">G2+1</f>
        <v>8</v>
      </c>
      <c r="I2" s="13" t="n">
        <f aca="false">H2+1</f>
        <v>9</v>
      </c>
      <c r="J2" s="13" t="n">
        <f aca="false">I2+1</f>
        <v>10</v>
      </c>
      <c r="K2" s="13" t="n">
        <f aca="false">J2+1</f>
        <v>11</v>
      </c>
      <c r="L2" s="13" t="n">
        <f aca="false">K2+1</f>
        <v>12</v>
      </c>
      <c r="M2" s="13" t="n">
        <f aca="false">L2+1</f>
        <v>13</v>
      </c>
      <c r="N2" s="14" t="n">
        <f aca="false">M2+1</f>
        <v>14</v>
      </c>
      <c r="O2" s="14" t="n">
        <f aca="false">N2+1</f>
        <v>15</v>
      </c>
      <c r="P2" s="14" t="n">
        <f aca="false">O2+1</f>
        <v>16</v>
      </c>
      <c r="Q2" s="14" t="n">
        <f aca="false">P2+1</f>
        <v>17</v>
      </c>
      <c r="R2" s="14" t="n">
        <f aca="false">Q2+1</f>
        <v>18</v>
      </c>
      <c r="S2" s="14" t="n">
        <f aca="false">R2+1</f>
        <v>19</v>
      </c>
      <c r="T2" s="15" t="n">
        <f aca="false">S2+1</f>
        <v>20</v>
      </c>
      <c r="U2" s="15" t="n">
        <f aca="false">T2+1</f>
        <v>21</v>
      </c>
      <c r="V2" s="15" t="n">
        <f aca="false">U2+1</f>
        <v>22</v>
      </c>
      <c r="W2" s="15" t="n">
        <f aca="false">V2+1</f>
        <v>23</v>
      </c>
      <c r="X2" s="16" t="n">
        <f aca="false">W2+1</f>
        <v>24</v>
      </c>
      <c r="Y2" s="16" t="n">
        <f aca="false">X2+1</f>
        <v>25</v>
      </c>
      <c r="Z2" s="16" t="n">
        <f aca="false">Y2+1</f>
        <v>26</v>
      </c>
      <c r="AA2" s="17" t="n">
        <f aca="false">Z2+1</f>
        <v>27</v>
      </c>
      <c r="AB2" s="17" t="n">
        <f aca="false">AA2+1</f>
        <v>28</v>
      </c>
    </row>
    <row r="3" customFormat="false" ht="15.75" hidden="false" customHeight="false" outlineLevel="0" collapsed="false">
      <c r="A3" s="18" t="str">
        <f aca="false">"Scenario"&amp;(ROW()-2)</f>
        <v>Scenario1</v>
      </c>
      <c r="B3" s="18" t="str">
        <f aca="false">O3&amp;" with "&amp;Q3&amp;" / "&amp;X3</f>
        <v>IRA with Maximum Allowable / None</v>
      </c>
      <c r="C3" s="19" t="n">
        <v>63</v>
      </c>
      <c r="D3" s="20" t="n">
        <v>76</v>
      </c>
      <c r="E3" s="20" t="n">
        <v>90</v>
      </c>
      <c r="F3" s="21" t="n">
        <v>100000</v>
      </c>
      <c r="G3" s="22" t="n">
        <v>0.02</v>
      </c>
      <c r="H3" s="19" t="s">
        <v>28</v>
      </c>
      <c r="I3" s="23" t="n">
        <v>0.05</v>
      </c>
      <c r="J3" s="24" t="n">
        <v>97</v>
      </c>
      <c r="K3" s="25" t="n">
        <v>100000</v>
      </c>
      <c r="L3" s="23" t="n">
        <v>0.18</v>
      </c>
      <c r="M3" s="26" t="n">
        <v>0.025</v>
      </c>
      <c r="N3" s="27" t="s">
        <v>29</v>
      </c>
      <c r="O3" s="27" t="s">
        <v>30</v>
      </c>
      <c r="P3" s="28" t="n">
        <v>2000000</v>
      </c>
      <c r="Q3" s="29" t="s">
        <v>31</v>
      </c>
      <c r="R3" s="27" t="n">
        <v>0</v>
      </c>
      <c r="S3" s="27" t="n">
        <v>0</v>
      </c>
      <c r="T3" s="30" t="n">
        <v>0</v>
      </c>
      <c r="U3" s="31" t="n">
        <v>99999999</v>
      </c>
      <c r="V3" s="32" t="n">
        <v>0</v>
      </c>
      <c r="W3" s="33" t="n">
        <v>1</v>
      </c>
      <c r="X3" s="34" t="s">
        <v>32</v>
      </c>
      <c r="Y3" s="35" t="n">
        <v>0</v>
      </c>
      <c r="Z3" s="36" t="n">
        <v>0</v>
      </c>
      <c r="AA3" s="37" t="n">
        <v>0</v>
      </c>
      <c r="AB3" s="38" t="n">
        <v>0</v>
      </c>
    </row>
    <row r="4" customFormat="false" ht="15.75" hidden="false" customHeight="false" outlineLevel="0" collapsed="false">
      <c r="A4" s="18" t="str">
        <f aca="false">"Scenario"&amp;(ROW()-2)</f>
        <v>Scenario2</v>
      </c>
      <c r="B4" s="18" t="str">
        <f aca="false">O4&amp;" with "&amp;Q4&amp;" / "&amp;X4</f>
        <v>IRA with Monthly / None</v>
      </c>
      <c r="C4" s="19" t="n">
        <v>61</v>
      </c>
      <c r="D4" s="20" t="n">
        <v>65</v>
      </c>
      <c r="E4" s="20" t="n">
        <v>90</v>
      </c>
      <c r="F4" s="21" t="n">
        <v>100000</v>
      </c>
      <c r="G4" s="22" t="n">
        <v>0.02</v>
      </c>
      <c r="H4" s="19" t="s">
        <v>28</v>
      </c>
      <c r="I4" s="23" t="n">
        <v>0.05</v>
      </c>
      <c r="J4" s="24" t="n">
        <v>97</v>
      </c>
      <c r="K4" s="25" t="n">
        <v>100000</v>
      </c>
      <c r="L4" s="23" t="n">
        <v>0.18</v>
      </c>
      <c r="M4" s="26" t="n">
        <v>0.025</v>
      </c>
      <c r="N4" s="27" t="s">
        <v>29</v>
      </c>
      <c r="O4" s="27" t="s">
        <v>30</v>
      </c>
      <c r="P4" s="28" t="n">
        <v>2000000</v>
      </c>
      <c r="Q4" s="29" t="s">
        <v>33</v>
      </c>
      <c r="R4" s="27" t="n">
        <v>2000</v>
      </c>
      <c r="S4" s="27" t="n">
        <v>0</v>
      </c>
      <c r="T4" s="30" t="n">
        <v>0</v>
      </c>
      <c r="U4" s="31" t="n">
        <v>99999999</v>
      </c>
      <c r="V4" s="32" t="n">
        <v>0</v>
      </c>
      <c r="W4" s="33" t="n">
        <v>1</v>
      </c>
      <c r="X4" s="34" t="s">
        <v>32</v>
      </c>
      <c r="Y4" s="35" t="n">
        <v>0</v>
      </c>
      <c r="Z4" s="36" t="n">
        <v>0</v>
      </c>
      <c r="AA4" s="37" t="n">
        <v>0</v>
      </c>
      <c r="AB4" s="38" t="n">
        <v>0</v>
      </c>
    </row>
    <row r="5" customFormat="false" ht="15.75" hidden="false" customHeight="false" outlineLevel="0" collapsed="false">
      <c r="A5" s="18" t="str">
        <f aca="false">"Scenario"&amp;(ROW()-2)</f>
        <v>Scenario3</v>
      </c>
      <c r="B5" s="18" t="str">
        <f aca="false">O5&amp;" with "&amp;Q5&amp;" / "&amp;X5</f>
        <v>IRA with Annual / None</v>
      </c>
      <c r="C5" s="19" t="n">
        <v>61</v>
      </c>
      <c r="D5" s="20" t="n">
        <v>65</v>
      </c>
      <c r="E5" s="20" t="n">
        <v>90</v>
      </c>
      <c r="F5" s="21" t="n">
        <v>100000</v>
      </c>
      <c r="G5" s="22" t="n">
        <v>0.02</v>
      </c>
      <c r="H5" s="19" t="s">
        <v>34</v>
      </c>
      <c r="I5" s="23" t="n">
        <v>0.05</v>
      </c>
      <c r="J5" s="24" t="n">
        <v>97</v>
      </c>
      <c r="K5" s="25" t="n">
        <v>100000</v>
      </c>
      <c r="L5" s="23" t="n">
        <v>0.18</v>
      </c>
      <c r="M5" s="26" t="n">
        <v>0.025</v>
      </c>
      <c r="N5" s="27" t="s">
        <v>29</v>
      </c>
      <c r="O5" s="27" t="s">
        <v>30</v>
      </c>
      <c r="P5" s="28" t="n">
        <v>2000000</v>
      </c>
      <c r="Q5" s="29" t="s">
        <v>35</v>
      </c>
      <c r="R5" s="27" t="n">
        <v>25000</v>
      </c>
      <c r="S5" s="27" t="n">
        <v>0</v>
      </c>
      <c r="T5" s="30" t="n">
        <v>0</v>
      </c>
      <c r="U5" s="31" t="n">
        <v>99999999</v>
      </c>
      <c r="V5" s="32" t="n">
        <v>0</v>
      </c>
      <c r="W5" s="33" t="n">
        <v>1</v>
      </c>
      <c r="X5" s="34" t="s">
        <v>32</v>
      </c>
      <c r="Y5" s="35" t="n">
        <v>0</v>
      </c>
      <c r="Z5" s="36" t="n">
        <v>0</v>
      </c>
      <c r="AA5" s="37" t="n">
        <v>0</v>
      </c>
      <c r="AB5" s="38" t="n">
        <v>0</v>
      </c>
    </row>
    <row r="6" customFormat="false" ht="15.75" hidden="false" customHeight="false" outlineLevel="0" collapsed="false">
      <c r="A6" s="18" t="str">
        <f aca="false">"Scenario"&amp;(ROW()-2)</f>
        <v>Scenario4</v>
      </c>
      <c r="B6" s="18" t="str">
        <f aca="false">O6&amp;" with "&amp;Q6&amp;" / "&amp;X6</f>
        <v>IRA with % of Salary / None</v>
      </c>
      <c r="C6" s="19" t="n">
        <v>61</v>
      </c>
      <c r="D6" s="20" t="n">
        <v>65</v>
      </c>
      <c r="E6" s="20" t="n">
        <v>90</v>
      </c>
      <c r="F6" s="21" t="n">
        <v>100000</v>
      </c>
      <c r="G6" s="22" t="n">
        <v>0.02</v>
      </c>
      <c r="H6" s="19" t="s">
        <v>28</v>
      </c>
      <c r="I6" s="23" t="n">
        <v>0.05</v>
      </c>
      <c r="J6" s="24" t="n">
        <v>97</v>
      </c>
      <c r="K6" s="25" t="n">
        <v>100000</v>
      </c>
      <c r="L6" s="23" t="n">
        <v>0.18</v>
      </c>
      <c r="M6" s="26" t="n">
        <v>0.025</v>
      </c>
      <c r="N6" s="27" t="s">
        <v>29</v>
      </c>
      <c r="O6" s="27" t="s">
        <v>30</v>
      </c>
      <c r="P6" s="28" t="n">
        <v>2000000</v>
      </c>
      <c r="Q6" s="29" t="s">
        <v>36</v>
      </c>
      <c r="R6" s="27" t="n">
        <v>0</v>
      </c>
      <c r="S6" s="39" t="n">
        <v>0.05</v>
      </c>
      <c r="T6" s="30" t="n">
        <v>0</v>
      </c>
      <c r="U6" s="31" t="n">
        <v>99999999</v>
      </c>
      <c r="V6" s="32" t="n">
        <v>0</v>
      </c>
      <c r="W6" s="33" t="n">
        <v>1</v>
      </c>
      <c r="X6" s="34" t="s">
        <v>32</v>
      </c>
      <c r="Y6" s="35" t="n">
        <v>0</v>
      </c>
      <c r="Z6" s="36" t="n">
        <v>0</v>
      </c>
      <c r="AA6" s="37" t="n">
        <v>0</v>
      </c>
      <c r="AB6" s="38" t="n">
        <v>0</v>
      </c>
    </row>
    <row r="7" customFormat="false" ht="15.75" hidden="false" customHeight="false" outlineLevel="0" collapsed="false">
      <c r="A7" s="18" t="str">
        <f aca="false">"Scenario"&amp;(ROW()-2)</f>
        <v>Scenario5</v>
      </c>
      <c r="B7" s="18" t="str">
        <f aca="false">O7&amp;" with "&amp;Q7&amp;" / "&amp;X7</f>
        <v>IRA with % of Salary / None</v>
      </c>
      <c r="C7" s="19" t="n">
        <v>65</v>
      </c>
      <c r="D7" s="20" t="n">
        <v>70</v>
      </c>
      <c r="E7" s="20" t="n">
        <v>90</v>
      </c>
      <c r="F7" s="21" t="n">
        <v>100000</v>
      </c>
      <c r="G7" s="22" t="n">
        <v>0.02</v>
      </c>
      <c r="H7" s="19" t="s">
        <v>34</v>
      </c>
      <c r="I7" s="23" t="n">
        <v>0.05</v>
      </c>
      <c r="J7" s="24" t="n">
        <v>97</v>
      </c>
      <c r="K7" s="25" t="n">
        <v>100000</v>
      </c>
      <c r="L7" s="23" t="n">
        <v>0.18</v>
      </c>
      <c r="M7" s="26" t="n">
        <v>0.025</v>
      </c>
      <c r="N7" s="27" t="s">
        <v>29</v>
      </c>
      <c r="O7" s="27" t="s">
        <v>30</v>
      </c>
      <c r="P7" s="28" t="n">
        <v>2000000</v>
      </c>
      <c r="Q7" s="29" t="s">
        <v>36</v>
      </c>
      <c r="R7" s="27" t="n">
        <v>0</v>
      </c>
      <c r="S7" s="39" t="n">
        <v>0.05</v>
      </c>
      <c r="T7" s="30" t="n">
        <v>0</v>
      </c>
      <c r="U7" s="31" t="n">
        <v>99999999</v>
      </c>
      <c r="V7" s="32" t="n">
        <v>0</v>
      </c>
      <c r="W7" s="33" t="n">
        <v>1</v>
      </c>
      <c r="X7" s="34" t="s">
        <v>32</v>
      </c>
      <c r="Y7" s="35" t="n">
        <v>0</v>
      </c>
      <c r="Z7" s="36" t="n">
        <v>0</v>
      </c>
      <c r="AA7" s="37" t="n">
        <v>0</v>
      </c>
      <c r="AB7" s="38" t="n">
        <v>0</v>
      </c>
    </row>
    <row r="8" customFormat="false" ht="15.75" hidden="false" customHeight="false" outlineLevel="0" collapsed="false">
      <c r="A8" s="18" t="str">
        <f aca="false">"Scenario"&amp;(ROW()-2)</f>
        <v>Scenario6</v>
      </c>
      <c r="B8" s="18" t="str">
        <f aca="false">O8&amp;" with "&amp;Q8&amp;" / "&amp;X8</f>
        <v>Roth IRA with Maximum Allowable / None</v>
      </c>
      <c r="C8" s="19" t="n">
        <v>61</v>
      </c>
      <c r="D8" s="20" t="n">
        <v>65</v>
      </c>
      <c r="E8" s="20" t="n">
        <v>90</v>
      </c>
      <c r="F8" s="21" t="n">
        <v>100000</v>
      </c>
      <c r="G8" s="22" t="n">
        <v>0.02</v>
      </c>
      <c r="H8" s="19" t="s">
        <v>28</v>
      </c>
      <c r="I8" s="23" t="n">
        <v>0.05</v>
      </c>
      <c r="J8" s="24" t="n">
        <v>1</v>
      </c>
      <c r="K8" s="25" t="n">
        <v>100000</v>
      </c>
      <c r="L8" s="23" t="n">
        <v>0.18</v>
      </c>
      <c r="M8" s="26" t="n">
        <v>0.025</v>
      </c>
      <c r="N8" s="27" t="s">
        <v>29</v>
      </c>
      <c r="O8" s="27" t="s">
        <v>37</v>
      </c>
      <c r="P8" s="28" t="n">
        <v>2000000</v>
      </c>
      <c r="Q8" s="29" t="s">
        <v>31</v>
      </c>
      <c r="R8" s="27" t="n">
        <v>0</v>
      </c>
      <c r="S8" s="27" t="n">
        <v>0</v>
      </c>
      <c r="T8" s="30" t="n">
        <v>0</v>
      </c>
      <c r="U8" s="31" t="n">
        <v>99999999</v>
      </c>
      <c r="V8" s="32" t="n">
        <v>0</v>
      </c>
      <c r="W8" s="33" t="n">
        <v>1</v>
      </c>
      <c r="X8" s="34" t="s">
        <v>32</v>
      </c>
      <c r="Y8" s="35" t="n">
        <v>0</v>
      </c>
      <c r="Z8" s="36" t="n">
        <v>0</v>
      </c>
      <c r="AA8" s="37" t="n">
        <v>0</v>
      </c>
      <c r="AB8" s="38" t="n">
        <v>0</v>
      </c>
    </row>
    <row r="9" customFormat="false" ht="15.75" hidden="false" customHeight="false" outlineLevel="0" collapsed="false">
      <c r="A9" s="18" t="str">
        <f aca="false">"Scenario"&amp;(ROW()-2)</f>
        <v>Scenario7</v>
      </c>
      <c r="B9" s="18" t="str">
        <f aca="false">O9&amp;" with "&amp;Q9&amp;" / "&amp;X9</f>
        <v>Roth IRA with Monthly / None</v>
      </c>
      <c r="C9" s="19" t="n">
        <v>61</v>
      </c>
      <c r="D9" s="20" t="n">
        <v>65</v>
      </c>
      <c r="E9" s="20" t="n">
        <v>90</v>
      </c>
      <c r="F9" s="21" t="n">
        <v>100000</v>
      </c>
      <c r="G9" s="22" t="n">
        <v>0.02</v>
      </c>
      <c r="H9" s="19" t="s">
        <v>28</v>
      </c>
      <c r="I9" s="23" t="n">
        <v>0.05</v>
      </c>
      <c r="J9" s="24" t="n">
        <v>1</v>
      </c>
      <c r="K9" s="25" t="n">
        <v>100000</v>
      </c>
      <c r="L9" s="23" t="n">
        <v>0.18</v>
      </c>
      <c r="M9" s="26" t="n">
        <v>0.025</v>
      </c>
      <c r="N9" s="27" t="s">
        <v>29</v>
      </c>
      <c r="O9" s="27" t="s">
        <v>37</v>
      </c>
      <c r="P9" s="28" t="n">
        <v>2000000</v>
      </c>
      <c r="Q9" s="29" t="s">
        <v>33</v>
      </c>
      <c r="R9" s="27" t="n">
        <v>2000</v>
      </c>
      <c r="S9" s="27" t="n">
        <v>0</v>
      </c>
      <c r="T9" s="30" t="n">
        <v>0</v>
      </c>
      <c r="U9" s="31" t="n">
        <v>99999999</v>
      </c>
      <c r="V9" s="32" t="n">
        <v>0</v>
      </c>
      <c r="W9" s="33" t="n">
        <v>1</v>
      </c>
      <c r="X9" s="34" t="s">
        <v>32</v>
      </c>
      <c r="Y9" s="35" t="n">
        <v>0</v>
      </c>
      <c r="Z9" s="36" t="n">
        <v>0</v>
      </c>
      <c r="AA9" s="37" t="n">
        <v>0</v>
      </c>
      <c r="AB9" s="38" t="n">
        <v>0</v>
      </c>
    </row>
    <row r="10" customFormat="false" ht="15.75" hidden="false" customHeight="false" outlineLevel="0" collapsed="false">
      <c r="A10" s="18" t="str">
        <f aca="false">"Scenario"&amp;(ROW()-2)</f>
        <v>Scenario8</v>
      </c>
      <c r="B10" s="18" t="str">
        <f aca="false">O10&amp;" with "&amp;Q10&amp;" / "&amp;X10</f>
        <v>Roth IRA with Annual / None</v>
      </c>
      <c r="C10" s="19" t="n">
        <v>61</v>
      </c>
      <c r="D10" s="20" t="n">
        <v>65</v>
      </c>
      <c r="E10" s="20" t="n">
        <v>90</v>
      </c>
      <c r="F10" s="21" t="n">
        <v>100000</v>
      </c>
      <c r="G10" s="22" t="n">
        <v>0.02</v>
      </c>
      <c r="H10" s="19" t="s">
        <v>34</v>
      </c>
      <c r="I10" s="23" t="n">
        <v>0.05</v>
      </c>
      <c r="J10" s="24" t="n">
        <v>1</v>
      </c>
      <c r="K10" s="25" t="n">
        <v>100000</v>
      </c>
      <c r="L10" s="23" t="n">
        <v>0.18</v>
      </c>
      <c r="M10" s="26" t="n">
        <v>0.025</v>
      </c>
      <c r="N10" s="27" t="s">
        <v>29</v>
      </c>
      <c r="O10" s="27" t="s">
        <v>37</v>
      </c>
      <c r="P10" s="28" t="n">
        <v>2000000</v>
      </c>
      <c r="Q10" s="29" t="s">
        <v>35</v>
      </c>
      <c r="R10" s="27" t="n">
        <v>25000</v>
      </c>
      <c r="S10" s="27" t="n">
        <v>0</v>
      </c>
      <c r="T10" s="30" t="n">
        <v>0</v>
      </c>
      <c r="U10" s="31" t="n">
        <v>99999999</v>
      </c>
      <c r="V10" s="32" t="n">
        <v>0</v>
      </c>
      <c r="W10" s="33" t="n">
        <v>1</v>
      </c>
      <c r="X10" s="34" t="s">
        <v>32</v>
      </c>
      <c r="Y10" s="35" t="n">
        <v>0</v>
      </c>
      <c r="Z10" s="36" t="n">
        <v>0</v>
      </c>
      <c r="AA10" s="37" t="n">
        <v>0</v>
      </c>
      <c r="AB10" s="38" t="n">
        <v>0</v>
      </c>
    </row>
    <row r="11" customFormat="false" ht="15.75" hidden="false" customHeight="false" outlineLevel="0" collapsed="false">
      <c r="A11" s="18" t="str">
        <f aca="false">"Scenario"&amp;(ROW()-2)</f>
        <v>Scenario9</v>
      </c>
      <c r="B11" s="18" t="str">
        <f aca="false">O11&amp;" with "&amp;Q11&amp;" / "&amp;X11</f>
        <v>Roth IRA with % of Salary / None</v>
      </c>
      <c r="C11" s="19" t="n">
        <v>61</v>
      </c>
      <c r="D11" s="20" t="n">
        <v>65</v>
      </c>
      <c r="E11" s="20" t="n">
        <v>90</v>
      </c>
      <c r="F11" s="21" t="n">
        <v>100000</v>
      </c>
      <c r="G11" s="22" t="n">
        <v>0.02</v>
      </c>
      <c r="H11" s="19" t="s">
        <v>28</v>
      </c>
      <c r="I11" s="23" t="n">
        <v>0.05</v>
      </c>
      <c r="J11" s="24" t="n">
        <v>1</v>
      </c>
      <c r="K11" s="25" t="n">
        <v>100000</v>
      </c>
      <c r="L11" s="23" t="n">
        <v>0.18</v>
      </c>
      <c r="M11" s="26" t="n">
        <v>0.025</v>
      </c>
      <c r="N11" s="27" t="s">
        <v>29</v>
      </c>
      <c r="O11" s="27" t="s">
        <v>37</v>
      </c>
      <c r="P11" s="28" t="n">
        <v>2000000</v>
      </c>
      <c r="Q11" s="29" t="s">
        <v>36</v>
      </c>
      <c r="R11" s="27" t="n">
        <v>0</v>
      </c>
      <c r="S11" s="39" t="n">
        <v>0.05</v>
      </c>
      <c r="T11" s="30" t="n">
        <v>0</v>
      </c>
      <c r="U11" s="31" t="n">
        <v>99999999</v>
      </c>
      <c r="V11" s="32" t="n">
        <v>0</v>
      </c>
      <c r="W11" s="33" t="n">
        <v>1</v>
      </c>
      <c r="X11" s="34" t="s">
        <v>32</v>
      </c>
      <c r="Y11" s="35" t="n">
        <v>0</v>
      </c>
      <c r="Z11" s="36" t="n">
        <v>0</v>
      </c>
      <c r="AA11" s="37" t="n">
        <v>0</v>
      </c>
      <c r="AB11" s="38" t="n">
        <v>0</v>
      </c>
    </row>
    <row r="12" customFormat="false" ht="15.75" hidden="false" customHeight="false" outlineLevel="0" collapsed="false">
      <c r="A12" s="18" t="str">
        <f aca="false">"Scenario"&amp;(ROW()-2)</f>
        <v>Scenario10</v>
      </c>
      <c r="B12" s="18" t="str">
        <f aca="false">O12&amp;" with "&amp;Q12&amp;" / "&amp;X12</f>
        <v>Roth IRA with % of Salary / None</v>
      </c>
      <c r="C12" s="19" t="n">
        <v>48</v>
      </c>
      <c r="D12" s="20" t="n">
        <v>60</v>
      </c>
      <c r="E12" s="20" t="n">
        <v>90</v>
      </c>
      <c r="F12" s="21" t="n">
        <v>100000</v>
      </c>
      <c r="G12" s="22" t="n">
        <v>0.02</v>
      </c>
      <c r="H12" s="19" t="s">
        <v>34</v>
      </c>
      <c r="I12" s="23" t="n">
        <v>0.05</v>
      </c>
      <c r="J12" s="24" t="n">
        <v>1</v>
      </c>
      <c r="K12" s="25" t="n">
        <v>100000</v>
      </c>
      <c r="L12" s="23" t="n">
        <v>0.18</v>
      </c>
      <c r="M12" s="26" t="n">
        <v>0.025</v>
      </c>
      <c r="N12" s="27" t="s">
        <v>29</v>
      </c>
      <c r="O12" s="27" t="s">
        <v>37</v>
      </c>
      <c r="P12" s="28" t="n">
        <v>2000000</v>
      </c>
      <c r="Q12" s="29" t="s">
        <v>36</v>
      </c>
      <c r="R12" s="27" t="n">
        <v>0</v>
      </c>
      <c r="S12" s="39" t="n">
        <v>0.05</v>
      </c>
      <c r="T12" s="30" t="n">
        <v>0</v>
      </c>
      <c r="U12" s="31" t="n">
        <v>99999999</v>
      </c>
      <c r="V12" s="32" t="n">
        <v>0</v>
      </c>
      <c r="W12" s="33" t="n">
        <v>1</v>
      </c>
      <c r="X12" s="34" t="s">
        <v>32</v>
      </c>
      <c r="Y12" s="35" t="n">
        <v>0</v>
      </c>
      <c r="Z12" s="36" t="n">
        <v>0</v>
      </c>
      <c r="AA12" s="37" t="n">
        <v>0</v>
      </c>
      <c r="AB12" s="38" t="n">
        <v>0</v>
      </c>
    </row>
    <row r="13" customFormat="false" ht="15.75" hidden="false" customHeight="false" outlineLevel="0" collapsed="false">
      <c r="A13" s="18" t="str">
        <f aca="false">"Scenario"&amp;(ROW()-2)</f>
        <v>Scenario11</v>
      </c>
      <c r="B13" s="18" t="str">
        <f aca="false">O13&amp;" with "&amp;Q13&amp;" / "&amp;X13</f>
        <v>401k with Maximum Allowable / Maximum Allowable</v>
      </c>
      <c r="C13" s="19" t="n">
        <v>64</v>
      </c>
      <c r="D13" s="20" t="n">
        <v>76</v>
      </c>
      <c r="E13" s="20" t="n">
        <v>90</v>
      </c>
      <c r="F13" s="21" t="n">
        <v>100000</v>
      </c>
      <c r="G13" s="22" t="n">
        <v>0.02</v>
      </c>
      <c r="H13" s="19" t="s">
        <v>28</v>
      </c>
      <c r="I13" s="23" t="n">
        <v>0.05</v>
      </c>
      <c r="J13" s="24" t="n">
        <v>36</v>
      </c>
      <c r="K13" s="25" t="n">
        <v>100000</v>
      </c>
      <c r="L13" s="23" t="n">
        <v>0.18</v>
      </c>
      <c r="M13" s="26" t="n">
        <v>0.025</v>
      </c>
      <c r="N13" s="27" t="s">
        <v>29</v>
      </c>
      <c r="O13" s="27" t="s">
        <v>38</v>
      </c>
      <c r="P13" s="28" t="n">
        <v>2000000</v>
      </c>
      <c r="Q13" s="29" t="s">
        <v>31</v>
      </c>
      <c r="R13" s="27" t="n">
        <v>0</v>
      </c>
      <c r="S13" s="27" t="n">
        <v>0</v>
      </c>
      <c r="T13" s="30" t="n">
        <v>0</v>
      </c>
      <c r="U13" s="31" t="n">
        <v>99999999</v>
      </c>
      <c r="V13" s="32" t="n">
        <v>0</v>
      </c>
      <c r="W13" s="33" t="n">
        <v>1</v>
      </c>
      <c r="X13" s="34" t="s">
        <v>31</v>
      </c>
      <c r="Y13" s="40" t="n">
        <v>0</v>
      </c>
      <c r="Z13" s="41" t="n">
        <v>0</v>
      </c>
      <c r="AA13" s="42" t="n">
        <v>0</v>
      </c>
      <c r="AB13" s="43" t="n">
        <v>0</v>
      </c>
    </row>
    <row r="14" customFormat="false" ht="15.75" hidden="false" customHeight="false" outlineLevel="0" collapsed="false">
      <c r="A14" s="18" t="str">
        <f aca="false">"Scenario"&amp;(ROW()-2)</f>
        <v>Scenario12</v>
      </c>
      <c r="B14" s="18" t="str">
        <f aca="false">O14&amp;" with "&amp;Q14&amp;" / "&amp;X14</f>
        <v>401k with Monthly / Maximum Allowable</v>
      </c>
      <c r="C14" s="19" t="n">
        <v>63</v>
      </c>
      <c r="D14" s="20" t="n">
        <v>76</v>
      </c>
      <c r="E14" s="20" t="n">
        <v>90</v>
      </c>
      <c r="F14" s="21" t="n">
        <v>100000</v>
      </c>
      <c r="G14" s="22" t="n">
        <v>0.02</v>
      </c>
      <c r="H14" s="19" t="s">
        <v>28</v>
      </c>
      <c r="I14" s="23" t="n">
        <v>0.07</v>
      </c>
      <c r="J14" s="24" t="n">
        <v>36</v>
      </c>
      <c r="K14" s="25" t="n">
        <v>100000</v>
      </c>
      <c r="L14" s="23" t="n">
        <v>0.18</v>
      </c>
      <c r="M14" s="26" t="n">
        <v>0.025</v>
      </c>
      <c r="N14" s="27" t="s">
        <v>29</v>
      </c>
      <c r="O14" s="27" t="s">
        <v>38</v>
      </c>
      <c r="P14" s="28" t="n">
        <v>2000000</v>
      </c>
      <c r="Q14" s="29" t="s">
        <v>33</v>
      </c>
      <c r="R14" s="27" t="n">
        <v>1000</v>
      </c>
      <c r="S14" s="27" t="n">
        <v>0</v>
      </c>
      <c r="T14" s="30" t="n">
        <v>0</v>
      </c>
      <c r="U14" s="31" t="n">
        <v>99999999</v>
      </c>
      <c r="V14" s="32" t="n">
        <v>0</v>
      </c>
      <c r="W14" s="33" t="n">
        <v>1</v>
      </c>
      <c r="X14" s="34" t="s">
        <v>31</v>
      </c>
      <c r="Y14" s="40" t="n">
        <v>0</v>
      </c>
      <c r="Z14" s="41" t="n">
        <v>0</v>
      </c>
      <c r="AA14" s="42" t="n">
        <v>0</v>
      </c>
      <c r="AB14" s="43" t="n">
        <v>0</v>
      </c>
    </row>
    <row r="15" customFormat="false" ht="15.75" hidden="false" customHeight="false" outlineLevel="0" collapsed="false">
      <c r="A15" s="18" t="str">
        <f aca="false">"Scenario"&amp;(ROW()-2)</f>
        <v>Scenario13</v>
      </c>
      <c r="B15" s="18" t="str">
        <f aca="false">O15&amp;" with "&amp;Q15&amp;" / "&amp;X15</f>
        <v>401k with Annual / Annual</v>
      </c>
      <c r="C15" s="19" t="n">
        <v>63</v>
      </c>
      <c r="D15" s="20" t="n">
        <v>76</v>
      </c>
      <c r="E15" s="20" t="n">
        <v>90</v>
      </c>
      <c r="F15" s="21" t="n">
        <v>100000</v>
      </c>
      <c r="G15" s="22" t="n">
        <v>0.02</v>
      </c>
      <c r="H15" s="19" t="s">
        <v>34</v>
      </c>
      <c r="I15" s="23" t="n">
        <v>0.05</v>
      </c>
      <c r="J15" s="24" t="n">
        <v>36</v>
      </c>
      <c r="K15" s="25" t="n">
        <v>100000</v>
      </c>
      <c r="L15" s="23" t="n">
        <v>0.18</v>
      </c>
      <c r="M15" s="26" t="n">
        <v>0.025</v>
      </c>
      <c r="N15" s="27" t="s">
        <v>29</v>
      </c>
      <c r="O15" s="27" t="s">
        <v>38</v>
      </c>
      <c r="P15" s="28" t="n">
        <v>2000000</v>
      </c>
      <c r="Q15" s="29" t="s">
        <v>35</v>
      </c>
      <c r="R15" s="27" t="n">
        <v>25000</v>
      </c>
      <c r="S15" s="27" t="n">
        <v>0</v>
      </c>
      <c r="T15" s="30" t="n">
        <v>0</v>
      </c>
      <c r="U15" s="31" t="n">
        <v>99999999</v>
      </c>
      <c r="V15" s="32" t="n">
        <v>0</v>
      </c>
      <c r="W15" s="33" t="n">
        <v>1</v>
      </c>
      <c r="X15" s="34" t="s">
        <v>35</v>
      </c>
      <c r="Y15" s="40" t="n">
        <v>30000</v>
      </c>
      <c r="Z15" s="41" t="n">
        <v>0</v>
      </c>
      <c r="AA15" s="42" t="n">
        <v>0</v>
      </c>
      <c r="AB15" s="43" t="n">
        <v>0</v>
      </c>
    </row>
    <row r="16" customFormat="false" ht="15.75" hidden="false" customHeight="false" outlineLevel="0" collapsed="false">
      <c r="A16" s="18" t="str">
        <f aca="false">"Scenario"&amp;(ROW()-2)</f>
        <v>Scenario14</v>
      </c>
      <c r="B16" s="18" t="str">
        <f aca="false">O16&amp;" with "&amp;Q16&amp;" / "&amp;X16</f>
        <v>401k with % of Salary / Maximum Allowable</v>
      </c>
      <c r="C16" s="19" t="n">
        <v>63</v>
      </c>
      <c r="D16" s="20" t="n">
        <v>76</v>
      </c>
      <c r="E16" s="20" t="n">
        <v>90</v>
      </c>
      <c r="F16" s="21" t="n">
        <v>100000</v>
      </c>
      <c r="G16" s="22" t="n">
        <v>0.02</v>
      </c>
      <c r="H16" s="19" t="s">
        <v>28</v>
      </c>
      <c r="I16" s="23" t="n">
        <v>0.05</v>
      </c>
      <c r="J16" s="24" t="n">
        <v>36</v>
      </c>
      <c r="K16" s="25" t="n">
        <v>100000</v>
      </c>
      <c r="L16" s="23" t="n">
        <v>0.18</v>
      </c>
      <c r="M16" s="26" t="n">
        <v>0.025</v>
      </c>
      <c r="N16" s="27" t="s">
        <v>29</v>
      </c>
      <c r="O16" s="27" t="s">
        <v>38</v>
      </c>
      <c r="P16" s="28" t="n">
        <v>2000000</v>
      </c>
      <c r="Q16" s="29" t="s">
        <v>36</v>
      </c>
      <c r="R16" s="27" t="n">
        <v>0</v>
      </c>
      <c r="S16" s="39" t="n">
        <v>0.05</v>
      </c>
      <c r="T16" s="30" t="n">
        <v>0</v>
      </c>
      <c r="U16" s="31" t="n">
        <v>99999999</v>
      </c>
      <c r="V16" s="32" t="n">
        <v>0</v>
      </c>
      <c r="W16" s="33" t="n">
        <v>1</v>
      </c>
      <c r="X16" s="44" t="s">
        <v>31</v>
      </c>
      <c r="Y16" s="40" t="n">
        <v>0</v>
      </c>
      <c r="Z16" s="41" t="n">
        <v>0.05</v>
      </c>
      <c r="AA16" s="42" t="n">
        <v>0</v>
      </c>
      <c r="AB16" s="43" t="n">
        <v>0</v>
      </c>
    </row>
    <row r="17" customFormat="false" ht="15.75" hidden="false" customHeight="false" outlineLevel="0" collapsed="false">
      <c r="A17" s="18" t="str">
        <f aca="false">"Scenario"&amp;(ROW()-2)</f>
        <v>Scenario15</v>
      </c>
      <c r="B17" s="18" t="str">
        <f aca="false">O17&amp;" with "&amp;Q17&amp;" / "&amp;X17</f>
        <v>401k with % of Salary / Match</v>
      </c>
      <c r="C17" s="19" t="n">
        <v>63</v>
      </c>
      <c r="D17" s="20" t="n">
        <v>76</v>
      </c>
      <c r="E17" s="20" t="n">
        <v>90</v>
      </c>
      <c r="F17" s="21" t="n">
        <v>100000</v>
      </c>
      <c r="G17" s="22" t="n">
        <v>0.02</v>
      </c>
      <c r="H17" s="19" t="s">
        <v>34</v>
      </c>
      <c r="I17" s="23" t="n">
        <v>0.05</v>
      </c>
      <c r="J17" s="24" t="n">
        <v>36</v>
      </c>
      <c r="K17" s="25" t="n">
        <v>100000</v>
      </c>
      <c r="L17" s="23" t="n">
        <v>0.18</v>
      </c>
      <c r="M17" s="26" t="n">
        <v>0.025</v>
      </c>
      <c r="N17" s="27" t="s">
        <v>29</v>
      </c>
      <c r="O17" s="27" t="s">
        <v>38</v>
      </c>
      <c r="P17" s="28" t="n">
        <v>2000000</v>
      </c>
      <c r="Q17" s="29" t="s">
        <v>36</v>
      </c>
      <c r="R17" s="27" t="n">
        <v>0</v>
      </c>
      <c r="S17" s="39" t="n">
        <v>0.05</v>
      </c>
      <c r="T17" s="30" t="n">
        <v>0</v>
      </c>
      <c r="U17" s="31" t="n">
        <v>99999999</v>
      </c>
      <c r="V17" s="32" t="n">
        <v>0</v>
      </c>
      <c r="W17" s="33" t="n">
        <v>1</v>
      </c>
      <c r="X17" s="44" t="s">
        <v>39</v>
      </c>
      <c r="Y17" s="40" t="n">
        <v>0</v>
      </c>
      <c r="Z17" s="41" t="n">
        <v>0</v>
      </c>
      <c r="AA17" s="42" t="n">
        <v>1</v>
      </c>
      <c r="AB17" s="43" t="n">
        <v>0.08</v>
      </c>
    </row>
    <row r="18" customFormat="false" ht="15.75" hidden="false" customHeight="false" outlineLevel="0" collapsed="false">
      <c r="A18" s="18" t="str">
        <f aca="false">"Scenario"&amp;(ROW()-2)</f>
        <v>Scenario16</v>
      </c>
      <c r="B18" s="18" t="str">
        <f aca="false">O18&amp;" with "&amp;Q18&amp;" / "&amp;X18</f>
        <v>403b with Maximum Allowable / Maximum Allowable</v>
      </c>
      <c r="C18" s="19" t="n">
        <v>65</v>
      </c>
      <c r="D18" s="20" t="n">
        <v>76</v>
      </c>
      <c r="E18" s="20" t="n">
        <v>90</v>
      </c>
      <c r="F18" s="21" t="n">
        <v>100000</v>
      </c>
      <c r="G18" s="22" t="n">
        <v>0.02</v>
      </c>
      <c r="H18" s="19" t="s">
        <v>28</v>
      </c>
      <c r="I18" s="23" t="n">
        <v>0.08</v>
      </c>
      <c r="J18" s="24" t="n">
        <v>1</v>
      </c>
      <c r="K18" s="25" t="n">
        <v>100000</v>
      </c>
      <c r="L18" s="23" t="n">
        <v>0.18</v>
      </c>
      <c r="M18" s="26" t="n">
        <v>0.025</v>
      </c>
      <c r="N18" s="27" t="s">
        <v>29</v>
      </c>
      <c r="O18" s="27" t="s">
        <v>40</v>
      </c>
      <c r="P18" s="28" t="n">
        <v>2000000</v>
      </c>
      <c r="Q18" s="29" t="s">
        <v>31</v>
      </c>
      <c r="R18" s="27" t="n">
        <v>0</v>
      </c>
      <c r="S18" s="27" t="n">
        <v>0</v>
      </c>
      <c r="T18" s="30" t="n">
        <v>0</v>
      </c>
      <c r="U18" s="31" t="n">
        <v>99999999</v>
      </c>
      <c r="V18" s="32" t="n">
        <v>0</v>
      </c>
      <c r="W18" s="33" t="n">
        <v>1</v>
      </c>
      <c r="X18" s="34" t="s">
        <v>31</v>
      </c>
      <c r="Y18" s="40" t="n">
        <v>0</v>
      </c>
      <c r="Z18" s="41" t="n">
        <v>0</v>
      </c>
      <c r="AA18" s="42" t="n">
        <v>0</v>
      </c>
      <c r="AB18" s="43" t="n">
        <v>0</v>
      </c>
    </row>
    <row r="19" customFormat="false" ht="15.75" hidden="false" customHeight="false" outlineLevel="0" collapsed="false">
      <c r="A19" s="18" t="str">
        <f aca="false">"Scenario"&amp;(ROW()-2)</f>
        <v>Scenario17</v>
      </c>
      <c r="B19" s="18" t="str">
        <f aca="false">O19&amp;" with "&amp;Q19&amp;" / "&amp;X19</f>
        <v>403b with Monthly / Monthly</v>
      </c>
      <c r="C19" s="19" t="n">
        <v>64</v>
      </c>
      <c r="D19" s="20" t="n">
        <v>76</v>
      </c>
      <c r="E19" s="20" t="n">
        <v>90</v>
      </c>
      <c r="F19" s="21" t="n">
        <v>100000</v>
      </c>
      <c r="G19" s="22" t="n">
        <v>0.02</v>
      </c>
      <c r="H19" s="19" t="s">
        <v>28</v>
      </c>
      <c r="I19" s="23" t="n">
        <v>0.03</v>
      </c>
      <c r="J19" s="24" t="n">
        <v>1</v>
      </c>
      <c r="K19" s="25" t="n">
        <v>100000</v>
      </c>
      <c r="L19" s="23" t="n">
        <v>0.18</v>
      </c>
      <c r="M19" s="26" t="n">
        <v>0.025</v>
      </c>
      <c r="N19" s="27" t="s">
        <v>29</v>
      </c>
      <c r="O19" s="27" t="s">
        <v>40</v>
      </c>
      <c r="P19" s="28" t="n">
        <v>2000000</v>
      </c>
      <c r="Q19" s="29" t="s">
        <v>33</v>
      </c>
      <c r="R19" s="27" t="n">
        <v>2000</v>
      </c>
      <c r="S19" s="27" t="n">
        <v>0</v>
      </c>
      <c r="T19" s="30" t="n">
        <v>0</v>
      </c>
      <c r="U19" s="31" t="n">
        <v>99999999</v>
      </c>
      <c r="V19" s="32" t="n">
        <v>0</v>
      </c>
      <c r="W19" s="33" t="n">
        <v>1</v>
      </c>
      <c r="X19" s="34" t="s">
        <v>33</v>
      </c>
      <c r="Y19" s="40" t="n">
        <v>1000</v>
      </c>
      <c r="Z19" s="41" t="n">
        <v>0</v>
      </c>
      <c r="AA19" s="42" t="n">
        <v>0</v>
      </c>
      <c r="AB19" s="43" t="n">
        <v>0</v>
      </c>
    </row>
    <row r="20" customFormat="false" ht="15.75" hidden="false" customHeight="false" outlineLevel="0" collapsed="false">
      <c r="A20" s="18" t="str">
        <f aca="false">"Scenario"&amp;(ROW()-2)</f>
        <v>Scenario18</v>
      </c>
      <c r="B20" s="18" t="str">
        <f aca="false">O20&amp;" with "&amp;Q20&amp;" / "&amp;X20</f>
        <v>403b with Annual / Annual</v>
      </c>
      <c r="C20" s="19" t="n">
        <v>64</v>
      </c>
      <c r="D20" s="20" t="n">
        <v>76</v>
      </c>
      <c r="E20" s="20" t="n">
        <v>90</v>
      </c>
      <c r="F20" s="21" t="n">
        <v>100000</v>
      </c>
      <c r="G20" s="22" t="n">
        <v>0.02</v>
      </c>
      <c r="H20" s="19" t="s">
        <v>34</v>
      </c>
      <c r="I20" s="23" t="n">
        <v>0.08</v>
      </c>
      <c r="J20" s="24" t="n">
        <v>1</v>
      </c>
      <c r="K20" s="25" t="n">
        <v>100000</v>
      </c>
      <c r="L20" s="23" t="n">
        <v>0.18</v>
      </c>
      <c r="M20" s="26" t="n">
        <v>0.025</v>
      </c>
      <c r="N20" s="27" t="s">
        <v>29</v>
      </c>
      <c r="O20" s="27" t="s">
        <v>40</v>
      </c>
      <c r="P20" s="28" t="n">
        <v>2000000</v>
      </c>
      <c r="Q20" s="29" t="s">
        <v>35</v>
      </c>
      <c r="R20" s="27" t="n">
        <v>25000</v>
      </c>
      <c r="S20" s="27" t="n">
        <v>0</v>
      </c>
      <c r="T20" s="30" t="n">
        <v>0</v>
      </c>
      <c r="U20" s="31" t="n">
        <v>99999999</v>
      </c>
      <c r="V20" s="32" t="n">
        <v>0</v>
      </c>
      <c r="W20" s="33" t="n">
        <v>1</v>
      </c>
      <c r="X20" s="34" t="s">
        <v>35</v>
      </c>
      <c r="Y20" s="40" t="n">
        <v>30000</v>
      </c>
      <c r="Z20" s="41" t="n">
        <v>0</v>
      </c>
      <c r="AA20" s="42" t="n">
        <v>0</v>
      </c>
      <c r="AB20" s="43" t="n">
        <v>0</v>
      </c>
    </row>
    <row r="21" customFormat="false" ht="15.75" hidden="false" customHeight="false" outlineLevel="0" collapsed="false">
      <c r="A21" s="18" t="str">
        <f aca="false">"Scenario"&amp;(ROW()-2)</f>
        <v>Scenario19</v>
      </c>
      <c r="B21" s="18" t="str">
        <f aca="false">O21&amp;" with "&amp;Q21&amp;" / "&amp;X21</f>
        <v>403b with % of Salary / % of Salary</v>
      </c>
      <c r="C21" s="19" t="n">
        <v>64</v>
      </c>
      <c r="D21" s="20" t="n">
        <v>76</v>
      </c>
      <c r="E21" s="20" t="n">
        <v>90</v>
      </c>
      <c r="F21" s="21" t="n">
        <v>100000</v>
      </c>
      <c r="G21" s="22" t="n">
        <v>0.02</v>
      </c>
      <c r="H21" s="19" t="s">
        <v>28</v>
      </c>
      <c r="I21" s="23" t="n">
        <v>0.08</v>
      </c>
      <c r="J21" s="24" t="n">
        <v>1</v>
      </c>
      <c r="K21" s="25" t="n">
        <v>100000</v>
      </c>
      <c r="L21" s="23" t="n">
        <v>0.18</v>
      </c>
      <c r="M21" s="26" t="n">
        <v>0.025</v>
      </c>
      <c r="N21" s="27" t="s">
        <v>29</v>
      </c>
      <c r="O21" s="27" t="s">
        <v>40</v>
      </c>
      <c r="P21" s="28" t="n">
        <v>2000000</v>
      </c>
      <c r="Q21" s="29" t="s">
        <v>36</v>
      </c>
      <c r="R21" s="27" t="n">
        <v>0</v>
      </c>
      <c r="S21" s="39" t="n">
        <v>0.05</v>
      </c>
      <c r="T21" s="30" t="n">
        <v>0</v>
      </c>
      <c r="U21" s="31" t="n">
        <v>99999999</v>
      </c>
      <c r="V21" s="32" t="n">
        <v>0</v>
      </c>
      <c r="W21" s="33" t="n">
        <v>1</v>
      </c>
      <c r="X21" s="44" t="s">
        <v>36</v>
      </c>
      <c r="Y21" s="40" t="n">
        <v>0</v>
      </c>
      <c r="Z21" s="41" t="n">
        <v>0.05</v>
      </c>
      <c r="AA21" s="42" t="n">
        <v>0</v>
      </c>
      <c r="AB21" s="43" t="n">
        <v>0</v>
      </c>
    </row>
    <row r="22" customFormat="false" ht="15.75" hidden="false" customHeight="false" outlineLevel="0" collapsed="false">
      <c r="A22" s="18" t="str">
        <f aca="false">"Scenario"&amp;(ROW()-2)</f>
        <v>Scenario20</v>
      </c>
      <c r="B22" s="18" t="str">
        <f aca="false">O22&amp;" with "&amp;Q22&amp;" / "&amp;X22</f>
        <v>403b with % of Salary / Match</v>
      </c>
      <c r="C22" s="19" t="n">
        <v>64</v>
      </c>
      <c r="D22" s="20" t="n">
        <v>76</v>
      </c>
      <c r="E22" s="20" t="n">
        <v>90</v>
      </c>
      <c r="F22" s="21" t="n">
        <v>100000</v>
      </c>
      <c r="G22" s="22" t="n">
        <v>0.02</v>
      </c>
      <c r="H22" s="19" t="s">
        <v>34</v>
      </c>
      <c r="I22" s="23" t="n">
        <v>0.08</v>
      </c>
      <c r="J22" s="24" t="n">
        <v>1</v>
      </c>
      <c r="K22" s="25" t="n">
        <v>100000</v>
      </c>
      <c r="L22" s="23" t="n">
        <v>0.18</v>
      </c>
      <c r="M22" s="26" t="n">
        <v>0.025</v>
      </c>
      <c r="N22" s="27" t="s">
        <v>29</v>
      </c>
      <c r="O22" s="27" t="s">
        <v>40</v>
      </c>
      <c r="P22" s="28" t="n">
        <v>2000000</v>
      </c>
      <c r="Q22" s="29" t="s">
        <v>36</v>
      </c>
      <c r="R22" s="27" t="n">
        <v>0</v>
      </c>
      <c r="S22" s="39" t="n">
        <v>0.05</v>
      </c>
      <c r="T22" s="30" t="n">
        <v>0</v>
      </c>
      <c r="U22" s="31" t="n">
        <v>99999999</v>
      </c>
      <c r="V22" s="32" t="n">
        <v>0</v>
      </c>
      <c r="W22" s="33" t="n">
        <v>1</v>
      </c>
      <c r="X22" s="44" t="s">
        <v>39</v>
      </c>
      <c r="Y22" s="40" t="n">
        <v>0</v>
      </c>
      <c r="Z22" s="41" t="n">
        <v>0</v>
      </c>
      <c r="AA22" s="42" t="n">
        <v>0.5</v>
      </c>
      <c r="AB22" s="43" t="n">
        <v>0.08</v>
      </c>
    </row>
    <row r="23" customFormat="false" ht="15.75" hidden="false" customHeight="false" outlineLevel="0" collapsed="false">
      <c r="A23" s="18" t="str">
        <f aca="false">"Scenario"&amp;(ROW()-2)</f>
        <v>Scenario21</v>
      </c>
      <c r="B23" s="18" t="str">
        <f aca="false">O23&amp;" with "&amp;Q23&amp;" / "&amp;X23</f>
        <v>457b with Maximum Allowable / Maximum Allowable</v>
      </c>
      <c r="C23" s="19" t="n">
        <v>48</v>
      </c>
      <c r="D23" s="20" t="n">
        <v>65</v>
      </c>
      <c r="E23" s="20" t="n">
        <v>90</v>
      </c>
      <c r="F23" s="21" t="n">
        <v>100000</v>
      </c>
      <c r="G23" s="22" t="n">
        <v>0.02</v>
      </c>
      <c r="H23" s="19" t="s">
        <v>28</v>
      </c>
      <c r="I23" s="23" t="n">
        <v>0.04</v>
      </c>
      <c r="J23" s="24" t="n">
        <v>1</v>
      </c>
      <c r="K23" s="25" t="n">
        <v>100000</v>
      </c>
      <c r="L23" s="23" t="n">
        <v>0.18</v>
      </c>
      <c r="M23" s="26" t="n">
        <v>0.025</v>
      </c>
      <c r="N23" s="27" t="s">
        <v>29</v>
      </c>
      <c r="O23" s="27" t="s">
        <v>41</v>
      </c>
      <c r="P23" s="28" t="n">
        <v>2000000</v>
      </c>
      <c r="Q23" s="29" t="s">
        <v>31</v>
      </c>
      <c r="R23" s="27" t="n">
        <v>0</v>
      </c>
      <c r="S23" s="27" t="n">
        <v>0</v>
      </c>
      <c r="T23" s="30" t="n">
        <v>0</v>
      </c>
      <c r="U23" s="31" t="n">
        <v>99999999</v>
      </c>
      <c r="V23" s="32" t="n">
        <v>0</v>
      </c>
      <c r="W23" s="33" t="n">
        <v>1</v>
      </c>
      <c r="X23" s="34" t="s">
        <v>31</v>
      </c>
      <c r="Y23" s="40" t="n">
        <v>0</v>
      </c>
      <c r="Z23" s="41" t="n">
        <v>0</v>
      </c>
      <c r="AA23" s="42" t="n">
        <v>0</v>
      </c>
      <c r="AB23" s="43" t="n">
        <v>0</v>
      </c>
    </row>
    <row r="24" customFormat="false" ht="15.75" hidden="false" customHeight="false" outlineLevel="0" collapsed="false">
      <c r="A24" s="18" t="str">
        <f aca="false">"Scenario"&amp;(ROW()-2)</f>
        <v>Scenario22</v>
      </c>
      <c r="B24" s="18" t="str">
        <f aca="false">O24&amp;" with "&amp;Q24&amp;" / "&amp;X24</f>
        <v>457b with Monthly / Monthly</v>
      </c>
      <c r="C24" s="19" t="n">
        <v>65</v>
      </c>
      <c r="D24" s="20" t="n">
        <v>76</v>
      </c>
      <c r="E24" s="20" t="n">
        <v>90</v>
      </c>
      <c r="F24" s="21" t="n">
        <v>100000</v>
      </c>
      <c r="G24" s="22" t="n">
        <v>0.02</v>
      </c>
      <c r="H24" s="19" t="s">
        <v>28</v>
      </c>
      <c r="I24" s="23" t="n">
        <v>0.05</v>
      </c>
      <c r="J24" s="24" t="n">
        <v>1</v>
      </c>
      <c r="K24" s="25" t="n">
        <v>100000</v>
      </c>
      <c r="L24" s="23" t="n">
        <v>0.18</v>
      </c>
      <c r="M24" s="26" t="n">
        <v>0.025</v>
      </c>
      <c r="N24" s="27" t="s">
        <v>29</v>
      </c>
      <c r="O24" s="27" t="s">
        <v>41</v>
      </c>
      <c r="P24" s="28" t="n">
        <v>2000000</v>
      </c>
      <c r="Q24" s="29" t="s">
        <v>33</v>
      </c>
      <c r="R24" s="27" t="n">
        <v>2000</v>
      </c>
      <c r="S24" s="27" t="n">
        <v>0</v>
      </c>
      <c r="T24" s="30" t="n">
        <v>0</v>
      </c>
      <c r="U24" s="31" t="n">
        <v>99999999</v>
      </c>
      <c r="V24" s="32" t="n">
        <v>0</v>
      </c>
      <c r="W24" s="33" t="n">
        <v>1</v>
      </c>
      <c r="X24" s="34" t="s">
        <v>33</v>
      </c>
      <c r="Y24" s="40" t="n">
        <v>1000</v>
      </c>
      <c r="Z24" s="41" t="n">
        <v>0</v>
      </c>
      <c r="AA24" s="42" t="n">
        <v>0</v>
      </c>
      <c r="AB24" s="43" t="n">
        <v>0</v>
      </c>
    </row>
    <row r="25" customFormat="false" ht="15.75" hidden="false" customHeight="false" outlineLevel="0" collapsed="false">
      <c r="A25" s="18" t="str">
        <f aca="false">"Scenario"&amp;(ROW()-2)</f>
        <v>Scenario23</v>
      </c>
      <c r="B25" s="18" t="str">
        <f aca="false">O25&amp;" with "&amp;Q25&amp;" / "&amp;X25</f>
        <v>457b with Annual / Annual</v>
      </c>
      <c r="C25" s="19" t="n">
        <v>65</v>
      </c>
      <c r="D25" s="20" t="n">
        <v>76</v>
      </c>
      <c r="E25" s="20" t="n">
        <v>90</v>
      </c>
      <c r="F25" s="21" t="n">
        <v>100000</v>
      </c>
      <c r="G25" s="22" t="n">
        <v>0.02</v>
      </c>
      <c r="H25" s="19" t="s">
        <v>34</v>
      </c>
      <c r="I25" s="23" t="n">
        <v>0.04</v>
      </c>
      <c r="J25" s="24" t="n">
        <v>1</v>
      </c>
      <c r="K25" s="25" t="n">
        <v>100000</v>
      </c>
      <c r="L25" s="23" t="n">
        <v>0.18</v>
      </c>
      <c r="M25" s="26" t="n">
        <v>0.025</v>
      </c>
      <c r="N25" s="27" t="s">
        <v>29</v>
      </c>
      <c r="O25" s="27" t="s">
        <v>41</v>
      </c>
      <c r="P25" s="28" t="n">
        <v>2000000</v>
      </c>
      <c r="Q25" s="29" t="s">
        <v>35</v>
      </c>
      <c r="R25" s="27" t="n">
        <v>25000</v>
      </c>
      <c r="S25" s="27" t="n">
        <v>0</v>
      </c>
      <c r="T25" s="30" t="n">
        <v>0</v>
      </c>
      <c r="U25" s="31" t="n">
        <v>99999999</v>
      </c>
      <c r="V25" s="32" t="n">
        <v>0</v>
      </c>
      <c r="W25" s="33" t="n">
        <v>1</v>
      </c>
      <c r="X25" s="45" t="s">
        <v>35</v>
      </c>
      <c r="Y25" s="35" t="n">
        <v>30000</v>
      </c>
      <c r="Z25" s="36" t="n">
        <v>0</v>
      </c>
      <c r="AA25" s="37" t="n">
        <v>0</v>
      </c>
      <c r="AB25" s="38" t="n">
        <v>0</v>
      </c>
    </row>
    <row r="26" customFormat="false" ht="15.75" hidden="false" customHeight="false" outlineLevel="0" collapsed="false">
      <c r="A26" s="18" t="str">
        <f aca="false">"Scenario"&amp;(ROW()-2)</f>
        <v>Scenario24</v>
      </c>
      <c r="B26" s="18" t="str">
        <f aca="false">O26&amp;" with "&amp;Q26&amp;" / "&amp;X26</f>
        <v>457b with % of Salary / % of Salary</v>
      </c>
      <c r="C26" s="19" t="n">
        <v>65</v>
      </c>
      <c r="D26" s="20" t="n">
        <v>76</v>
      </c>
      <c r="E26" s="20" t="n">
        <v>90</v>
      </c>
      <c r="F26" s="21" t="n">
        <v>100000</v>
      </c>
      <c r="G26" s="22" t="n">
        <v>0.02</v>
      </c>
      <c r="H26" s="19" t="s">
        <v>28</v>
      </c>
      <c r="I26" s="23" t="n">
        <v>0.04</v>
      </c>
      <c r="J26" s="24" t="n">
        <v>1</v>
      </c>
      <c r="K26" s="25" t="n">
        <v>100000</v>
      </c>
      <c r="L26" s="23" t="n">
        <v>0.18</v>
      </c>
      <c r="M26" s="26" t="n">
        <v>0.025</v>
      </c>
      <c r="N26" s="27" t="s">
        <v>29</v>
      </c>
      <c r="O26" s="27" t="s">
        <v>41</v>
      </c>
      <c r="P26" s="28" t="n">
        <v>2000000</v>
      </c>
      <c r="Q26" s="29" t="s">
        <v>36</v>
      </c>
      <c r="R26" s="27" t="n">
        <v>0</v>
      </c>
      <c r="S26" s="39" t="n">
        <v>0.05</v>
      </c>
      <c r="T26" s="30" t="n">
        <v>0</v>
      </c>
      <c r="U26" s="31" t="n">
        <v>99999999</v>
      </c>
      <c r="V26" s="32" t="n">
        <v>0</v>
      </c>
      <c r="W26" s="33" t="n">
        <v>1</v>
      </c>
      <c r="X26" s="46" t="s">
        <v>36</v>
      </c>
      <c r="Y26" s="35" t="n">
        <v>0</v>
      </c>
      <c r="Z26" s="36" t="n">
        <v>0.05</v>
      </c>
      <c r="AA26" s="37" t="n">
        <v>0</v>
      </c>
      <c r="AB26" s="38" t="n">
        <v>0</v>
      </c>
    </row>
    <row r="27" customFormat="false" ht="15.75" hidden="false" customHeight="false" outlineLevel="0" collapsed="false">
      <c r="A27" s="18" t="str">
        <f aca="false">"Scenario"&amp;(ROW()-2)</f>
        <v>Scenario25</v>
      </c>
      <c r="B27" s="18" t="str">
        <f aca="false">O27&amp;" with "&amp;Q27&amp;" / "&amp;X27</f>
        <v>457b with % of Salary / Match</v>
      </c>
      <c r="C27" s="19" t="n">
        <v>65</v>
      </c>
      <c r="D27" s="20" t="n">
        <v>76</v>
      </c>
      <c r="E27" s="20" t="n">
        <v>90</v>
      </c>
      <c r="F27" s="21" t="n">
        <v>100000</v>
      </c>
      <c r="G27" s="22" t="n">
        <v>0.02</v>
      </c>
      <c r="H27" s="19" t="s">
        <v>34</v>
      </c>
      <c r="I27" s="23" t="n">
        <v>0.04</v>
      </c>
      <c r="J27" s="24" t="n">
        <v>1</v>
      </c>
      <c r="K27" s="25" t="n">
        <v>100000</v>
      </c>
      <c r="L27" s="23" t="n">
        <v>0.18</v>
      </c>
      <c r="M27" s="26" t="n">
        <v>0.025</v>
      </c>
      <c r="N27" s="27" t="s">
        <v>29</v>
      </c>
      <c r="O27" s="27" t="s">
        <v>41</v>
      </c>
      <c r="P27" s="28" t="n">
        <v>2000000</v>
      </c>
      <c r="Q27" s="29" t="s">
        <v>36</v>
      </c>
      <c r="R27" s="27" t="n">
        <v>0</v>
      </c>
      <c r="S27" s="39" t="n">
        <v>0.05</v>
      </c>
      <c r="T27" s="30" t="n">
        <v>0</v>
      </c>
      <c r="U27" s="31" t="n">
        <v>99999999</v>
      </c>
      <c r="V27" s="32" t="n">
        <v>0</v>
      </c>
      <c r="W27" s="33" t="n">
        <v>1</v>
      </c>
      <c r="X27" s="44" t="s">
        <v>39</v>
      </c>
      <c r="Y27" s="35" t="n">
        <v>0</v>
      </c>
      <c r="Z27" s="36" t="n">
        <v>0</v>
      </c>
      <c r="AA27" s="37" t="n">
        <v>1.5</v>
      </c>
      <c r="AB27" s="38" t="n">
        <v>0.08</v>
      </c>
    </row>
    <row r="28" customFormat="false" ht="15.75" hidden="false" customHeight="false" outlineLevel="0" collapsed="false">
      <c r="A28" s="18" t="str">
        <f aca="false">"Scenario"&amp;(ROW()-2)</f>
        <v>Scenario26</v>
      </c>
      <c r="B28" s="18" t="str">
        <f aca="false">O28&amp;" with "&amp;Q28&amp;" / "&amp;X28</f>
        <v>Health Savings Account with Maximum Allowable / Annual</v>
      </c>
      <c r="C28" s="19" t="n">
        <v>53</v>
      </c>
      <c r="D28" s="20" t="n">
        <v>65</v>
      </c>
      <c r="E28" s="20" t="n">
        <v>90</v>
      </c>
      <c r="F28" s="21" t="n">
        <v>100000</v>
      </c>
      <c r="G28" s="22" t="n">
        <v>0.02</v>
      </c>
      <c r="H28" s="19" t="s">
        <v>34</v>
      </c>
      <c r="I28" s="23" t="n">
        <v>0.05</v>
      </c>
      <c r="J28" s="24" t="n">
        <v>1</v>
      </c>
      <c r="K28" s="25" t="n">
        <v>100000</v>
      </c>
      <c r="L28" s="23" t="n">
        <v>0.18</v>
      </c>
      <c r="M28" s="26" t="n">
        <v>0.025</v>
      </c>
      <c r="N28" s="27" t="s">
        <v>29</v>
      </c>
      <c r="O28" s="27" t="s">
        <v>42</v>
      </c>
      <c r="P28" s="28" t="n">
        <v>2000000</v>
      </c>
      <c r="Q28" s="29" t="s">
        <v>31</v>
      </c>
      <c r="R28" s="27" t="n">
        <v>0</v>
      </c>
      <c r="S28" s="27" t="n">
        <v>0</v>
      </c>
      <c r="T28" s="30" t="n">
        <v>0</v>
      </c>
      <c r="U28" s="31" t="n">
        <v>99999999</v>
      </c>
      <c r="V28" s="32" t="n">
        <v>0</v>
      </c>
      <c r="W28" s="33" t="n">
        <v>1</v>
      </c>
      <c r="X28" s="34" t="s">
        <v>35</v>
      </c>
      <c r="Y28" s="35" t="n">
        <v>1000</v>
      </c>
      <c r="Z28" s="36" t="n">
        <v>0</v>
      </c>
      <c r="AA28" s="37" t="n">
        <v>0</v>
      </c>
      <c r="AB28" s="38" t="n">
        <v>0</v>
      </c>
    </row>
    <row r="29" customFormat="false" ht="15.75" hidden="false" customHeight="false" outlineLevel="0" collapsed="false">
      <c r="A29" s="18" t="str">
        <f aca="false">"Scenario"&amp;(ROW()-2)</f>
        <v>Scenario27</v>
      </c>
      <c r="B29" s="18" t="str">
        <f aca="false">O29&amp;" with "&amp;Q29&amp;" / "&amp;X29</f>
        <v>Health Savings Account with Monthly / Monthly</v>
      </c>
      <c r="C29" s="19" t="n">
        <v>61</v>
      </c>
      <c r="D29" s="20" t="n">
        <v>65</v>
      </c>
      <c r="E29" s="20" t="n">
        <v>90</v>
      </c>
      <c r="F29" s="21" t="n">
        <v>100000</v>
      </c>
      <c r="G29" s="22" t="n">
        <v>0.02</v>
      </c>
      <c r="H29" s="19" t="s">
        <v>28</v>
      </c>
      <c r="I29" s="23" t="n">
        <v>0</v>
      </c>
      <c r="J29" s="24" t="n">
        <v>1</v>
      </c>
      <c r="K29" s="25" t="n">
        <v>100000</v>
      </c>
      <c r="L29" s="23" t="n">
        <v>0.18</v>
      </c>
      <c r="M29" s="26" t="n">
        <v>0.025</v>
      </c>
      <c r="N29" s="27" t="s">
        <v>29</v>
      </c>
      <c r="O29" s="27" t="s">
        <v>42</v>
      </c>
      <c r="P29" s="28" t="n">
        <v>2000000</v>
      </c>
      <c r="Q29" s="29" t="s">
        <v>33</v>
      </c>
      <c r="R29" s="27" t="n">
        <v>2000</v>
      </c>
      <c r="S29" s="27" t="n">
        <v>0</v>
      </c>
      <c r="T29" s="30" t="n">
        <v>0</v>
      </c>
      <c r="U29" s="31" t="n">
        <v>99999999</v>
      </c>
      <c r="V29" s="32" t="n">
        <v>0</v>
      </c>
      <c r="W29" s="33" t="n">
        <v>1</v>
      </c>
      <c r="X29" s="34" t="s">
        <v>33</v>
      </c>
      <c r="Y29" s="35" t="n">
        <v>1000</v>
      </c>
      <c r="Z29" s="36" t="n">
        <v>0</v>
      </c>
      <c r="AA29" s="37" t="n">
        <v>0</v>
      </c>
      <c r="AB29" s="38" t="n">
        <v>0</v>
      </c>
    </row>
    <row r="30" customFormat="false" ht="15.75" hidden="false" customHeight="false" outlineLevel="0" collapsed="false">
      <c r="A30" s="18" t="str">
        <f aca="false">"Scenario"&amp;(ROW()-2)</f>
        <v>Scenario28</v>
      </c>
      <c r="B30" s="18" t="str">
        <f aca="false">O30&amp;" with "&amp;Q30&amp;" / "&amp;X30</f>
        <v>Health Savings Account with Annual / Annual</v>
      </c>
      <c r="C30" s="19" t="n">
        <v>61</v>
      </c>
      <c r="D30" s="20" t="n">
        <v>65</v>
      </c>
      <c r="E30" s="20" t="n">
        <v>90</v>
      </c>
      <c r="F30" s="21" t="n">
        <v>100000</v>
      </c>
      <c r="G30" s="22" t="n">
        <v>0.02</v>
      </c>
      <c r="H30" s="19" t="s">
        <v>34</v>
      </c>
      <c r="I30" s="23" t="n">
        <v>0.05</v>
      </c>
      <c r="J30" s="24" t="n">
        <v>1</v>
      </c>
      <c r="K30" s="25" t="n">
        <v>100000</v>
      </c>
      <c r="L30" s="23" t="n">
        <v>0.18</v>
      </c>
      <c r="M30" s="26" t="n">
        <v>0.025</v>
      </c>
      <c r="N30" s="27" t="s">
        <v>29</v>
      </c>
      <c r="O30" s="27" t="s">
        <v>42</v>
      </c>
      <c r="P30" s="28" t="n">
        <v>2000000</v>
      </c>
      <c r="Q30" s="29" t="s">
        <v>35</v>
      </c>
      <c r="R30" s="27" t="n">
        <v>25000</v>
      </c>
      <c r="S30" s="27" t="n">
        <v>0</v>
      </c>
      <c r="T30" s="30" t="n">
        <v>0</v>
      </c>
      <c r="U30" s="31" t="n">
        <v>99999999</v>
      </c>
      <c r="V30" s="32" t="n">
        <v>0</v>
      </c>
      <c r="W30" s="33" t="n">
        <v>1</v>
      </c>
      <c r="X30" s="34" t="s">
        <v>35</v>
      </c>
      <c r="Y30" s="35" t="n">
        <v>30000</v>
      </c>
      <c r="Z30" s="36" t="n">
        <v>0</v>
      </c>
      <c r="AA30" s="37" t="n">
        <v>0</v>
      </c>
      <c r="AB30" s="38" t="n">
        <v>0</v>
      </c>
    </row>
    <row r="31" customFormat="false" ht="15.75" hidden="false" customHeight="false" outlineLevel="0" collapsed="false">
      <c r="A31" s="18" t="str">
        <f aca="false">"Scenario"&amp;(ROW()-2)</f>
        <v>Scenario29</v>
      </c>
      <c r="B31" s="18" t="str">
        <f aca="false">O31&amp;" with "&amp;Q31&amp;" / "&amp;X31</f>
        <v>Health Savings Account with % of Salary / % of Salary</v>
      </c>
      <c r="C31" s="19" t="n">
        <v>61</v>
      </c>
      <c r="D31" s="20" t="n">
        <v>65</v>
      </c>
      <c r="E31" s="20" t="n">
        <v>90</v>
      </c>
      <c r="F31" s="21" t="n">
        <v>100000</v>
      </c>
      <c r="G31" s="22" t="n">
        <v>0.02</v>
      </c>
      <c r="H31" s="19" t="s">
        <v>28</v>
      </c>
      <c r="I31" s="23" t="n">
        <v>0.05</v>
      </c>
      <c r="J31" s="24" t="n">
        <v>1</v>
      </c>
      <c r="K31" s="25" t="n">
        <v>100000</v>
      </c>
      <c r="L31" s="23" t="n">
        <v>0.18</v>
      </c>
      <c r="M31" s="26" t="n">
        <v>0.025</v>
      </c>
      <c r="N31" s="27" t="s">
        <v>29</v>
      </c>
      <c r="O31" s="27" t="s">
        <v>42</v>
      </c>
      <c r="P31" s="28" t="n">
        <v>2000000</v>
      </c>
      <c r="Q31" s="29" t="s">
        <v>36</v>
      </c>
      <c r="R31" s="27" t="n">
        <v>0</v>
      </c>
      <c r="S31" s="39" t="n">
        <v>0.05</v>
      </c>
      <c r="T31" s="30" t="n">
        <v>0</v>
      </c>
      <c r="U31" s="31" t="n">
        <v>99999999</v>
      </c>
      <c r="V31" s="32" t="n">
        <v>0</v>
      </c>
      <c r="W31" s="33" t="n">
        <v>1</v>
      </c>
      <c r="X31" s="44" t="s">
        <v>36</v>
      </c>
      <c r="Y31" s="35" t="n">
        <v>0</v>
      </c>
      <c r="Z31" s="36" t="n">
        <v>0.05</v>
      </c>
      <c r="AA31" s="37" t="n">
        <v>0</v>
      </c>
      <c r="AB31" s="38" t="n">
        <v>0</v>
      </c>
    </row>
    <row r="32" customFormat="false" ht="15.75" hidden="false" customHeight="false" outlineLevel="0" collapsed="false">
      <c r="A32" s="18" t="str">
        <f aca="false">"Scenario"&amp;(ROW()-2)</f>
        <v>Scenario30</v>
      </c>
      <c r="B32" s="18" t="str">
        <f aca="false">O32&amp;" with "&amp;Q32&amp;" / "&amp;X32</f>
        <v>Health Savings Account with % of Salary / Match</v>
      </c>
      <c r="C32" s="19" t="n">
        <v>61</v>
      </c>
      <c r="D32" s="20" t="n">
        <v>65</v>
      </c>
      <c r="E32" s="20" t="n">
        <v>90</v>
      </c>
      <c r="F32" s="21" t="n">
        <v>100000</v>
      </c>
      <c r="G32" s="22" t="n">
        <v>0.02</v>
      </c>
      <c r="H32" s="19" t="s">
        <v>34</v>
      </c>
      <c r="I32" s="23" t="n">
        <v>0.05</v>
      </c>
      <c r="J32" s="24" t="n">
        <v>1</v>
      </c>
      <c r="K32" s="25" t="n">
        <v>100000</v>
      </c>
      <c r="L32" s="23" t="n">
        <v>0.18</v>
      </c>
      <c r="M32" s="26" t="n">
        <v>0.025</v>
      </c>
      <c r="N32" s="27" t="s">
        <v>29</v>
      </c>
      <c r="O32" s="27" t="s">
        <v>42</v>
      </c>
      <c r="P32" s="28" t="n">
        <v>2000000</v>
      </c>
      <c r="Q32" s="29" t="s">
        <v>36</v>
      </c>
      <c r="R32" s="27" t="n">
        <v>0</v>
      </c>
      <c r="S32" s="39" t="n">
        <v>0.05</v>
      </c>
      <c r="T32" s="30" t="n">
        <v>0</v>
      </c>
      <c r="U32" s="31" t="n">
        <v>99999999</v>
      </c>
      <c r="V32" s="32" t="n">
        <v>0</v>
      </c>
      <c r="W32" s="33" t="n">
        <v>1</v>
      </c>
      <c r="X32" s="44" t="s">
        <v>39</v>
      </c>
      <c r="Y32" s="35" t="n">
        <v>0</v>
      </c>
      <c r="Z32" s="36" t="n">
        <v>0</v>
      </c>
      <c r="AA32" s="37" t="n">
        <v>0.5</v>
      </c>
      <c r="AB32" s="38" t="n">
        <v>0.08</v>
      </c>
    </row>
    <row r="33" customFormat="false" ht="15.75" hidden="false" customHeight="false" outlineLevel="0" collapsed="false">
      <c r="A33" s="18" t="str">
        <f aca="false">"Scenario"&amp;(ROW()-2)</f>
        <v>Scenario31</v>
      </c>
      <c r="B33" s="18" t="str">
        <f aca="false">O33&amp;" with "&amp;Q33&amp;" / "&amp;X33</f>
        <v>Roth 401k with Maximum Allowable / None</v>
      </c>
      <c r="C33" s="19" t="n">
        <v>61</v>
      </c>
      <c r="D33" s="20" t="n">
        <v>65</v>
      </c>
      <c r="E33" s="20" t="n">
        <v>90</v>
      </c>
      <c r="F33" s="21" t="n">
        <v>100000</v>
      </c>
      <c r="G33" s="22" t="n">
        <v>0.02</v>
      </c>
      <c r="H33" s="19" t="s">
        <v>28</v>
      </c>
      <c r="I33" s="23" t="n">
        <v>0.03</v>
      </c>
      <c r="J33" s="24" t="n">
        <v>1</v>
      </c>
      <c r="K33" s="25" t="n">
        <v>100000</v>
      </c>
      <c r="L33" s="23" t="n">
        <v>0.18</v>
      </c>
      <c r="M33" s="26" t="n">
        <v>0.025</v>
      </c>
      <c r="N33" s="27" t="s">
        <v>29</v>
      </c>
      <c r="O33" s="27" t="s">
        <v>43</v>
      </c>
      <c r="P33" s="28" t="n">
        <v>2000000</v>
      </c>
      <c r="Q33" s="29" t="s">
        <v>31</v>
      </c>
      <c r="R33" s="27" t="n">
        <v>0</v>
      </c>
      <c r="S33" s="27" t="n">
        <v>0</v>
      </c>
      <c r="T33" s="30" t="n">
        <v>0</v>
      </c>
      <c r="U33" s="31" t="n">
        <v>99999999</v>
      </c>
      <c r="V33" s="32" t="n">
        <v>0</v>
      </c>
      <c r="W33" s="33" t="n">
        <v>1</v>
      </c>
      <c r="X33" s="34" t="s">
        <v>32</v>
      </c>
      <c r="Y33" s="35" t="n">
        <v>0</v>
      </c>
      <c r="Z33" s="36" t="n">
        <v>0</v>
      </c>
      <c r="AA33" s="37" t="n">
        <v>0</v>
      </c>
      <c r="AB33" s="38" t="n">
        <v>0</v>
      </c>
    </row>
    <row r="34" customFormat="false" ht="15.75" hidden="false" customHeight="false" outlineLevel="0" collapsed="false">
      <c r="A34" s="18" t="str">
        <f aca="false">"Scenario"&amp;(ROW()-2)</f>
        <v>Scenario32</v>
      </c>
      <c r="B34" s="18" t="str">
        <f aca="false">O34&amp;" with "&amp;Q34&amp;" / "&amp;X34</f>
        <v>Roth 401k with Monthly / Monthly</v>
      </c>
      <c r="C34" s="19" t="n">
        <v>61</v>
      </c>
      <c r="D34" s="20" t="n">
        <v>65</v>
      </c>
      <c r="E34" s="20" t="n">
        <v>90</v>
      </c>
      <c r="F34" s="21" t="n">
        <v>100000</v>
      </c>
      <c r="G34" s="22" t="n">
        <v>0.02</v>
      </c>
      <c r="H34" s="19" t="s">
        <v>28</v>
      </c>
      <c r="I34" s="23" t="n">
        <v>0.05</v>
      </c>
      <c r="J34" s="24" t="n">
        <v>1</v>
      </c>
      <c r="K34" s="25" t="n">
        <v>100000</v>
      </c>
      <c r="L34" s="23" t="n">
        <v>0.18</v>
      </c>
      <c r="M34" s="26" t="n">
        <v>0.025</v>
      </c>
      <c r="N34" s="27" t="s">
        <v>29</v>
      </c>
      <c r="O34" s="27" t="s">
        <v>43</v>
      </c>
      <c r="P34" s="28" t="n">
        <v>2000000</v>
      </c>
      <c r="Q34" s="29" t="s">
        <v>33</v>
      </c>
      <c r="R34" s="27" t="n">
        <v>2000</v>
      </c>
      <c r="S34" s="27" t="n">
        <v>0</v>
      </c>
      <c r="T34" s="30" t="n">
        <v>0</v>
      </c>
      <c r="U34" s="31" t="n">
        <v>99999999</v>
      </c>
      <c r="V34" s="32" t="n">
        <v>0</v>
      </c>
      <c r="W34" s="33" t="n">
        <v>1</v>
      </c>
      <c r="X34" s="34" t="s">
        <v>33</v>
      </c>
      <c r="Y34" s="35" t="n">
        <v>1000</v>
      </c>
      <c r="Z34" s="36" t="n">
        <v>0</v>
      </c>
      <c r="AA34" s="37" t="n">
        <v>0</v>
      </c>
      <c r="AB34" s="38" t="n">
        <v>0</v>
      </c>
    </row>
    <row r="35" customFormat="false" ht="15.75" hidden="false" customHeight="false" outlineLevel="0" collapsed="false">
      <c r="A35" s="18" t="str">
        <f aca="false">"Scenario"&amp;(ROW()-2)</f>
        <v>Scenario33</v>
      </c>
      <c r="B35" s="18" t="str">
        <f aca="false">O35&amp;" with "&amp;Q35&amp;" / "&amp;X35</f>
        <v>Roth 401k with Annual / Annual</v>
      </c>
      <c r="C35" s="19" t="n">
        <v>61</v>
      </c>
      <c r="D35" s="20" t="n">
        <v>65</v>
      </c>
      <c r="E35" s="20" t="n">
        <v>90</v>
      </c>
      <c r="F35" s="21" t="n">
        <v>100000</v>
      </c>
      <c r="G35" s="22" t="n">
        <v>0.02</v>
      </c>
      <c r="H35" s="19" t="s">
        <v>34</v>
      </c>
      <c r="I35" s="23" t="n">
        <v>0.03</v>
      </c>
      <c r="J35" s="24" t="n">
        <v>1</v>
      </c>
      <c r="K35" s="25" t="n">
        <v>100000</v>
      </c>
      <c r="L35" s="23" t="n">
        <v>0.18</v>
      </c>
      <c r="M35" s="26" t="n">
        <v>0.025</v>
      </c>
      <c r="N35" s="27" t="s">
        <v>29</v>
      </c>
      <c r="O35" s="27" t="s">
        <v>43</v>
      </c>
      <c r="P35" s="28" t="n">
        <v>2000000</v>
      </c>
      <c r="Q35" s="29" t="s">
        <v>35</v>
      </c>
      <c r="R35" s="27" t="n">
        <v>25000</v>
      </c>
      <c r="S35" s="27" t="n">
        <v>0</v>
      </c>
      <c r="T35" s="30" t="n">
        <v>0</v>
      </c>
      <c r="U35" s="31" t="n">
        <v>99999999</v>
      </c>
      <c r="V35" s="32" t="n">
        <v>0</v>
      </c>
      <c r="W35" s="33" t="n">
        <v>1</v>
      </c>
      <c r="X35" s="34" t="s">
        <v>35</v>
      </c>
      <c r="Y35" s="35" t="n">
        <v>30000</v>
      </c>
      <c r="Z35" s="36" t="n">
        <v>0</v>
      </c>
      <c r="AA35" s="37" t="n">
        <v>0</v>
      </c>
      <c r="AB35" s="38" t="n">
        <v>0</v>
      </c>
    </row>
    <row r="36" customFormat="false" ht="15.75" hidden="false" customHeight="false" outlineLevel="0" collapsed="false">
      <c r="A36" s="18" t="str">
        <f aca="false">"Scenario"&amp;(ROW()-2)</f>
        <v>Scenario34</v>
      </c>
      <c r="B36" s="18" t="str">
        <f aca="false">O36&amp;" with "&amp;Q36&amp;" / "&amp;X36</f>
        <v>Roth 401k with % of Salary / % of Salary</v>
      </c>
      <c r="C36" s="19" t="n">
        <v>61</v>
      </c>
      <c r="D36" s="20" t="n">
        <v>65</v>
      </c>
      <c r="E36" s="20" t="n">
        <v>90</v>
      </c>
      <c r="F36" s="21" t="n">
        <v>100000</v>
      </c>
      <c r="G36" s="22" t="n">
        <v>0.02</v>
      </c>
      <c r="H36" s="19" t="s">
        <v>28</v>
      </c>
      <c r="I36" s="23" t="n">
        <v>0.03</v>
      </c>
      <c r="J36" s="24" t="n">
        <v>1</v>
      </c>
      <c r="K36" s="25" t="n">
        <v>100000</v>
      </c>
      <c r="L36" s="23" t="n">
        <v>0.18</v>
      </c>
      <c r="M36" s="26" t="n">
        <v>0.025</v>
      </c>
      <c r="N36" s="27" t="s">
        <v>29</v>
      </c>
      <c r="O36" s="27" t="s">
        <v>43</v>
      </c>
      <c r="P36" s="28" t="n">
        <v>2000000</v>
      </c>
      <c r="Q36" s="29" t="s">
        <v>36</v>
      </c>
      <c r="R36" s="27" t="n">
        <v>0</v>
      </c>
      <c r="S36" s="39" t="n">
        <v>0.05</v>
      </c>
      <c r="T36" s="30" t="n">
        <v>0</v>
      </c>
      <c r="U36" s="31" t="n">
        <v>99999999</v>
      </c>
      <c r="V36" s="32" t="n">
        <v>0</v>
      </c>
      <c r="W36" s="33" t="n">
        <v>1</v>
      </c>
      <c r="X36" s="44" t="s">
        <v>36</v>
      </c>
      <c r="Y36" s="35" t="n">
        <v>0</v>
      </c>
      <c r="Z36" s="36" t="n">
        <v>0.05</v>
      </c>
      <c r="AA36" s="37" t="n">
        <v>0</v>
      </c>
      <c r="AB36" s="38" t="n">
        <v>0</v>
      </c>
    </row>
    <row r="37" customFormat="false" ht="15.75" hidden="false" customHeight="false" outlineLevel="0" collapsed="false">
      <c r="A37" s="18" t="str">
        <f aca="false">"Scenario"&amp;(ROW()-2)</f>
        <v>Scenario35</v>
      </c>
      <c r="B37" s="18" t="str">
        <f aca="false">O37&amp;" with "&amp;Q37&amp;" / "&amp;X37</f>
        <v>Roth 401k with % of Salary / Match</v>
      </c>
      <c r="C37" s="19" t="n">
        <v>61</v>
      </c>
      <c r="D37" s="20" t="n">
        <v>65</v>
      </c>
      <c r="E37" s="20" t="n">
        <v>90</v>
      </c>
      <c r="F37" s="21" t="n">
        <v>100000</v>
      </c>
      <c r="G37" s="22" t="n">
        <v>0.02</v>
      </c>
      <c r="H37" s="19" t="s">
        <v>34</v>
      </c>
      <c r="I37" s="23" t="n">
        <v>0.03</v>
      </c>
      <c r="J37" s="24" t="n">
        <v>1</v>
      </c>
      <c r="K37" s="25" t="n">
        <v>100000</v>
      </c>
      <c r="L37" s="23" t="n">
        <v>0.18</v>
      </c>
      <c r="M37" s="26" t="n">
        <v>0.025</v>
      </c>
      <c r="N37" s="27" t="s">
        <v>29</v>
      </c>
      <c r="O37" s="27" t="s">
        <v>43</v>
      </c>
      <c r="P37" s="28" t="n">
        <v>2000000</v>
      </c>
      <c r="Q37" s="29" t="s">
        <v>36</v>
      </c>
      <c r="R37" s="27" t="n">
        <v>0</v>
      </c>
      <c r="S37" s="39" t="n">
        <v>0.05</v>
      </c>
      <c r="T37" s="30" t="n">
        <v>0</v>
      </c>
      <c r="U37" s="31" t="n">
        <v>99999999</v>
      </c>
      <c r="V37" s="32" t="n">
        <v>0</v>
      </c>
      <c r="W37" s="33" t="n">
        <v>1</v>
      </c>
      <c r="X37" s="44" t="s">
        <v>39</v>
      </c>
      <c r="Y37" s="35" t="n">
        <v>0</v>
      </c>
      <c r="Z37" s="36" t="n">
        <v>0</v>
      </c>
      <c r="AA37" s="37" t="n">
        <v>1</v>
      </c>
      <c r="AB37" s="38" t="n">
        <v>0.08</v>
      </c>
    </row>
    <row r="38" customFormat="false" ht="15.75" hidden="false" customHeight="false" outlineLevel="0" collapsed="false">
      <c r="A38" s="18" t="str">
        <f aca="false">"Scenario"&amp;(ROW()-2)</f>
        <v>Scenario36</v>
      </c>
      <c r="B38" s="18" t="str">
        <f aca="false">O38&amp;" with "&amp;Q38&amp;" / "&amp;X38</f>
        <v>ORP with Annual / Annual</v>
      </c>
      <c r="C38" s="19" t="n">
        <v>61</v>
      </c>
      <c r="D38" s="20" t="n">
        <v>65</v>
      </c>
      <c r="E38" s="20" t="n">
        <v>90</v>
      </c>
      <c r="F38" s="21" t="n">
        <v>100000</v>
      </c>
      <c r="G38" s="22" t="n">
        <v>0.02</v>
      </c>
      <c r="H38" s="19" t="s">
        <v>28</v>
      </c>
      <c r="I38" s="23" t="n">
        <v>0.04</v>
      </c>
      <c r="J38" s="24" t="n">
        <v>1</v>
      </c>
      <c r="K38" s="25" t="n">
        <v>100000</v>
      </c>
      <c r="L38" s="23" t="n">
        <v>0.18</v>
      </c>
      <c r="M38" s="26" t="n">
        <v>0.025</v>
      </c>
      <c r="N38" s="27" t="s">
        <v>29</v>
      </c>
      <c r="O38" s="27" t="s">
        <v>44</v>
      </c>
      <c r="P38" s="28" t="n">
        <v>2000000</v>
      </c>
      <c r="Q38" s="29" t="s">
        <v>35</v>
      </c>
      <c r="R38" s="27" t="n">
        <v>1000</v>
      </c>
      <c r="S38" s="27" t="n">
        <v>0</v>
      </c>
      <c r="T38" s="30" t="n">
        <v>0</v>
      </c>
      <c r="U38" s="31" t="n">
        <v>99999999</v>
      </c>
      <c r="V38" s="32" t="n">
        <v>0</v>
      </c>
      <c r="W38" s="33" t="n">
        <v>1</v>
      </c>
      <c r="X38" s="34" t="s">
        <v>35</v>
      </c>
      <c r="Y38" s="35" t="n">
        <v>1000</v>
      </c>
      <c r="Z38" s="36" t="n">
        <v>0</v>
      </c>
      <c r="AA38" s="37" t="n">
        <v>0</v>
      </c>
      <c r="AB38" s="38" t="n">
        <v>0</v>
      </c>
    </row>
    <row r="39" customFormat="false" ht="15.75" hidden="false" customHeight="false" outlineLevel="0" collapsed="false">
      <c r="A39" s="18" t="str">
        <f aca="false">"Scenario"&amp;(ROW()-2)</f>
        <v>Scenario37</v>
      </c>
      <c r="B39" s="18" t="str">
        <f aca="false">O39&amp;" with "&amp;Q39&amp;" / "&amp;X39</f>
        <v>ORP with Monthly / Monthly</v>
      </c>
      <c r="C39" s="19" t="n">
        <v>61</v>
      </c>
      <c r="D39" s="20" t="n">
        <v>65</v>
      </c>
      <c r="E39" s="20" t="n">
        <v>90</v>
      </c>
      <c r="F39" s="21" t="n">
        <v>100000</v>
      </c>
      <c r="G39" s="22" t="n">
        <v>0.02</v>
      </c>
      <c r="H39" s="19" t="s">
        <v>28</v>
      </c>
      <c r="I39" s="23" t="n">
        <v>0.03</v>
      </c>
      <c r="J39" s="24" t="n">
        <v>1</v>
      </c>
      <c r="K39" s="25" t="n">
        <v>100000</v>
      </c>
      <c r="L39" s="23" t="n">
        <v>0.18</v>
      </c>
      <c r="M39" s="26" t="n">
        <v>0.025</v>
      </c>
      <c r="N39" s="27" t="s">
        <v>29</v>
      </c>
      <c r="O39" s="27" t="s">
        <v>44</v>
      </c>
      <c r="P39" s="28" t="n">
        <v>2000000</v>
      </c>
      <c r="Q39" s="29" t="s">
        <v>33</v>
      </c>
      <c r="R39" s="27" t="n">
        <v>2000</v>
      </c>
      <c r="S39" s="27" t="n">
        <v>0</v>
      </c>
      <c r="T39" s="30" t="n">
        <v>0</v>
      </c>
      <c r="U39" s="31" t="n">
        <v>99999999</v>
      </c>
      <c r="V39" s="32" t="n">
        <v>0</v>
      </c>
      <c r="W39" s="33" t="n">
        <v>1</v>
      </c>
      <c r="X39" s="34" t="s">
        <v>33</v>
      </c>
      <c r="Y39" s="35" t="n">
        <v>1000</v>
      </c>
      <c r="Z39" s="36" t="n">
        <v>0</v>
      </c>
      <c r="AA39" s="37" t="n">
        <v>0</v>
      </c>
      <c r="AB39" s="38" t="n">
        <v>0</v>
      </c>
    </row>
    <row r="40" customFormat="false" ht="15.75" hidden="false" customHeight="false" outlineLevel="0" collapsed="false">
      <c r="A40" s="18" t="str">
        <f aca="false">"Scenario"&amp;(ROW()-2)</f>
        <v>Scenario38</v>
      </c>
      <c r="B40" s="18" t="str">
        <f aca="false">O40&amp;" with "&amp;Q40&amp;" / "&amp;X40</f>
        <v>ORP with Annual / Annual</v>
      </c>
      <c r="C40" s="19" t="n">
        <v>61</v>
      </c>
      <c r="D40" s="20" t="n">
        <v>65</v>
      </c>
      <c r="E40" s="20" t="n">
        <v>90</v>
      </c>
      <c r="F40" s="21" t="n">
        <v>100000</v>
      </c>
      <c r="G40" s="22" t="n">
        <v>0.02</v>
      </c>
      <c r="H40" s="19" t="s">
        <v>34</v>
      </c>
      <c r="I40" s="23" t="n">
        <v>0.05</v>
      </c>
      <c r="J40" s="24" t="n">
        <v>1</v>
      </c>
      <c r="K40" s="25" t="n">
        <v>100000</v>
      </c>
      <c r="L40" s="23" t="n">
        <v>0.18</v>
      </c>
      <c r="M40" s="26" t="n">
        <v>0.025</v>
      </c>
      <c r="N40" s="27" t="s">
        <v>29</v>
      </c>
      <c r="O40" s="27" t="s">
        <v>44</v>
      </c>
      <c r="P40" s="28" t="n">
        <v>2000000</v>
      </c>
      <c r="Q40" s="29" t="s">
        <v>35</v>
      </c>
      <c r="R40" s="27" t="n">
        <v>25000</v>
      </c>
      <c r="S40" s="27" t="n">
        <v>0</v>
      </c>
      <c r="T40" s="30" t="n">
        <v>0</v>
      </c>
      <c r="U40" s="31" t="n">
        <v>99999999</v>
      </c>
      <c r="V40" s="32" t="n">
        <v>0</v>
      </c>
      <c r="W40" s="33" t="n">
        <v>1</v>
      </c>
      <c r="X40" s="34" t="s">
        <v>35</v>
      </c>
      <c r="Y40" s="35" t="n">
        <v>30000</v>
      </c>
      <c r="Z40" s="36" t="n">
        <v>0</v>
      </c>
      <c r="AA40" s="37" t="n">
        <v>0</v>
      </c>
      <c r="AB40" s="38" t="n">
        <v>0</v>
      </c>
    </row>
    <row r="41" customFormat="false" ht="15.75" hidden="false" customHeight="false" outlineLevel="0" collapsed="false">
      <c r="A41" s="18" t="str">
        <f aca="false">"Scenario"&amp;(ROW()-2)</f>
        <v>Scenario39</v>
      </c>
      <c r="B41" s="18" t="str">
        <f aca="false">O41&amp;" with "&amp;Q41&amp;" / "&amp;X41</f>
        <v>ORP with % of Salary / % of Salary</v>
      </c>
      <c r="C41" s="19" t="n">
        <v>61</v>
      </c>
      <c r="D41" s="20" t="n">
        <v>65</v>
      </c>
      <c r="E41" s="20" t="n">
        <v>90</v>
      </c>
      <c r="F41" s="21" t="n">
        <v>100000</v>
      </c>
      <c r="G41" s="22" t="n">
        <v>0.02</v>
      </c>
      <c r="H41" s="19" t="s">
        <v>28</v>
      </c>
      <c r="I41" s="23" t="n">
        <v>0.05</v>
      </c>
      <c r="J41" s="24" t="n">
        <v>1</v>
      </c>
      <c r="K41" s="25" t="n">
        <v>100000</v>
      </c>
      <c r="L41" s="23" t="n">
        <v>0.18</v>
      </c>
      <c r="M41" s="26" t="n">
        <v>0.025</v>
      </c>
      <c r="N41" s="27" t="s">
        <v>29</v>
      </c>
      <c r="O41" s="27" t="s">
        <v>44</v>
      </c>
      <c r="P41" s="28" t="n">
        <v>2000000</v>
      </c>
      <c r="Q41" s="29" t="s">
        <v>36</v>
      </c>
      <c r="R41" s="27" t="n">
        <v>0</v>
      </c>
      <c r="S41" s="39" t="n">
        <v>0.05</v>
      </c>
      <c r="T41" s="30" t="n">
        <v>0</v>
      </c>
      <c r="U41" s="31" t="n">
        <v>99999999</v>
      </c>
      <c r="V41" s="32" t="n">
        <v>0</v>
      </c>
      <c r="W41" s="33" t="n">
        <v>1</v>
      </c>
      <c r="X41" s="44" t="s">
        <v>36</v>
      </c>
      <c r="Y41" s="35" t="n">
        <v>0</v>
      </c>
      <c r="Z41" s="36" t="n">
        <v>0.05</v>
      </c>
      <c r="AA41" s="37" t="n">
        <v>0</v>
      </c>
      <c r="AB41" s="38" t="n">
        <v>0</v>
      </c>
    </row>
    <row r="42" customFormat="false" ht="15.75" hidden="false" customHeight="false" outlineLevel="0" collapsed="false">
      <c r="A42" s="18" t="str">
        <f aca="false">"Scenario"&amp;(ROW()-2)</f>
        <v>Scenario40</v>
      </c>
      <c r="B42" s="18" t="str">
        <f aca="false">O42&amp;" with "&amp;Q42&amp;" / "&amp;X42</f>
        <v>ORP with % of Salary / Match</v>
      </c>
      <c r="C42" s="19" t="n">
        <v>61</v>
      </c>
      <c r="D42" s="20" t="n">
        <v>65</v>
      </c>
      <c r="E42" s="20" t="n">
        <v>90</v>
      </c>
      <c r="F42" s="21" t="n">
        <v>100000</v>
      </c>
      <c r="G42" s="22" t="n">
        <v>0.02</v>
      </c>
      <c r="H42" s="19" t="s">
        <v>34</v>
      </c>
      <c r="I42" s="23" t="n">
        <v>0.05</v>
      </c>
      <c r="J42" s="24" t="n">
        <v>1</v>
      </c>
      <c r="K42" s="25" t="n">
        <v>100000</v>
      </c>
      <c r="L42" s="23" t="n">
        <v>0.18</v>
      </c>
      <c r="M42" s="26" t="n">
        <v>0.025</v>
      </c>
      <c r="N42" s="27" t="s">
        <v>29</v>
      </c>
      <c r="O42" s="27" t="s">
        <v>44</v>
      </c>
      <c r="P42" s="28" t="n">
        <v>2000000</v>
      </c>
      <c r="Q42" s="29" t="s">
        <v>36</v>
      </c>
      <c r="R42" s="27" t="n">
        <v>0</v>
      </c>
      <c r="S42" s="39" t="n">
        <v>0.05</v>
      </c>
      <c r="T42" s="30" t="n">
        <v>0</v>
      </c>
      <c r="U42" s="31" t="n">
        <v>99999999</v>
      </c>
      <c r="V42" s="32" t="n">
        <v>0</v>
      </c>
      <c r="W42" s="33" t="n">
        <v>1</v>
      </c>
      <c r="X42" s="46" t="s">
        <v>39</v>
      </c>
      <c r="Y42" s="35" t="n">
        <v>0</v>
      </c>
      <c r="Z42" s="36" t="n">
        <v>0</v>
      </c>
      <c r="AA42" s="37" t="n">
        <v>0.5</v>
      </c>
      <c r="AB42" s="38" t="n">
        <v>0.08</v>
      </c>
    </row>
    <row r="43" customFormat="false" ht="15.75" hidden="false" customHeight="false" outlineLevel="0" collapsed="false">
      <c r="A43" s="18" t="str">
        <f aca="false">"Scenario"&amp;(ROW()-2)</f>
        <v>Scenario41</v>
      </c>
      <c r="B43" s="18" t="str">
        <f aca="false">O43&amp;" with "&amp;Q43&amp;" / "&amp;X43</f>
        <v>Other with Annual / Annual</v>
      </c>
      <c r="C43" s="19" t="n">
        <v>61</v>
      </c>
      <c r="D43" s="20" t="n">
        <v>65</v>
      </c>
      <c r="E43" s="20" t="n">
        <v>90</v>
      </c>
      <c r="F43" s="21" t="n">
        <v>100000</v>
      </c>
      <c r="G43" s="22" t="n">
        <v>0.02</v>
      </c>
      <c r="H43" s="19" t="s">
        <v>28</v>
      </c>
      <c r="I43" s="23" t="n">
        <v>0.05</v>
      </c>
      <c r="J43" s="24" t="n">
        <v>1</v>
      </c>
      <c r="K43" s="25" t="n">
        <v>100000</v>
      </c>
      <c r="L43" s="23" t="n">
        <v>0.18</v>
      </c>
      <c r="M43" s="26" t="n">
        <v>0.025</v>
      </c>
      <c r="N43" s="27" t="s">
        <v>29</v>
      </c>
      <c r="O43" s="27" t="s">
        <v>45</v>
      </c>
      <c r="P43" s="28" t="n">
        <v>2000000</v>
      </c>
      <c r="Q43" s="29" t="s">
        <v>35</v>
      </c>
      <c r="R43" s="27" t="n">
        <v>1000</v>
      </c>
      <c r="S43" s="27" t="n">
        <v>0</v>
      </c>
      <c r="T43" s="30" t="n">
        <v>0</v>
      </c>
      <c r="U43" s="31" t="n">
        <v>99999999</v>
      </c>
      <c r="V43" s="32" t="n">
        <v>0</v>
      </c>
      <c r="W43" s="33" t="n">
        <v>1</v>
      </c>
      <c r="X43" s="45" t="s">
        <v>35</v>
      </c>
      <c r="Y43" s="35" t="n">
        <v>1000</v>
      </c>
      <c r="Z43" s="36" t="n">
        <v>0</v>
      </c>
      <c r="AA43" s="37" t="n">
        <v>0</v>
      </c>
      <c r="AB43" s="38" t="n">
        <v>0</v>
      </c>
    </row>
    <row r="44" customFormat="false" ht="15.75" hidden="false" customHeight="false" outlineLevel="0" collapsed="false">
      <c r="A44" s="18" t="str">
        <f aca="false">"Scenario"&amp;(ROW()-2)</f>
        <v>Scenario42</v>
      </c>
      <c r="B44" s="18" t="str">
        <f aca="false">O44&amp;" with "&amp;Q44&amp;" / "&amp;X44</f>
        <v>Other with Monthly / Monthly</v>
      </c>
      <c r="C44" s="19" t="n">
        <v>61</v>
      </c>
      <c r="D44" s="20" t="n">
        <v>65</v>
      </c>
      <c r="E44" s="20" t="n">
        <v>90</v>
      </c>
      <c r="F44" s="21" t="n">
        <v>100000</v>
      </c>
      <c r="G44" s="22" t="n">
        <v>0.02</v>
      </c>
      <c r="H44" s="19" t="s">
        <v>28</v>
      </c>
      <c r="I44" s="23" t="n">
        <v>0.05</v>
      </c>
      <c r="J44" s="24" t="n">
        <v>1</v>
      </c>
      <c r="K44" s="25" t="n">
        <v>100000</v>
      </c>
      <c r="L44" s="23" t="n">
        <v>0.18</v>
      </c>
      <c r="M44" s="26" t="n">
        <v>0.025</v>
      </c>
      <c r="N44" s="27" t="s">
        <v>29</v>
      </c>
      <c r="O44" s="27" t="s">
        <v>45</v>
      </c>
      <c r="P44" s="28" t="n">
        <v>2000000</v>
      </c>
      <c r="Q44" s="29" t="s">
        <v>33</v>
      </c>
      <c r="R44" s="27" t="n">
        <v>2000</v>
      </c>
      <c r="S44" s="27" t="n">
        <v>0</v>
      </c>
      <c r="T44" s="30" t="n">
        <v>0</v>
      </c>
      <c r="U44" s="31" t="n">
        <v>99999999</v>
      </c>
      <c r="V44" s="32" t="n">
        <v>0</v>
      </c>
      <c r="W44" s="33" t="n">
        <v>1</v>
      </c>
      <c r="X44" s="34" t="s">
        <v>33</v>
      </c>
      <c r="Y44" s="35" t="n">
        <v>1000</v>
      </c>
      <c r="Z44" s="36" t="n">
        <v>0</v>
      </c>
      <c r="AA44" s="37" t="n">
        <v>0</v>
      </c>
      <c r="AB44" s="38" t="n">
        <v>0</v>
      </c>
    </row>
    <row r="45" customFormat="false" ht="15.75" hidden="false" customHeight="false" outlineLevel="0" collapsed="false">
      <c r="A45" s="18" t="str">
        <f aca="false">"Scenario"&amp;(ROW()-2)</f>
        <v>Scenario43</v>
      </c>
      <c r="B45" s="18" t="str">
        <f aca="false">O45&amp;" with "&amp;Q45&amp;" / "&amp;X45</f>
        <v>Other with Annual / Annual</v>
      </c>
      <c r="C45" s="19" t="n">
        <v>61</v>
      </c>
      <c r="D45" s="20" t="n">
        <v>65</v>
      </c>
      <c r="E45" s="20" t="n">
        <v>90</v>
      </c>
      <c r="F45" s="21" t="n">
        <v>100000</v>
      </c>
      <c r="G45" s="22" t="n">
        <v>0.02</v>
      </c>
      <c r="H45" s="19" t="s">
        <v>34</v>
      </c>
      <c r="I45" s="23" t="n">
        <v>0.05</v>
      </c>
      <c r="J45" s="24" t="n">
        <v>1</v>
      </c>
      <c r="K45" s="25" t="n">
        <v>100000</v>
      </c>
      <c r="L45" s="23" t="n">
        <v>0.18</v>
      </c>
      <c r="M45" s="26" t="n">
        <v>0.025</v>
      </c>
      <c r="N45" s="27" t="s">
        <v>29</v>
      </c>
      <c r="O45" s="27" t="s">
        <v>45</v>
      </c>
      <c r="P45" s="28" t="n">
        <v>2000000</v>
      </c>
      <c r="Q45" s="29" t="s">
        <v>35</v>
      </c>
      <c r="R45" s="27" t="n">
        <v>25000</v>
      </c>
      <c r="S45" s="27" t="n">
        <v>0</v>
      </c>
      <c r="T45" s="30" t="n">
        <v>0</v>
      </c>
      <c r="U45" s="31" t="n">
        <v>99999999</v>
      </c>
      <c r="V45" s="32" t="n">
        <v>0</v>
      </c>
      <c r="W45" s="33" t="n">
        <v>1</v>
      </c>
      <c r="X45" s="34" t="s">
        <v>35</v>
      </c>
      <c r="Y45" s="35" t="n">
        <v>30000</v>
      </c>
      <c r="Z45" s="36" t="n">
        <v>0</v>
      </c>
      <c r="AA45" s="37" t="n">
        <v>0</v>
      </c>
      <c r="AB45" s="38" t="n">
        <v>0</v>
      </c>
    </row>
    <row r="46" customFormat="false" ht="15.75" hidden="false" customHeight="false" outlineLevel="0" collapsed="false">
      <c r="A46" s="18" t="str">
        <f aca="false">"Scenario"&amp;(ROW()-2)</f>
        <v>Scenario44</v>
      </c>
      <c r="B46" s="18" t="str">
        <f aca="false">O46&amp;" with "&amp;Q46&amp;" / "&amp;X46</f>
        <v>Other with % of Salary / % of Salary</v>
      </c>
      <c r="C46" s="19" t="n">
        <v>61</v>
      </c>
      <c r="D46" s="20" t="n">
        <v>65</v>
      </c>
      <c r="E46" s="20" t="n">
        <v>90</v>
      </c>
      <c r="F46" s="21" t="n">
        <v>100000</v>
      </c>
      <c r="G46" s="22" t="n">
        <v>0.02</v>
      </c>
      <c r="H46" s="19" t="s">
        <v>28</v>
      </c>
      <c r="I46" s="23" t="n">
        <v>0.05</v>
      </c>
      <c r="J46" s="24" t="n">
        <v>1</v>
      </c>
      <c r="K46" s="25" t="n">
        <v>100000</v>
      </c>
      <c r="L46" s="23" t="n">
        <v>0.18</v>
      </c>
      <c r="M46" s="26" t="n">
        <v>0.025</v>
      </c>
      <c r="N46" s="27" t="s">
        <v>29</v>
      </c>
      <c r="O46" s="27" t="s">
        <v>45</v>
      </c>
      <c r="P46" s="28" t="n">
        <v>2000000</v>
      </c>
      <c r="Q46" s="29" t="s">
        <v>36</v>
      </c>
      <c r="R46" s="27" t="n">
        <v>0</v>
      </c>
      <c r="S46" s="39" t="n">
        <v>0.05</v>
      </c>
      <c r="T46" s="30" t="n">
        <v>0</v>
      </c>
      <c r="U46" s="31" t="n">
        <v>99999999</v>
      </c>
      <c r="V46" s="32" t="n">
        <v>0</v>
      </c>
      <c r="W46" s="33" t="n">
        <v>1</v>
      </c>
      <c r="X46" s="44" t="s">
        <v>36</v>
      </c>
      <c r="Y46" s="35" t="n">
        <v>0</v>
      </c>
      <c r="Z46" s="36" t="n">
        <v>0.05</v>
      </c>
      <c r="AA46" s="37" t="n">
        <v>0</v>
      </c>
      <c r="AB46" s="38" t="n">
        <v>0</v>
      </c>
    </row>
    <row r="47" customFormat="false" ht="15.75" hidden="false" customHeight="false" outlineLevel="0" collapsed="false">
      <c r="A47" s="18" t="str">
        <f aca="false">"Scenario"&amp;(ROW()-2)</f>
        <v>Scenario45</v>
      </c>
      <c r="B47" s="18" t="str">
        <f aca="false">O47&amp;" with "&amp;Q47&amp;" / "&amp;X47</f>
        <v>Other with % of Salary / Match</v>
      </c>
      <c r="C47" s="19" t="n">
        <v>61</v>
      </c>
      <c r="D47" s="20" t="n">
        <v>65</v>
      </c>
      <c r="E47" s="20" t="n">
        <v>90</v>
      </c>
      <c r="F47" s="21" t="n">
        <v>100000</v>
      </c>
      <c r="G47" s="22" t="n">
        <v>0.02</v>
      </c>
      <c r="H47" s="19" t="s">
        <v>34</v>
      </c>
      <c r="I47" s="23" t="n">
        <v>0.05</v>
      </c>
      <c r="J47" s="24" t="n">
        <v>1</v>
      </c>
      <c r="K47" s="25" t="n">
        <v>100000</v>
      </c>
      <c r="L47" s="23" t="n">
        <v>0.18</v>
      </c>
      <c r="M47" s="26" t="n">
        <v>0.025</v>
      </c>
      <c r="N47" s="27" t="s">
        <v>29</v>
      </c>
      <c r="O47" s="27" t="s">
        <v>45</v>
      </c>
      <c r="P47" s="28" t="n">
        <v>2000000</v>
      </c>
      <c r="Q47" s="29" t="s">
        <v>36</v>
      </c>
      <c r="R47" s="27" t="n">
        <v>0</v>
      </c>
      <c r="S47" s="39" t="n">
        <v>0.05</v>
      </c>
      <c r="T47" s="30" t="n">
        <v>0</v>
      </c>
      <c r="U47" s="31" t="n">
        <v>99999999</v>
      </c>
      <c r="V47" s="32" t="n">
        <v>0</v>
      </c>
      <c r="W47" s="33" t="n">
        <v>1</v>
      </c>
      <c r="X47" s="44" t="s">
        <v>39</v>
      </c>
      <c r="Y47" s="35" t="n">
        <v>0</v>
      </c>
      <c r="Z47" s="36" t="n">
        <v>0</v>
      </c>
      <c r="AA47" s="37" t="n">
        <v>0.5</v>
      </c>
      <c r="AB47" s="38" t="n">
        <v>0.08</v>
      </c>
    </row>
    <row r="48" customFormat="false" ht="15.75" hidden="false" customHeight="false" outlineLevel="0" collapsed="false">
      <c r="A48" s="18" t="str">
        <f aca="false">"Scenario"&amp;(ROW()-2)</f>
        <v>Scenario46</v>
      </c>
      <c r="B48" s="18" t="str">
        <f aca="false">O48&amp;" with "&amp;Q48&amp;" / "&amp;X48</f>
        <v>Profit Sharing with Annual / Annual</v>
      </c>
      <c r="C48" s="19" t="n">
        <v>61</v>
      </c>
      <c r="D48" s="20" t="n">
        <v>65</v>
      </c>
      <c r="E48" s="20" t="n">
        <v>90</v>
      </c>
      <c r="F48" s="21" t="n">
        <v>100000</v>
      </c>
      <c r="G48" s="22" t="n">
        <v>0.02</v>
      </c>
      <c r="H48" s="19" t="s">
        <v>28</v>
      </c>
      <c r="I48" s="23" t="n">
        <v>0.06</v>
      </c>
      <c r="J48" s="24" t="n">
        <v>1</v>
      </c>
      <c r="K48" s="25" t="n">
        <v>100000</v>
      </c>
      <c r="L48" s="23" t="n">
        <v>0.18</v>
      </c>
      <c r="M48" s="26" t="n">
        <v>0.025</v>
      </c>
      <c r="N48" s="27" t="s">
        <v>29</v>
      </c>
      <c r="O48" s="27" t="s">
        <v>46</v>
      </c>
      <c r="P48" s="28" t="n">
        <v>2000000</v>
      </c>
      <c r="Q48" s="29" t="s">
        <v>35</v>
      </c>
      <c r="R48" s="27" t="n">
        <v>1000</v>
      </c>
      <c r="S48" s="27" t="n">
        <v>0</v>
      </c>
      <c r="T48" s="30" t="n">
        <v>0</v>
      </c>
      <c r="U48" s="31" t="n">
        <v>99999999</v>
      </c>
      <c r="V48" s="32" t="n">
        <v>0</v>
      </c>
      <c r="W48" s="33" t="n">
        <v>1</v>
      </c>
      <c r="X48" s="34" t="s">
        <v>35</v>
      </c>
      <c r="Y48" s="35" t="n">
        <v>1000</v>
      </c>
      <c r="Z48" s="36" t="n">
        <v>0</v>
      </c>
      <c r="AA48" s="37" t="n">
        <v>0</v>
      </c>
      <c r="AB48" s="38" t="n">
        <v>0</v>
      </c>
    </row>
    <row r="49" customFormat="false" ht="15.75" hidden="false" customHeight="false" outlineLevel="0" collapsed="false">
      <c r="A49" s="18" t="str">
        <f aca="false">"Scenario"&amp;(ROW()-2)</f>
        <v>Scenario47</v>
      </c>
      <c r="B49" s="18" t="str">
        <f aca="false">O49&amp;" with "&amp;Q49&amp;" / "&amp;X49</f>
        <v>Profit Sharing with Monthly / Monthly</v>
      </c>
      <c r="C49" s="19" t="n">
        <v>61</v>
      </c>
      <c r="D49" s="20" t="n">
        <v>65</v>
      </c>
      <c r="E49" s="20" t="n">
        <v>90</v>
      </c>
      <c r="F49" s="21" t="n">
        <v>100000</v>
      </c>
      <c r="G49" s="22" t="n">
        <v>0.02</v>
      </c>
      <c r="H49" s="19" t="s">
        <v>28</v>
      </c>
      <c r="I49" s="23" t="n">
        <v>0.05</v>
      </c>
      <c r="J49" s="24" t="n">
        <v>1</v>
      </c>
      <c r="K49" s="25" t="n">
        <v>100000</v>
      </c>
      <c r="L49" s="23" t="n">
        <v>0.18</v>
      </c>
      <c r="M49" s="26" t="n">
        <v>0.025</v>
      </c>
      <c r="N49" s="27" t="s">
        <v>29</v>
      </c>
      <c r="O49" s="27" t="s">
        <v>46</v>
      </c>
      <c r="P49" s="28" t="n">
        <v>2000000</v>
      </c>
      <c r="Q49" s="29" t="s">
        <v>33</v>
      </c>
      <c r="R49" s="27" t="n">
        <v>2000</v>
      </c>
      <c r="S49" s="27" t="n">
        <v>0</v>
      </c>
      <c r="T49" s="30" t="n">
        <v>0</v>
      </c>
      <c r="U49" s="31" t="n">
        <v>99999999</v>
      </c>
      <c r="V49" s="32" t="n">
        <v>0</v>
      </c>
      <c r="W49" s="33" t="n">
        <v>1</v>
      </c>
      <c r="X49" s="34" t="s">
        <v>33</v>
      </c>
      <c r="Y49" s="35" t="n">
        <v>1000</v>
      </c>
      <c r="Z49" s="36" t="n">
        <v>0</v>
      </c>
      <c r="AA49" s="37" t="n">
        <v>0</v>
      </c>
      <c r="AB49" s="38" t="n">
        <v>0</v>
      </c>
    </row>
    <row r="50" customFormat="false" ht="15.75" hidden="false" customHeight="false" outlineLevel="0" collapsed="false">
      <c r="A50" s="18" t="str">
        <f aca="false">"Scenario"&amp;(ROW()-2)</f>
        <v>Scenario48</v>
      </c>
      <c r="B50" s="18" t="str">
        <f aca="false">O50&amp;" with "&amp;Q50&amp;" / "&amp;X50</f>
        <v>Profit Sharing with Annual / Annual</v>
      </c>
      <c r="C50" s="19" t="n">
        <v>61</v>
      </c>
      <c r="D50" s="20" t="n">
        <v>65</v>
      </c>
      <c r="E50" s="20" t="n">
        <v>90</v>
      </c>
      <c r="F50" s="21" t="n">
        <v>100000</v>
      </c>
      <c r="G50" s="22" t="n">
        <v>0.02</v>
      </c>
      <c r="H50" s="19" t="s">
        <v>34</v>
      </c>
      <c r="I50" s="23" t="n">
        <v>0.05</v>
      </c>
      <c r="J50" s="24" t="n">
        <v>1</v>
      </c>
      <c r="K50" s="25" t="n">
        <v>100000</v>
      </c>
      <c r="L50" s="23" t="n">
        <v>0.18</v>
      </c>
      <c r="M50" s="26" t="n">
        <v>0.025</v>
      </c>
      <c r="N50" s="27" t="s">
        <v>29</v>
      </c>
      <c r="O50" s="27" t="s">
        <v>46</v>
      </c>
      <c r="P50" s="28" t="n">
        <v>2000000</v>
      </c>
      <c r="Q50" s="29" t="s">
        <v>35</v>
      </c>
      <c r="R50" s="27" t="n">
        <v>25000</v>
      </c>
      <c r="S50" s="27" t="n">
        <v>0</v>
      </c>
      <c r="T50" s="30" t="n">
        <v>0</v>
      </c>
      <c r="U50" s="31" t="n">
        <v>99999999</v>
      </c>
      <c r="V50" s="32" t="n">
        <v>0</v>
      </c>
      <c r="W50" s="33" t="n">
        <v>1</v>
      </c>
      <c r="X50" s="34" t="s">
        <v>35</v>
      </c>
      <c r="Y50" s="35" t="n">
        <v>30000</v>
      </c>
      <c r="Z50" s="36" t="n">
        <v>0</v>
      </c>
      <c r="AA50" s="37" t="n">
        <v>0</v>
      </c>
      <c r="AB50" s="38" t="n">
        <v>0</v>
      </c>
    </row>
    <row r="51" customFormat="false" ht="15.75" hidden="false" customHeight="false" outlineLevel="0" collapsed="false">
      <c r="A51" s="18" t="str">
        <f aca="false">"Scenario"&amp;(ROW()-2)</f>
        <v>Scenario49</v>
      </c>
      <c r="B51" s="18" t="str">
        <f aca="false">O51&amp;" with "&amp;Q51&amp;" / "&amp;X51</f>
        <v>Profit Sharing with % of Salary / % of Salary</v>
      </c>
      <c r="C51" s="19" t="n">
        <v>61</v>
      </c>
      <c r="D51" s="20" t="n">
        <v>65</v>
      </c>
      <c r="E51" s="20" t="n">
        <v>90</v>
      </c>
      <c r="F51" s="21" t="n">
        <v>100000</v>
      </c>
      <c r="G51" s="22" t="n">
        <v>0.02</v>
      </c>
      <c r="H51" s="19" t="s">
        <v>28</v>
      </c>
      <c r="I51" s="23" t="n">
        <v>0.05</v>
      </c>
      <c r="J51" s="24" t="n">
        <v>1</v>
      </c>
      <c r="K51" s="25" t="n">
        <v>100000</v>
      </c>
      <c r="L51" s="23" t="n">
        <v>0.18</v>
      </c>
      <c r="M51" s="26" t="n">
        <v>0.025</v>
      </c>
      <c r="N51" s="27" t="s">
        <v>29</v>
      </c>
      <c r="O51" s="27" t="s">
        <v>46</v>
      </c>
      <c r="P51" s="28" t="n">
        <v>2000000</v>
      </c>
      <c r="Q51" s="29" t="s">
        <v>36</v>
      </c>
      <c r="R51" s="27" t="n">
        <v>0</v>
      </c>
      <c r="S51" s="39" t="n">
        <v>0.05</v>
      </c>
      <c r="T51" s="30" t="n">
        <v>0</v>
      </c>
      <c r="U51" s="31" t="n">
        <v>99999999</v>
      </c>
      <c r="V51" s="32" t="n">
        <v>0</v>
      </c>
      <c r="W51" s="33" t="n">
        <v>1</v>
      </c>
      <c r="X51" s="44" t="s">
        <v>36</v>
      </c>
      <c r="Y51" s="35" t="n">
        <v>0</v>
      </c>
      <c r="Z51" s="36" t="n">
        <v>0.05</v>
      </c>
      <c r="AA51" s="37" t="n">
        <v>0</v>
      </c>
      <c r="AB51" s="38" t="n">
        <v>0</v>
      </c>
    </row>
    <row r="52" customFormat="false" ht="15.75" hidden="false" customHeight="false" outlineLevel="0" collapsed="false">
      <c r="A52" s="18" t="str">
        <f aca="false">"Scenario"&amp;(ROW()-2)</f>
        <v>Scenario50</v>
      </c>
      <c r="B52" s="18" t="str">
        <f aca="false">O52&amp;" with "&amp;Q52&amp;" / "&amp;X52</f>
        <v>Profit Sharing with % of Salary / Match</v>
      </c>
      <c r="C52" s="19" t="n">
        <v>61</v>
      </c>
      <c r="D52" s="20" t="n">
        <v>65</v>
      </c>
      <c r="E52" s="20" t="n">
        <v>90</v>
      </c>
      <c r="F52" s="21" t="n">
        <v>100000</v>
      </c>
      <c r="G52" s="22" t="n">
        <v>0.02</v>
      </c>
      <c r="H52" s="19" t="s">
        <v>34</v>
      </c>
      <c r="I52" s="23" t="n">
        <v>0</v>
      </c>
      <c r="J52" s="24" t="n">
        <v>1</v>
      </c>
      <c r="K52" s="25" t="n">
        <v>100000</v>
      </c>
      <c r="L52" s="23" t="n">
        <v>0.18</v>
      </c>
      <c r="M52" s="26" t="n">
        <v>0.025</v>
      </c>
      <c r="N52" s="27" t="s">
        <v>29</v>
      </c>
      <c r="O52" s="27" t="s">
        <v>46</v>
      </c>
      <c r="P52" s="28" t="n">
        <v>2000000</v>
      </c>
      <c r="Q52" s="29" t="s">
        <v>36</v>
      </c>
      <c r="R52" s="27" t="n">
        <v>0</v>
      </c>
      <c r="S52" s="39" t="n">
        <v>0.05</v>
      </c>
      <c r="T52" s="30" t="n">
        <v>0</v>
      </c>
      <c r="U52" s="31" t="n">
        <v>99999999</v>
      </c>
      <c r="V52" s="32" t="n">
        <v>0</v>
      </c>
      <c r="W52" s="33" t="n">
        <v>1</v>
      </c>
      <c r="X52" s="44" t="s">
        <v>39</v>
      </c>
      <c r="Y52" s="35" t="n">
        <v>0</v>
      </c>
      <c r="Z52" s="36" t="n">
        <v>0</v>
      </c>
      <c r="AA52" s="37" t="n">
        <v>0.5</v>
      </c>
      <c r="AB52" s="38" t="n">
        <v>0.08</v>
      </c>
    </row>
    <row r="53" customFormat="false" ht="15.75" hidden="false" customHeight="false" outlineLevel="0" collapsed="false">
      <c r="A53" s="18" t="str">
        <f aca="false">"Scenario"&amp;(ROW()-2)</f>
        <v>Scenario51</v>
      </c>
      <c r="B53" s="18" t="str">
        <f aca="false">O53&amp;" with "&amp;Q53&amp;" / "&amp;X53</f>
        <v>SEP with None / Maximum Allowable</v>
      </c>
      <c r="C53" s="19" t="n">
        <v>65</v>
      </c>
      <c r="D53" s="20" t="n">
        <v>76</v>
      </c>
      <c r="E53" s="20" t="n">
        <v>90</v>
      </c>
      <c r="F53" s="21" t="n">
        <v>100000</v>
      </c>
      <c r="G53" s="22" t="n">
        <v>0.02</v>
      </c>
      <c r="H53" s="19" t="s">
        <v>28</v>
      </c>
      <c r="I53" s="23" t="n">
        <v>0.05</v>
      </c>
      <c r="J53" s="24" t="n">
        <v>1</v>
      </c>
      <c r="K53" s="25" t="n">
        <v>100000</v>
      </c>
      <c r="L53" s="23" t="n">
        <v>0.18</v>
      </c>
      <c r="M53" s="26" t="n">
        <v>0.025</v>
      </c>
      <c r="N53" s="27" t="s">
        <v>29</v>
      </c>
      <c r="O53" s="27" t="s">
        <v>47</v>
      </c>
      <c r="P53" s="28" t="n">
        <v>2000000</v>
      </c>
      <c r="Q53" s="29" t="s">
        <v>32</v>
      </c>
      <c r="R53" s="27" t="n">
        <v>0</v>
      </c>
      <c r="S53" s="27" t="n">
        <v>0</v>
      </c>
      <c r="T53" s="30" t="n">
        <v>0</v>
      </c>
      <c r="U53" s="31" t="n">
        <v>99999999</v>
      </c>
      <c r="V53" s="32" t="n">
        <v>0</v>
      </c>
      <c r="W53" s="33" t="n">
        <v>1</v>
      </c>
      <c r="X53" s="34" t="s">
        <v>31</v>
      </c>
      <c r="Y53" s="35" t="n">
        <v>0</v>
      </c>
      <c r="Z53" s="36" t="n">
        <v>0</v>
      </c>
      <c r="AA53" s="37" t="n">
        <v>0</v>
      </c>
      <c r="AB53" s="38" t="n">
        <v>0</v>
      </c>
    </row>
    <row r="54" customFormat="false" ht="15.75" hidden="false" customHeight="false" outlineLevel="0" collapsed="false">
      <c r="A54" s="18" t="str">
        <f aca="false">"Scenario"&amp;(ROW()-2)</f>
        <v>Scenario52</v>
      </c>
      <c r="B54" s="18" t="str">
        <f aca="false">O54&amp;" with "&amp;Q54&amp;" / "&amp;X54</f>
        <v>SEP with None / Monthly</v>
      </c>
      <c r="C54" s="19" t="n">
        <v>61</v>
      </c>
      <c r="D54" s="20" t="n">
        <v>65</v>
      </c>
      <c r="E54" s="20" t="n">
        <v>90</v>
      </c>
      <c r="F54" s="21" t="n">
        <v>100000</v>
      </c>
      <c r="G54" s="22" t="n">
        <v>0.02</v>
      </c>
      <c r="H54" s="19" t="s">
        <v>28</v>
      </c>
      <c r="I54" s="23" t="n">
        <v>0.04</v>
      </c>
      <c r="J54" s="24" t="n">
        <v>1</v>
      </c>
      <c r="K54" s="25" t="n">
        <v>100000</v>
      </c>
      <c r="L54" s="23" t="n">
        <v>0.18</v>
      </c>
      <c r="M54" s="26" t="n">
        <v>0.025</v>
      </c>
      <c r="N54" s="27" t="s">
        <v>29</v>
      </c>
      <c r="O54" s="27" t="s">
        <v>47</v>
      </c>
      <c r="P54" s="28" t="n">
        <v>2000000</v>
      </c>
      <c r="Q54" s="29" t="s">
        <v>32</v>
      </c>
      <c r="R54" s="27" t="n">
        <v>0</v>
      </c>
      <c r="S54" s="27" t="n">
        <v>0</v>
      </c>
      <c r="T54" s="30" t="n">
        <v>0</v>
      </c>
      <c r="U54" s="31" t="n">
        <v>99999999</v>
      </c>
      <c r="V54" s="32" t="n">
        <v>0</v>
      </c>
      <c r="W54" s="33" t="n">
        <v>1</v>
      </c>
      <c r="X54" s="34" t="s">
        <v>33</v>
      </c>
      <c r="Y54" s="35" t="n">
        <v>1000</v>
      </c>
      <c r="Z54" s="36" t="n">
        <v>0</v>
      </c>
      <c r="AA54" s="37" t="n">
        <v>0</v>
      </c>
      <c r="AB54" s="38" t="n">
        <v>0</v>
      </c>
    </row>
    <row r="55" customFormat="false" ht="15.75" hidden="false" customHeight="false" outlineLevel="0" collapsed="false">
      <c r="A55" s="18" t="str">
        <f aca="false">"Scenario"&amp;(ROW()-2)</f>
        <v>Scenario53</v>
      </c>
      <c r="B55" s="18" t="str">
        <f aca="false">O55&amp;" with "&amp;Q55&amp;" / "&amp;X55</f>
        <v>SEP with None / Annual</v>
      </c>
      <c r="C55" s="19" t="n">
        <v>61</v>
      </c>
      <c r="D55" s="20" t="n">
        <v>65</v>
      </c>
      <c r="E55" s="20" t="n">
        <v>90</v>
      </c>
      <c r="F55" s="21" t="n">
        <v>100000</v>
      </c>
      <c r="G55" s="22" t="n">
        <v>0.02</v>
      </c>
      <c r="H55" s="19" t="s">
        <v>34</v>
      </c>
      <c r="I55" s="23" t="n">
        <v>0.03</v>
      </c>
      <c r="J55" s="24" t="n">
        <v>1</v>
      </c>
      <c r="K55" s="25" t="n">
        <v>100000</v>
      </c>
      <c r="L55" s="23" t="n">
        <v>0.18</v>
      </c>
      <c r="M55" s="26" t="n">
        <v>0.025</v>
      </c>
      <c r="N55" s="27" t="s">
        <v>29</v>
      </c>
      <c r="O55" s="27" t="s">
        <v>47</v>
      </c>
      <c r="P55" s="28" t="n">
        <v>2000000</v>
      </c>
      <c r="Q55" s="29" t="s">
        <v>32</v>
      </c>
      <c r="R55" s="27" t="n">
        <v>0</v>
      </c>
      <c r="S55" s="27" t="n">
        <v>0</v>
      </c>
      <c r="T55" s="30" t="n">
        <v>0</v>
      </c>
      <c r="U55" s="31" t="n">
        <v>99999999</v>
      </c>
      <c r="V55" s="32" t="n">
        <v>0</v>
      </c>
      <c r="W55" s="33" t="n">
        <v>1</v>
      </c>
      <c r="X55" s="34" t="s">
        <v>35</v>
      </c>
      <c r="Y55" s="35" t="n">
        <v>100000</v>
      </c>
      <c r="Z55" s="36" t="n">
        <v>0</v>
      </c>
      <c r="AA55" s="37" t="n">
        <v>0</v>
      </c>
      <c r="AB55" s="38" t="n">
        <v>0</v>
      </c>
    </row>
    <row r="56" customFormat="false" ht="15.75" hidden="false" customHeight="false" outlineLevel="0" collapsed="false">
      <c r="A56" s="18" t="str">
        <f aca="false">"Scenario"&amp;(ROW()-2)</f>
        <v>Scenario54</v>
      </c>
      <c r="B56" s="18" t="str">
        <f aca="false">O56&amp;" with "&amp;Q56&amp;" / "&amp;X56</f>
        <v>SEP with None / % of Salary</v>
      </c>
      <c r="C56" s="19" t="n">
        <v>61</v>
      </c>
      <c r="D56" s="20" t="n">
        <v>65</v>
      </c>
      <c r="E56" s="20" t="n">
        <v>90</v>
      </c>
      <c r="F56" s="21" t="n">
        <v>100000</v>
      </c>
      <c r="G56" s="22" t="n">
        <v>0.02</v>
      </c>
      <c r="H56" s="19" t="s">
        <v>28</v>
      </c>
      <c r="I56" s="23" t="n">
        <v>0.03</v>
      </c>
      <c r="J56" s="24" t="n">
        <v>1</v>
      </c>
      <c r="K56" s="25" t="n">
        <v>100000</v>
      </c>
      <c r="L56" s="23" t="n">
        <v>0.18</v>
      </c>
      <c r="M56" s="26" t="n">
        <v>0.025</v>
      </c>
      <c r="N56" s="27" t="s">
        <v>29</v>
      </c>
      <c r="O56" s="27" t="s">
        <v>47</v>
      </c>
      <c r="P56" s="28" t="n">
        <v>2000000</v>
      </c>
      <c r="Q56" s="29" t="s">
        <v>32</v>
      </c>
      <c r="R56" s="27" t="n">
        <v>0</v>
      </c>
      <c r="S56" s="27" t="n">
        <v>0</v>
      </c>
      <c r="T56" s="30" t="n">
        <v>0</v>
      </c>
      <c r="U56" s="31" t="n">
        <v>99999999</v>
      </c>
      <c r="V56" s="32" t="n">
        <v>0</v>
      </c>
      <c r="W56" s="33" t="n">
        <v>1</v>
      </c>
      <c r="X56" s="44" t="s">
        <v>36</v>
      </c>
      <c r="Y56" s="35" t="n">
        <v>0</v>
      </c>
      <c r="Z56" s="36" t="n">
        <v>0.05</v>
      </c>
      <c r="AA56" s="37" t="n">
        <v>0</v>
      </c>
      <c r="AB56" s="38" t="n">
        <v>0</v>
      </c>
    </row>
    <row r="57" customFormat="false" ht="15.75" hidden="false" customHeight="false" outlineLevel="0" collapsed="false">
      <c r="A57" s="18" t="str">
        <f aca="false">"Scenario"&amp;(ROW()-2)</f>
        <v>Scenario55</v>
      </c>
      <c r="B57" s="18" t="str">
        <f aca="false">O57&amp;" with "&amp;Q57&amp;" / "&amp;X57</f>
        <v>SIMPLE with Maximum Allowable / Annual</v>
      </c>
      <c r="C57" s="19" t="n">
        <v>61</v>
      </c>
      <c r="D57" s="20" t="n">
        <v>65</v>
      </c>
      <c r="E57" s="20" t="n">
        <v>90</v>
      </c>
      <c r="F57" s="21" t="n">
        <v>100000</v>
      </c>
      <c r="G57" s="22" t="n">
        <v>0.02</v>
      </c>
      <c r="H57" s="19" t="s">
        <v>28</v>
      </c>
      <c r="I57" s="23" t="n">
        <v>0.05</v>
      </c>
      <c r="J57" s="24" t="n">
        <v>1</v>
      </c>
      <c r="K57" s="25" t="n">
        <v>100000</v>
      </c>
      <c r="L57" s="23" t="n">
        <v>0.18</v>
      </c>
      <c r="M57" s="26" t="n">
        <v>0.025</v>
      </c>
      <c r="N57" s="27" t="s">
        <v>29</v>
      </c>
      <c r="O57" s="27" t="s">
        <v>48</v>
      </c>
      <c r="P57" s="28" t="n">
        <v>2000000</v>
      </c>
      <c r="Q57" s="29" t="s">
        <v>31</v>
      </c>
      <c r="R57" s="27" t="n">
        <v>0</v>
      </c>
      <c r="S57" s="27" t="n">
        <v>0</v>
      </c>
      <c r="T57" s="30" t="n">
        <v>0</v>
      </c>
      <c r="U57" s="31" t="n">
        <v>99999999</v>
      </c>
      <c r="V57" s="32" t="n">
        <v>0</v>
      </c>
      <c r="W57" s="33" t="n">
        <v>1</v>
      </c>
      <c r="X57" s="34" t="s">
        <v>35</v>
      </c>
      <c r="Y57" s="35" t="n">
        <v>5000</v>
      </c>
      <c r="Z57" s="36" t="n">
        <v>0</v>
      </c>
      <c r="AA57" s="37" t="n">
        <v>0</v>
      </c>
      <c r="AB57" s="38" t="n">
        <v>0</v>
      </c>
    </row>
    <row r="58" customFormat="false" ht="15.75" hidden="false" customHeight="false" outlineLevel="0" collapsed="false">
      <c r="A58" s="18" t="str">
        <f aca="false">"Scenario"&amp;(ROW()-2)</f>
        <v>Scenario56</v>
      </c>
      <c r="B58" s="18" t="str">
        <f aca="false">O58&amp;" with "&amp;Q58&amp;" / "&amp;X58</f>
        <v>SIMPLE with Monthly / Monthly</v>
      </c>
      <c r="C58" s="19" t="n">
        <v>61</v>
      </c>
      <c r="D58" s="20" t="n">
        <v>65</v>
      </c>
      <c r="E58" s="20" t="n">
        <v>90</v>
      </c>
      <c r="F58" s="21" t="n">
        <v>100000</v>
      </c>
      <c r="G58" s="22" t="n">
        <v>0.02</v>
      </c>
      <c r="H58" s="19" t="s">
        <v>28</v>
      </c>
      <c r="I58" s="23" t="n">
        <v>0.08</v>
      </c>
      <c r="J58" s="24" t="n">
        <v>1</v>
      </c>
      <c r="K58" s="25" t="n">
        <v>100000</v>
      </c>
      <c r="L58" s="23" t="n">
        <v>0.18</v>
      </c>
      <c r="M58" s="26" t="n">
        <v>0.025</v>
      </c>
      <c r="N58" s="27" t="s">
        <v>29</v>
      </c>
      <c r="O58" s="27" t="s">
        <v>48</v>
      </c>
      <c r="P58" s="28" t="n">
        <v>2000000</v>
      </c>
      <c r="Q58" s="29" t="s">
        <v>33</v>
      </c>
      <c r="R58" s="27" t="n">
        <v>1000</v>
      </c>
      <c r="S58" s="27" t="n">
        <v>0</v>
      </c>
      <c r="T58" s="30" t="n">
        <v>0</v>
      </c>
      <c r="U58" s="31" t="n">
        <v>99999999</v>
      </c>
      <c r="V58" s="32" t="n">
        <v>0</v>
      </c>
      <c r="W58" s="33" t="n">
        <v>1</v>
      </c>
      <c r="X58" s="34" t="s">
        <v>33</v>
      </c>
      <c r="Y58" s="35" t="n">
        <v>1000</v>
      </c>
      <c r="Z58" s="36" t="n">
        <v>0</v>
      </c>
      <c r="AA58" s="37" t="n">
        <v>0</v>
      </c>
      <c r="AB58" s="38" t="n">
        <v>0</v>
      </c>
    </row>
    <row r="59" customFormat="false" ht="15.75" hidden="false" customHeight="false" outlineLevel="0" collapsed="false">
      <c r="A59" s="18" t="str">
        <f aca="false">"Scenario"&amp;(ROW()-2)</f>
        <v>Scenario57</v>
      </c>
      <c r="B59" s="18" t="str">
        <f aca="false">O59&amp;" with "&amp;Q59&amp;" / "&amp;X59</f>
        <v>SIMPLE with Annual / Annual</v>
      </c>
      <c r="C59" s="19" t="n">
        <v>61</v>
      </c>
      <c r="D59" s="20" t="n">
        <v>65</v>
      </c>
      <c r="E59" s="20" t="n">
        <v>90</v>
      </c>
      <c r="F59" s="21" t="n">
        <v>100000</v>
      </c>
      <c r="G59" s="22" t="n">
        <v>0.02</v>
      </c>
      <c r="H59" s="19" t="s">
        <v>34</v>
      </c>
      <c r="I59" s="23" t="n">
        <v>0.07</v>
      </c>
      <c r="J59" s="24" t="n">
        <v>1</v>
      </c>
      <c r="K59" s="25" t="n">
        <v>100000</v>
      </c>
      <c r="L59" s="23" t="n">
        <v>0.18</v>
      </c>
      <c r="M59" s="26" t="n">
        <v>0.025</v>
      </c>
      <c r="N59" s="27" t="s">
        <v>29</v>
      </c>
      <c r="O59" s="27" t="s">
        <v>48</v>
      </c>
      <c r="P59" s="28" t="n">
        <v>2000000</v>
      </c>
      <c r="Q59" s="29" t="s">
        <v>35</v>
      </c>
      <c r="R59" s="27" t="n">
        <v>25000</v>
      </c>
      <c r="S59" s="27" t="n">
        <v>0</v>
      </c>
      <c r="T59" s="30" t="n">
        <v>0</v>
      </c>
      <c r="U59" s="31" t="n">
        <v>99999999</v>
      </c>
      <c r="V59" s="32" t="n">
        <v>0</v>
      </c>
      <c r="W59" s="33" t="n">
        <v>1</v>
      </c>
      <c r="X59" s="34" t="s">
        <v>35</v>
      </c>
      <c r="Y59" s="35" t="n">
        <v>30000</v>
      </c>
      <c r="Z59" s="36" t="n">
        <v>0</v>
      </c>
      <c r="AA59" s="37" t="n">
        <v>0</v>
      </c>
      <c r="AB59" s="38" t="n">
        <v>0</v>
      </c>
    </row>
    <row r="60" customFormat="false" ht="15.75" hidden="false" customHeight="false" outlineLevel="0" collapsed="false">
      <c r="A60" s="18" t="str">
        <f aca="false">"Scenario"&amp;(ROW()-2)</f>
        <v>Scenario58</v>
      </c>
      <c r="B60" s="18" t="str">
        <f aca="false">O60&amp;" with "&amp;Q60&amp;" / "&amp;X60</f>
        <v>SIMPLE with % of Salary / % of Salary</v>
      </c>
      <c r="C60" s="19" t="n">
        <v>61</v>
      </c>
      <c r="D60" s="20" t="n">
        <v>65</v>
      </c>
      <c r="E60" s="20" t="n">
        <v>90</v>
      </c>
      <c r="F60" s="21" t="n">
        <v>100000</v>
      </c>
      <c r="G60" s="22" t="n">
        <v>0.02</v>
      </c>
      <c r="H60" s="19" t="s">
        <v>28</v>
      </c>
      <c r="I60" s="23" t="n">
        <v>0.07</v>
      </c>
      <c r="J60" s="24" t="n">
        <v>1</v>
      </c>
      <c r="K60" s="25" t="n">
        <v>100000</v>
      </c>
      <c r="L60" s="23" t="n">
        <v>0.18</v>
      </c>
      <c r="M60" s="26" t="n">
        <v>0.025</v>
      </c>
      <c r="N60" s="27" t="s">
        <v>29</v>
      </c>
      <c r="O60" s="27" t="s">
        <v>48</v>
      </c>
      <c r="P60" s="28" t="n">
        <v>2000000</v>
      </c>
      <c r="Q60" s="29" t="s">
        <v>36</v>
      </c>
      <c r="R60" s="27" t="n">
        <v>0</v>
      </c>
      <c r="S60" s="39" t="n">
        <v>0.05</v>
      </c>
      <c r="T60" s="30" t="n">
        <v>0</v>
      </c>
      <c r="U60" s="31" t="n">
        <v>99999999</v>
      </c>
      <c r="V60" s="32" t="n">
        <v>0</v>
      </c>
      <c r="W60" s="33" t="n">
        <v>1</v>
      </c>
      <c r="X60" s="44" t="s">
        <v>36</v>
      </c>
      <c r="Y60" s="35" t="n">
        <v>0</v>
      </c>
      <c r="Z60" s="36" t="n">
        <v>0.05</v>
      </c>
      <c r="AA60" s="37" t="n">
        <v>0</v>
      </c>
      <c r="AB60" s="38" t="n">
        <v>0</v>
      </c>
    </row>
    <row r="61" customFormat="false" ht="15.75" hidden="false" customHeight="false" outlineLevel="0" collapsed="false">
      <c r="A61" s="18" t="str">
        <f aca="false">"Scenario"&amp;(ROW()-2)</f>
        <v>Scenario59</v>
      </c>
      <c r="B61" s="18" t="str">
        <f aca="false">O61&amp;" with "&amp;Q61&amp;" / "&amp;X61</f>
        <v>SIMPLE with % of Salary / Match</v>
      </c>
      <c r="C61" s="19" t="n">
        <v>61</v>
      </c>
      <c r="D61" s="20" t="n">
        <v>65</v>
      </c>
      <c r="E61" s="20" t="n">
        <v>90</v>
      </c>
      <c r="F61" s="21" t="n">
        <v>100000</v>
      </c>
      <c r="G61" s="22" t="n">
        <v>0.02</v>
      </c>
      <c r="H61" s="19" t="s">
        <v>34</v>
      </c>
      <c r="I61" s="23" t="n">
        <v>0.07</v>
      </c>
      <c r="J61" s="24" t="n">
        <v>1</v>
      </c>
      <c r="K61" s="25" t="n">
        <v>100000</v>
      </c>
      <c r="L61" s="23" t="n">
        <v>0.18</v>
      </c>
      <c r="M61" s="26" t="n">
        <v>0.025</v>
      </c>
      <c r="N61" s="27" t="s">
        <v>29</v>
      </c>
      <c r="O61" s="27" t="s">
        <v>48</v>
      </c>
      <c r="P61" s="28" t="n">
        <v>2000000</v>
      </c>
      <c r="Q61" s="29" t="s">
        <v>36</v>
      </c>
      <c r="R61" s="27" t="n">
        <v>0</v>
      </c>
      <c r="S61" s="39" t="n">
        <v>0.05</v>
      </c>
      <c r="T61" s="30" t="n">
        <v>0</v>
      </c>
      <c r="U61" s="31" t="n">
        <v>99999999</v>
      </c>
      <c r="V61" s="32" t="n">
        <v>0</v>
      </c>
      <c r="W61" s="33" t="n">
        <v>1</v>
      </c>
      <c r="X61" s="44" t="s">
        <v>39</v>
      </c>
      <c r="Y61" s="35" t="n">
        <v>0</v>
      </c>
      <c r="Z61" s="36" t="n">
        <v>0</v>
      </c>
      <c r="AA61" s="37" t="n">
        <v>0.5</v>
      </c>
      <c r="AB61" s="38" t="n">
        <v>0.08</v>
      </c>
    </row>
    <row r="62" customFormat="false" ht="15.75" hidden="false" customHeight="false" outlineLevel="0" collapsed="false">
      <c r="A62" s="47" t="str">
        <f aca="false">"Scenario"&amp;(ROW()-2)</f>
        <v>Scenario60</v>
      </c>
      <c r="B62" s="18" t="str">
        <f aca="false">O62&amp;" with "&amp;Q62&amp;" / "&amp;X62</f>
        <v>401a with Annual / Annual</v>
      </c>
      <c r="C62" s="19" t="n">
        <v>61</v>
      </c>
      <c r="D62" s="19" t="n">
        <v>65</v>
      </c>
      <c r="E62" s="19" t="n">
        <v>90</v>
      </c>
      <c r="F62" s="21" t="n">
        <v>100000</v>
      </c>
      <c r="G62" s="22" t="n">
        <v>0.02</v>
      </c>
      <c r="H62" s="19" t="s">
        <v>28</v>
      </c>
      <c r="I62" s="48" t="n">
        <v>0.08</v>
      </c>
      <c r="J62" s="25" t="n">
        <v>1</v>
      </c>
      <c r="K62" s="25" t="n">
        <v>100000</v>
      </c>
      <c r="L62" s="48" t="n">
        <v>0.18</v>
      </c>
      <c r="M62" s="49" t="n">
        <v>0.025</v>
      </c>
      <c r="N62" s="50" t="s">
        <v>29</v>
      </c>
      <c r="O62" s="50" t="s">
        <v>49</v>
      </c>
      <c r="P62" s="51" t="n">
        <v>2000000</v>
      </c>
      <c r="Q62" s="52" t="s">
        <v>35</v>
      </c>
      <c r="R62" s="50" t="n">
        <v>10000</v>
      </c>
      <c r="S62" s="50" t="n">
        <v>0</v>
      </c>
      <c r="T62" s="53" t="n">
        <v>0</v>
      </c>
      <c r="U62" s="31" t="n">
        <v>99999999</v>
      </c>
      <c r="V62" s="32" t="n">
        <v>0</v>
      </c>
      <c r="W62" s="33" t="n">
        <v>1</v>
      </c>
      <c r="X62" s="45" t="s">
        <v>35</v>
      </c>
      <c r="Y62" s="40" t="n">
        <v>10000</v>
      </c>
      <c r="Z62" s="41" t="n">
        <v>0</v>
      </c>
      <c r="AA62" s="42" t="n">
        <v>0</v>
      </c>
      <c r="AB62" s="43" t="n">
        <v>0</v>
      </c>
    </row>
    <row r="63" customFormat="false" ht="15.75" hidden="false" customHeight="false" outlineLevel="0" collapsed="false">
      <c r="A63" s="18" t="str">
        <f aca="false">"Scenario"&amp;(ROW()-2)</f>
        <v>Scenario61</v>
      </c>
      <c r="B63" s="18" t="str">
        <f aca="false">O63&amp;" with "&amp;Q63&amp;" / "&amp;X63</f>
        <v>401a with Monthly / Monthly</v>
      </c>
      <c r="C63" s="19" t="n">
        <v>61</v>
      </c>
      <c r="D63" s="20" t="n">
        <v>65</v>
      </c>
      <c r="E63" s="20" t="n">
        <v>90</v>
      </c>
      <c r="F63" s="21" t="n">
        <v>100000</v>
      </c>
      <c r="G63" s="22" t="n">
        <v>0.02</v>
      </c>
      <c r="H63" s="19" t="s">
        <v>28</v>
      </c>
      <c r="I63" s="23" t="n">
        <v>0.07</v>
      </c>
      <c r="J63" s="24" t="n">
        <v>1</v>
      </c>
      <c r="K63" s="25" t="n">
        <v>100000</v>
      </c>
      <c r="L63" s="23" t="n">
        <v>0.18</v>
      </c>
      <c r="M63" s="26" t="n">
        <v>0.025</v>
      </c>
      <c r="N63" s="27" t="s">
        <v>29</v>
      </c>
      <c r="O63" s="27" t="s">
        <v>49</v>
      </c>
      <c r="P63" s="28" t="n">
        <v>2000000</v>
      </c>
      <c r="Q63" s="29" t="s">
        <v>33</v>
      </c>
      <c r="R63" s="27" t="n">
        <v>2000</v>
      </c>
      <c r="S63" s="27" t="n">
        <v>0</v>
      </c>
      <c r="T63" s="30" t="n">
        <v>0</v>
      </c>
      <c r="U63" s="31" t="n">
        <v>99999999</v>
      </c>
      <c r="V63" s="32" t="n">
        <v>0</v>
      </c>
      <c r="W63" s="33" t="n">
        <v>1</v>
      </c>
      <c r="X63" s="45" t="s">
        <v>33</v>
      </c>
      <c r="Y63" s="40" t="n">
        <v>1000</v>
      </c>
      <c r="Z63" s="41" t="n">
        <v>0</v>
      </c>
      <c r="AA63" s="42" t="n">
        <v>0</v>
      </c>
      <c r="AB63" s="43" t="n">
        <v>0</v>
      </c>
    </row>
    <row r="64" customFormat="false" ht="15.75" hidden="false" customHeight="false" outlineLevel="0" collapsed="false">
      <c r="A64" s="18" t="str">
        <f aca="false">"Scenario"&amp;(ROW()-2)</f>
        <v>Scenario62</v>
      </c>
      <c r="B64" s="18" t="str">
        <f aca="false">O64&amp;" with "&amp;Q64&amp;" / "&amp;X64</f>
        <v>401a with Annual / Annual</v>
      </c>
      <c r="C64" s="19" t="n">
        <v>61</v>
      </c>
      <c r="D64" s="20" t="n">
        <v>65</v>
      </c>
      <c r="E64" s="20" t="n">
        <v>90</v>
      </c>
      <c r="F64" s="21" t="n">
        <v>100000</v>
      </c>
      <c r="G64" s="22" t="n">
        <v>0.02</v>
      </c>
      <c r="H64" s="19" t="s">
        <v>34</v>
      </c>
      <c r="I64" s="23" t="n">
        <v>0.05</v>
      </c>
      <c r="J64" s="24" t="n">
        <v>1</v>
      </c>
      <c r="K64" s="25" t="n">
        <v>100000</v>
      </c>
      <c r="L64" s="23" t="n">
        <v>0.18</v>
      </c>
      <c r="M64" s="26" t="n">
        <v>0.025</v>
      </c>
      <c r="N64" s="27" t="s">
        <v>29</v>
      </c>
      <c r="O64" s="27" t="s">
        <v>49</v>
      </c>
      <c r="P64" s="28" t="n">
        <v>2000000</v>
      </c>
      <c r="Q64" s="29" t="s">
        <v>35</v>
      </c>
      <c r="R64" s="27" t="n">
        <v>25000</v>
      </c>
      <c r="S64" s="27" t="n">
        <v>0</v>
      </c>
      <c r="T64" s="30" t="n">
        <v>0</v>
      </c>
      <c r="U64" s="31" t="n">
        <v>99999999</v>
      </c>
      <c r="V64" s="32" t="n">
        <v>0</v>
      </c>
      <c r="W64" s="33" t="n">
        <v>1</v>
      </c>
      <c r="X64" s="34" t="s">
        <v>35</v>
      </c>
      <c r="Y64" s="40" t="n">
        <v>30000</v>
      </c>
      <c r="Z64" s="41" t="n">
        <v>0</v>
      </c>
      <c r="AA64" s="42" t="n">
        <v>0</v>
      </c>
      <c r="AB64" s="43" t="n">
        <v>0</v>
      </c>
    </row>
    <row r="65" customFormat="false" ht="15.75" hidden="false" customHeight="false" outlineLevel="0" collapsed="false">
      <c r="A65" s="18" t="str">
        <f aca="false">"Scenario"&amp;(ROW()-2)</f>
        <v>Scenario63</v>
      </c>
      <c r="B65" s="18" t="str">
        <f aca="false">O65&amp;" with "&amp;Q65&amp;" / "&amp;X65</f>
        <v>401a with % of Salary / % of Salary</v>
      </c>
      <c r="C65" s="19" t="n">
        <v>61</v>
      </c>
      <c r="D65" s="20" t="n">
        <v>65</v>
      </c>
      <c r="E65" s="20" t="n">
        <v>90</v>
      </c>
      <c r="F65" s="21" t="n">
        <v>100000</v>
      </c>
      <c r="G65" s="22" t="n">
        <v>0.02</v>
      </c>
      <c r="H65" s="19" t="s">
        <v>28</v>
      </c>
      <c r="I65" s="23" t="n">
        <v>0.05</v>
      </c>
      <c r="J65" s="24" t="n">
        <v>1</v>
      </c>
      <c r="K65" s="25" t="n">
        <v>100000</v>
      </c>
      <c r="L65" s="23" t="n">
        <v>0.18</v>
      </c>
      <c r="M65" s="26" t="n">
        <v>0.025</v>
      </c>
      <c r="N65" s="27" t="s">
        <v>29</v>
      </c>
      <c r="O65" s="27" t="s">
        <v>49</v>
      </c>
      <c r="P65" s="28" t="n">
        <v>2000000</v>
      </c>
      <c r="Q65" s="29" t="s">
        <v>36</v>
      </c>
      <c r="R65" s="27" t="n">
        <v>0</v>
      </c>
      <c r="S65" s="39" t="n">
        <v>0.05</v>
      </c>
      <c r="T65" s="30" t="n">
        <v>0</v>
      </c>
      <c r="U65" s="31" t="n">
        <v>99999999</v>
      </c>
      <c r="V65" s="32" t="n">
        <v>0</v>
      </c>
      <c r="W65" s="33" t="n">
        <v>1</v>
      </c>
      <c r="X65" s="44" t="s">
        <v>36</v>
      </c>
      <c r="Y65" s="40" t="n">
        <v>0</v>
      </c>
      <c r="Z65" s="41" t="n">
        <v>0.05</v>
      </c>
      <c r="AA65" s="42" t="n">
        <v>0</v>
      </c>
      <c r="AB65" s="43" t="n">
        <v>0</v>
      </c>
    </row>
    <row r="66" customFormat="false" ht="15.75" hidden="false" customHeight="false" outlineLevel="0" collapsed="false">
      <c r="A66" s="18" t="str">
        <f aca="false">"Scenario"&amp;(ROW()-2)</f>
        <v>Scenario64</v>
      </c>
      <c r="B66" s="18" t="str">
        <f aca="false">O66&amp;" with "&amp;Q66&amp;" / "&amp;X66</f>
        <v>401a with % of Salary / Match</v>
      </c>
      <c r="C66" s="19" t="n">
        <v>61</v>
      </c>
      <c r="D66" s="20" t="n">
        <v>65</v>
      </c>
      <c r="E66" s="20" t="n">
        <v>90</v>
      </c>
      <c r="F66" s="21" t="n">
        <v>100000</v>
      </c>
      <c r="G66" s="22" t="n">
        <v>0.02</v>
      </c>
      <c r="H66" s="19" t="s">
        <v>34</v>
      </c>
      <c r="I66" s="23" t="n">
        <v>0.03</v>
      </c>
      <c r="J66" s="24" t="n">
        <v>1</v>
      </c>
      <c r="K66" s="25" t="n">
        <v>100000</v>
      </c>
      <c r="L66" s="23" t="n">
        <v>0.18</v>
      </c>
      <c r="M66" s="26" t="n">
        <v>0.025</v>
      </c>
      <c r="N66" s="27" t="s">
        <v>29</v>
      </c>
      <c r="O66" s="27" t="s">
        <v>49</v>
      </c>
      <c r="P66" s="28" t="n">
        <v>2000000</v>
      </c>
      <c r="Q66" s="29" t="s">
        <v>36</v>
      </c>
      <c r="R66" s="27" t="n">
        <v>0</v>
      </c>
      <c r="S66" s="39" t="n">
        <v>0.05</v>
      </c>
      <c r="T66" s="30" t="n">
        <v>0</v>
      </c>
      <c r="U66" s="31" t="n">
        <v>99999999</v>
      </c>
      <c r="V66" s="32" t="n">
        <v>0</v>
      </c>
      <c r="W66" s="33" t="n">
        <v>1</v>
      </c>
      <c r="X66" s="44" t="s">
        <v>39</v>
      </c>
      <c r="Y66" s="40" t="n">
        <v>0</v>
      </c>
      <c r="Z66" s="41" t="n">
        <v>0</v>
      </c>
      <c r="AA66" s="42" t="n">
        <v>0.5</v>
      </c>
      <c r="AB66" s="43" t="n">
        <v>0.08</v>
      </c>
    </row>
    <row r="67" customFormat="false" ht="15.75" hidden="false" customHeight="false" outlineLevel="0" collapsed="false">
      <c r="U67" s="54"/>
      <c r="V67" s="54"/>
    </row>
    <row r="68" customFormat="false" ht="15.75" hidden="false" customHeight="false" outlineLevel="0" collapsed="false">
      <c r="A68" s="18"/>
      <c r="B68" s="18" t="str">
        <f aca="false">O68&amp;" with "&amp;Q68&amp;" / "&amp;X68</f>
        <v>Roth 403b with None / Maximum Allowable</v>
      </c>
      <c r="C68" s="19" t="n">
        <v>61</v>
      </c>
      <c r="D68" s="20" t="n">
        <v>65</v>
      </c>
      <c r="E68" s="20" t="n">
        <v>90</v>
      </c>
      <c r="F68" s="21" t="n">
        <v>100000</v>
      </c>
      <c r="G68" s="22" t="n">
        <v>0.02</v>
      </c>
      <c r="H68" s="19" t="s">
        <v>28</v>
      </c>
      <c r="I68" s="23" t="n">
        <v>0.06</v>
      </c>
      <c r="J68" s="24" t="n">
        <v>1</v>
      </c>
      <c r="K68" s="25" t="n">
        <v>100000</v>
      </c>
      <c r="L68" s="23" t="n">
        <v>0.18</v>
      </c>
      <c r="M68" s="26" t="n">
        <v>0.025</v>
      </c>
      <c r="N68" s="27" t="s">
        <v>29</v>
      </c>
      <c r="O68" s="27" t="s">
        <v>50</v>
      </c>
      <c r="P68" s="28" t="n">
        <v>2000000</v>
      </c>
      <c r="Q68" s="29" t="s">
        <v>32</v>
      </c>
      <c r="R68" s="27" t="n">
        <v>0</v>
      </c>
      <c r="S68" s="27" t="n">
        <v>0</v>
      </c>
      <c r="T68" s="30" t="n">
        <v>0</v>
      </c>
      <c r="U68" s="31" t="n">
        <v>99999999</v>
      </c>
      <c r="V68" s="32" t="n">
        <v>0</v>
      </c>
      <c r="W68" s="33" t="n">
        <v>1</v>
      </c>
      <c r="X68" s="34" t="s">
        <v>31</v>
      </c>
      <c r="Y68" s="35" t="n">
        <v>0</v>
      </c>
      <c r="Z68" s="36" t="n">
        <v>0</v>
      </c>
      <c r="AA68" s="37" t="n">
        <v>0</v>
      </c>
      <c r="AB68" s="38" t="n">
        <v>0</v>
      </c>
    </row>
    <row r="69" customFormat="false" ht="15.75" hidden="false" customHeight="false" outlineLevel="0" collapsed="false">
      <c r="A69" s="18"/>
      <c r="B69" s="18" t="str">
        <f aca="false">O69&amp;" with "&amp;Q69&amp;" / "&amp;X69</f>
        <v>Roth 403b with Monthly / Monthly</v>
      </c>
      <c r="C69" s="19" t="n">
        <v>61</v>
      </c>
      <c r="D69" s="20" t="n">
        <v>65</v>
      </c>
      <c r="E69" s="20" t="n">
        <v>90</v>
      </c>
      <c r="F69" s="21" t="n">
        <v>100000</v>
      </c>
      <c r="G69" s="22" t="n">
        <v>0.02</v>
      </c>
      <c r="H69" s="19" t="s">
        <v>28</v>
      </c>
      <c r="I69" s="23" t="n">
        <v>0</v>
      </c>
      <c r="J69" s="24" t="n">
        <v>1</v>
      </c>
      <c r="K69" s="25" t="n">
        <v>100000</v>
      </c>
      <c r="L69" s="23" t="n">
        <v>0.18</v>
      </c>
      <c r="M69" s="26" t="n">
        <v>0.025</v>
      </c>
      <c r="N69" s="27" t="s">
        <v>29</v>
      </c>
      <c r="O69" s="27" t="s">
        <v>50</v>
      </c>
      <c r="P69" s="28" t="n">
        <v>2000000</v>
      </c>
      <c r="Q69" s="29" t="s">
        <v>33</v>
      </c>
      <c r="R69" s="27" t="n">
        <v>2000</v>
      </c>
      <c r="S69" s="27" t="n">
        <v>0</v>
      </c>
      <c r="T69" s="30" t="n">
        <v>0</v>
      </c>
      <c r="U69" s="31" t="n">
        <v>99999999</v>
      </c>
      <c r="V69" s="32" t="n">
        <v>0</v>
      </c>
      <c r="W69" s="33" t="n">
        <v>1</v>
      </c>
      <c r="X69" s="45" t="s">
        <v>33</v>
      </c>
      <c r="Y69" s="35" t="n">
        <v>1000</v>
      </c>
      <c r="Z69" s="36" t="n">
        <v>0</v>
      </c>
      <c r="AA69" s="37" t="n">
        <v>0</v>
      </c>
      <c r="AB69" s="38" t="n">
        <v>0</v>
      </c>
    </row>
    <row r="70" customFormat="false" ht="15.75" hidden="false" customHeight="false" outlineLevel="0" collapsed="false">
      <c r="A70" s="18"/>
      <c r="B70" s="18" t="str">
        <f aca="false">O70&amp;" with "&amp;Q70&amp;" / "&amp;X70</f>
        <v>Roth 403b with Annual / Annual</v>
      </c>
      <c r="C70" s="19" t="n">
        <v>61</v>
      </c>
      <c r="D70" s="20" t="n">
        <v>65</v>
      </c>
      <c r="E70" s="20" t="n">
        <v>90</v>
      </c>
      <c r="F70" s="21" t="n">
        <v>100000</v>
      </c>
      <c r="G70" s="22" t="n">
        <v>0.02</v>
      </c>
      <c r="H70" s="19" t="s">
        <v>34</v>
      </c>
      <c r="I70" s="23" t="n">
        <v>0.06</v>
      </c>
      <c r="J70" s="24" t="n">
        <v>1</v>
      </c>
      <c r="K70" s="25" t="n">
        <v>100000</v>
      </c>
      <c r="L70" s="23" t="n">
        <v>0.18</v>
      </c>
      <c r="M70" s="26" t="n">
        <v>0.025</v>
      </c>
      <c r="N70" s="27" t="s">
        <v>29</v>
      </c>
      <c r="O70" s="27" t="s">
        <v>50</v>
      </c>
      <c r="P70" s="28" t="n">
        <v>2000000</v>
      </c>
      <c r="Q70" s="29" t="s">
        <v>35</v>
      </c>
      <c r="R70" s="27" t="n">
        <v>25000</v>
      </c>
      <c r="S70" s="27" t="n">
        <v>0</v>
      </c>
      <c r="T70" s="30" t="n">
        <v>0</v>
      </c>
      <c r="U70" s="31" t="n">
        <v>99999999</v>
      </c>
      <c r="V70" s="32" t="n">
        <v>0</v>
      </c>
      <c r="W70" s="33" t="n">
        <v>1</v>
      </c>
      <c r="X70" s="45" t="s">
        <v>35</v>
      </c>
      <c r="Y70" s="35" t="n">
        <v>30000</v>
      </c>
      <c r="Z70" s="36" t="n">
        <v>0</v>
      </c>
      <c r="AA70" s="37" t="n">
        <v>0</v>
      </c>
      <c r="AB70" s="38" t="n">
        <v>0</v>
      </c>
    </row>
    <row r="71" customFormat="false" ht="15.75" hidden="false" customHeight="false" outlineLevel="0" collapsed="false">
      <c r="A71" s="18"/>
      <c r="B71" s="18" t="str">
        <f aca="false">O71&amp;" with "&amp;Q71&amp;" / "&amp;X71</f>
        <v>Roth 403b with % of Salary / % of Salary</v>
      </c>
      <c r="C71" s="19" t="n">
        <v>61</v>
      </c>
      <c r="D71" s="20" t="n">
        <v>65</v>
      </c>
      <c r="E71" s="20" t="n">
        <v>90</v>
      </c>
      <c r="F71" s="21" t="n">
        <v>100000</v>
      </c>
      <c r="G71" s="22" t="n">
        <v>0.02</v>
      </c>
      <c r="H71" s="19" t="s">
        <v>28</v>
      </c>
      <c r="I71" s="23" t="n">
        <v>0.06</v>
      </c>
      <c r="J71" s="24" t="n">
        <v>1</v>
      </c>
      <c r="K71" s="25" t="n">
        <v>100000</v>
      </c>
      <c r="L71" s="23" t="n">
        <v>0.18</v>
      </c>
      <c r="M71" s="26" t="n">
        <v>0.025</v>
      </c>
      <c r="N71" s="27" t="s">
        <v>29</v>
      </c>
      <c r="O71" s="27" t="s">
        <v>50</v>
      </c>
      <c r="P71" s="28" t="n">
        <v>2000000</v>
      </c>
      <c r="Q71" s="29" t="s">
        <v>36</v>
      </c>
      <c r="R71" s="27" t="n">
        <v>0</v>
      </c>
      <c r="S71" s="39" t="n">
        <v>0.05</v>
      </c>
      <c r="T71" s="30" t="n">
        <v>0</v>
      </c>
      <c r="U71" s="31" t="n">
        <v>99999999</v>
      </c>
      <c r="V71" s="32" t="n">
        <v>0</v>
      </c>
      <c r="W71" s="33" t="n">
        <v>1</v>
      </c>
      <c r="X71" s="44" t="s">
        <v>36</v>
      </c>
      <c r="Y71" s="35" t="n">
        <v>0</v>
      </c>
      <c r="Z71" s="36" t="n">
        <v>0.05</v>
      </c>
      <c r="AA71" s="37" t="n">
        <v>0</v>
      </c>
      <c r="AB71" s="38" t="n">
        <v>0</v>
      </c>
    </row>
    <row r="72" customFormat="false" ht="15.75" hidden="false" customHeight="false" outlineLevel="0" collapsed="false">
      <c r="A72" s="18"/>
      <c r="B72" s="18" t="str">
        <f aca="false">O72&amp;" with "&amp;Q72&amp;" / "&amp;X72</f>
        <v>Roth 403b with % of Salary / Match</v>
      </c>
      <c r="C72" s="19" t="n">
        <v>61</v>
      </c>
      <c r="D72" s="20" t="n">
        <v>65</v>
      </c>
      <c r="E72" s="20" t="n">
        <v>90</v>
      </c>
      <c r="F72" s="21" t="n">
        <v>100000</v>
      </c>
      <c r="G72" s="22" t="n">
        <v>0.02</v>
      </c>
      <c r="H72" s="19" t="s">
        <v>34</v>
      </c>
      <c r="I72" s="23" t="n">
        <v>0.06</v>
      </c>
      <c r="J72" s="24" t="n">
        <v>1</v>
      </c>
      <c r="K72" s="25" t="n">
        <v>100000</v>
      </c>
      <c r="L72" s="23" t="n">
        <v>0.18</v>
      </c>
      <c r="M72" s="26" t="n">
        <v>0.025</v>
      </c>
      <c r="N72" s="27" t="s">
        <v>29</v>
      </c>
      <c r="O72" s="27" t="s">
        <v>50</v>
      </c>
      <c r="P72" s="28" t="n">
        <v>2000000</v>
      </c>
      <c r="Q72" s="29" t="s">
        <v>36</v>
      </c>
      <c r="R72" s="27" t="n">
        <v>0</v>
      </c>
      <c r="S72" s="39" t="n">
        <v>0.05</v>
      </c>
      <c r="T72" s="30" t="n">
        <v>0</v>
      </c>
      <c r="U72" s="31" t="n">
        <v>99999999</v>
      </c>
      <c r="V72" s="32" t="n">
        <v>0</v>
      </c>
      <c r="W72" s="33" t="n">
        <v>1</v>
      </c>
      <c r="X72" s="44" t="s">
        <v>39</v>
      </c>
      <c r="Y72" s="35" t="n">
        <v>0</v>
      </c>
      <c r="Z72" s="36" t="n">
        <v>0</v>
      </c>
      <c r="AA72" s="37" t="n">
        <v>0.5</v>
      </c>
      <c r="AB72" s="38" t="n">
        <v>0.08</v>
      </c>
    </row>
    <row r="73" customFormat="false" ht="15.75" hidden="false" customHeight="false" outlineLevel="0" collapsed="false">
      <c r="A73" s="18"/>
      <c r="B73" s="18" t="str">
        <f aca="false">O73&amp;" with "&amp;Q73&amp;" / "&amp;X73</f>
        <v>Roth 457b with Maximum Allowable / Maximum Allowable</v>
      </c>
      <c r="C73" s="19" t="n">
        <v>61</v>
      </c>
      <c r="D73" s="20" t="n">
        <v>65</v>
      </c>
      <c r="E73" s="20" t="n">
        <v>90</v>
      </c>
      <c r="F73" s="21" t="n">
        <v>100000</v>
      </c>
      <c r="G73" s="22" t="n">
        <v>0.02</v>
      </c>
      <c r="H73" s="19" t="s">
        <v>28</v>
      </c>
      <c r="I73" s="23" t="n">
        <v>0.05</v>
      </c>
      <c r="J73" s="24" t="n">
        <v>1</v>
      </c>
      <c r="K73" s="25" t="n">
        <v>100000</v>
      </c>
      <c r="L73" s="23" t="n">
        <v>0.18</v>
      </c>
      <c r="M73" s="26" t="n">
        <v>0.025</v>
      </c>
      <c r="N73" s="27" t="s">
        <v>29</v>
      </c>
      <c r="O73" s="27" t="s">
        <v>51</v>
      </c>
      <c r="P73" s="28" t="n">
        <v>2000000</v>
      </c>
      <c r="Q73" s="29" t="s">
        <v>31</v>
      </c>
      <c r="R73" s="27" t="n">
        <v>0</v>
      </c>
      <c r="S73" s="27" t="n">
        <v>0</v>
      </c>
      <c r="T73" s="30" t="n">
        <v>0</v>
      </c>
      <c r="U73" s="31" t="n">
        <v>99999999</v>
      </c>
      <c r="V73" s="32" t="n">
        <v>0</v>
      </c>
      <c r="W73" s="33" t="n">
        <v>1</v>
      </c>
      <c r="X73" s="34" t="s">
        <v>31</v>
      </c>
      <c r="Y73" s="35" t="n">
        <v>0</v>
      </c>
      <c r="Z73" s="36" t="n">
        <v>0</v>
      </c>
      <c r="AA73" s="37" t="n">
        <v>0</v>
      </c>
      <c r="AB73" s="38" t="n">
        <v>0</v>
      </c>
    </row>
    <row r="74" customFormat="false" ht="15.75" hidden="false" customHeight="false" outlineLevel="0" collapsed="false">
      <c r="A74" s="18"/>
      <c r="B74" s="18" t="str">
        <f aca="false">O74&amp;" with "&amp;Q74&amp;" / "&amp;X74</f>
        <v>Roth 457b with Monthly / Monthly</v>
      </c>
      <c r="C74" s="19" t="n">
        <v>48</v>
      </c>
      <c r="D74" s="20" t="n">
        <v>65</v>
      </c>
      <c r="E74" s="20" t="n">
        <v>90</v>
      </c>
      <c r="F74" s="21" t="n">
        <v>100000</v>
      </c>
      <c r="G74" s="22" t="n">
        <v>0.02</v>
      </c>
      <c r="H74" s="19" t="s">
        <v>28</v>
      </c>
      <c r="I74" s="23" t="n">
        <v>0.03</v>
      </c>
      <c r="J74" s="24" t="n">
        <v>1</v>
      </c>
      <c r="K74" s="25" t="n">
        <v>100000</v>
      </c>
      <c r="L74" s="23" t="n">
        <v>0.18</v>
      </c>
      <c r="M74" s="26" t="n">
        <v>0.025</v>
      </c>
      <c r="N74" s="27" t="s">
        <v>29</v>
      </c>
      <c r="O74" s="27" t="s">
        <v>51</v>
      </c>
      <c r="P74" s="28" t="n">
        <v>2000000</v>
      </c>
      <c r="Q74" s="29" t="s">
        <v>33</v>
      </c>
      <c r="R74" s="27" t="n">
        <v>2000</v>
      </c>
      <c r="S74" s="27" t="n">
        <v>0</v>
      </c>
      <c r="T74" s="30" t="n">
        <v>0</v>
      </c>
      <c r="U74" s="31" t="n">
        <v>99999999</v>
      </c>
      <c r="V74" s="32" t="n">
        <v>0</v>
      </c>
      <c r="W74" s="33" t="n">
        <v>1</v>
      </c>
      <c r="X74" s="34" t="s">
        <v>33</v>
      </c>
      <c r="Y74" s="35" t="n">
        <v>1000</v>
      </c>
      <c r="Z74" s="36" t="n">
        <v>0</v>
      </c>
      <c r="AA74" s="37" t="n">
        <v>0</v>
      </c>
      <c r="AB74" s="38" t="n">
        <v>0</v>
      </c>
    </row>
    <row r="75" customFormat="false" ht="15.75" hidden="false" customHeight="false" outlineLevel="0" collapsed="false">
      <c r="A75" s="18"/>
      <c r="B75" s="18" t="str">
        <f aca="false">O75&amp;" with "&amp;Q75&amp;" / "&amp;X75</f>
        <v>Roth 457b with Annual / Annual</v>
      </c>
      <c r="C75" s="19" t="n">
        <v>48</v>
      </c>
      <c r="D75" s="20" t="n">
        <v>65</v>
      </c>
      <c r="E75" s="20" t="n">
        <v>90</v>
      </c>
      <c r="F75" s="21" t="n">
        <v>100000</v>
      </c>
      <c r="G75" s="22" t="n">
        <v>0.02</v>
      </c>
      <c r="H75" s="19" t="s">
        <v>34</v>
      </c>
      <c r="I75" s="23" t="n">
        <v>0.05</v>
      </c>
      <c r="J75" s="24" t="n">
        <v>1</v>
      </c>
      <c r="K75" s="25" t="n">
        <v>100000</v>
      </c>
      <c r="L75" s="23" t="n">
        <v>0.18</v>
      </c>
      <c r="M75" s="26" t="n">
        <v>0.025</v>
      </c>
      <c r="N75" s="27" t="s">
        <v>29</v>
      </c>
      <c r="O75" s="27" t="s">
        <v>51</v>
      </c>
      <c r="P75" s="28" t="n">
        <v>2000000</v>
      </c>
      <c r="Q75" s="29" t="s">
        <v>35</v>
      </c>
      <c r="R75" s="27" t="n">
        <v>25000</v>
      </c>
      <c r="S75" s="27" t="n">
        <v>0</v>
      </c>
      <c r="T75" s="30" t="n">
        <v>0</v>
      </c>
      <c r="U75" s="31" t="n">
        <v>99999999</v>
      </c>
      <c r="V75" s="32" t="n">
        <v>0</v>
      </c>
      <c r="W75" s="33" t="n">
        <v>1</v>
      </c>
      <c r="X75" s="34" t="s">
        <v>35</v>
      </c>
      <c r="Y75" s="35" t="n">
        <v>30000</v>
      </c>
      <c r="Z75" s="36" t="n">
        <v>0</v>
      </c>
      <c r="AA75" s="37" t="n">
        <v>0</v>
      </c>
      <c r="AB75" s="38" t="n">
        <v>0</v>
      </c>
    </row>
    <row r="76" customFormat="false" ht="15.75" hidden="false" customHeight="false" outlineLevel="0" collapsed="false">
      <c r="A76" s="18"/>
      <c r="B76" s="18" t="str">
        <f aca="false">O76&amp;" with "&amp;Q76&amp;" / "&amp;X76</f>
        <v>Roth 457b with % of Salary / % of Salary</v>
      </c>
      <c r="C76" s="19" t="n">
        <v>48</v>
      </c>
      <c r="D76" s="20" t="n">
        <v>65</v>
      </c>
      <c r="E76" s="20" t="n">
        <v>90</v>
      </c>
      <c r="F76" s="21" t="n">
        <v>100000</v>
      </c>
      <c r="G76" s="22" t="n">
        <v>0.02</v>
      </c>
      <c r="H76" s="19" t="s">
        <v>28</v>
      </c>
      <c r="I76" s="23" t="n">
        <v>0.05</v>
      </c>
      <c r="J76" s="24" t="n">
        <v>1</v>
      </c>
      <c r="K76" s="25" t="n">
        <v>100000</v>
      </c>
      <c r="L76" s="23" t="n">
        <v>0.18</v>
      </c>
      <c r="M76" s="26" t="n">
        <v>0.025</v>
      </c>
      <c r="N76" s="27" t="s">
        <v>29</v>
      </c>
      <c r="O76" s="27" t="s">
        <v>51</v>
      </c>
      <c r="P76" s="28" t="n">
        <v>2000000</v>
      </c>
      <c r="Q76" s="29" t="s">
        <v>36</v>
      </c>
      <c r="R76" s="27" t="n">
        <v>0</v>
      </c>
      <c r="S76" s="39" t="n">
        <v>0.05</v>
      </c>
      <c r="T76" s="30" t="n">
        <v>0</v>
      </c>
      <c r="U76" s="31" t="n">
        <v>99999999</v>
      </c>
      <c r="V76" s="32" t="n">
        <v>0</v>
      </c>
      <c r="W76" s="33" t="n">
        <v>1</v>
      </c>
      <c r="X76" s="44" t="s">
        <v>36</v>
      </c>
      <c r="Y76" s="35" t="n">
        <v>0</v>
      </c>
      <c r="Z76" s="36" t="n">
        <v>0.05</v>
      </c>
      <c r="AA76" s="37" t="n">
        <v>0</v>
      </c>
      <c r="AB76" s="38" t="n">
        <v>0</v>
      </c>
    </row>
    <row r="77" customFormat="false" ht="15.75" hidden="false" customHeight="false" outlineLevel="0" collapsed="false">
      <c r="A77" s="18"/>
      <c r="B77" s="18" t="str">
        <f aca="false">O77&amp;" with "&amp;Q77&amp;" / "&amp;X77</f>
        <v>Roth 457b with % of Salary / Match</v>
      </c>
      <c r="C77" s="19" t="n">
        <v>48</v>
      </c>
      <c r="D77" s="20" t="n">
        <v>65</v>
      </c>
      <c r="E77" s="20" t="n">
        <v>90</v>
      </c>
      <c r="F77" s="21" t="n">
        <v>100000</v>
      </c>
      <c r="G77" s="22" t="n">
        <v>0.02</v>
      </c>
      <c r="H77" s="19" t="s">
        <v>34</v>
      </c>
      <c r="I77" s="23" t="n">
        <v>0.05</v>
      </c>
      <c r="J77" s="24" t="n">
        <v>1</v>
      </c>
      <c r="K77" s="25" t="n">
        <v>100000</v>
      </c>
      <c r="L77" s="23" t="n">
        <v>0.18</v>
      </c>
      <c r="M77" s="26" t="n">
        <v>0.025</v>
      </c>
      <c r="N77" s="27" t="s">
        <v>29</v>
      </c>
      <c r="O77" s="27" t="s">
        <v>51</v>
      </c>
      <c r="P77" s="28" t="n">
        <v>2000000</v>
      </c>
      <c r="Q77" s="29" t="s">
        <v>36</v>
      </c>
      <c r="R77" s="27" t="n">
        <v>0</v>
      </c>
      <c r="S77" s="39" t="n">
        <v>0.05</v>
      </c>
      <c r="T77" s="30" t="n">
        <v>0</v>
      </c>
      <c r="U77" s="31" t="n">
        <v>99999999</v>
      </c>
      <c r="V77" s="32" t="n">
        <v>0</v>
      </c>
      <c r="W77" s="33" t="n">
        <v>1</v>
      </c>
      <c r="X77" s="44" t="s">
        <v>39</v>
      </c>
      <c r="Y77" s="35" t="n">
        <v>0</v>
      </c>
      <c r="Z77" s="36" t="n">
        <v>0</v>
      </c>
      <c r="AA77" s="37" t="n">
        <v>1.5</v>
      </c>
      <c r="AB77" s="38" t="n">
        <v>0.08</v>
      </c>
    </row>
    <row r="78" customFormat="false" ht="15.75" hidden="false" customHeight="false" outlineLevel="0" collapsed="false">
      <c r="A78" s="18"/>
      <c r="B78" s="30" t="str">
        <f aca="false">O78&amp;" with "&amp;Q78&amp;" / "&amp;X78</f>
        <v>Roth SEP with None / Maximum Allowable</v>
      </c>
      <c r="C78" s="19" t="n">
        <v>61</v>
      </c>
      <c r="D78" s="20" t="n">
        <v>65</v>
      </c>
      <c r="E78" s="20" t="n">
        <v>90</v>
      </c>
      <c r="F78" s="21" t="n">
        <v>100000</v>
      </c>
      <c r="G78" s="22" t="n">
        <v>0.02</v>
      </c>
      <c r="H78" s="19" t="s">
        <v>28</v>
      </c>
      <c r="I78" s="23" t="n">
        <v>0.03</v>
      </c>
      <c r="J78" s="24" t="n">
        <v>1</v>
      </c>
      <c r="K78" s="25" t="n">
        <v>100000</v>
      </c>
      <c r="L78" s="23" t="n">
        <v>0.18</v>
      </c>
      <c r="M78" s="26" t="n">
        <v>0.025</v>
      </c>
      <c r="N78" s="27" t="s">
        <v>29</v>
      </c>
      <c r="O78" s="27" t="s">
        <v>52</v>
      </c>
      <c r="P78" s="28" t="n">
        <v>2000000</v>
      </c>
      <c r="Q78" s="29" t="s">
        <v>32</v>
      </c>
      <c r="R78" s="27" t="n">
        <v>0</v>
      </c>
      <c r="S78" s="27" t="n">
        <v>0</v>
      </c>
      <c r="T78" s="30" t="n">
        <v>0</v>
      </c>
      <c r="U78" s="31" t="n">
        <v>99999999</v>
      </c>
      <c r="V78" s="32" t="n">
        <v>0</v>
      </c>
      <c r="W78" s="33" t="n">
        <v>1</v>
      </c>
      <c r="X78" s="34" t="s">
        <v>31</v>
      </c>
      <c r="Y78" s="35" t="n">
        <v>0</v>
      </c>
      <c r="Z78" s="36" t="n">
        <v>0</v>
      </c>
      <c r="AA78" s="37" t="n">
        <v>0</v>
      </c>
      <c r="AB78" s="38" t="n">
        <v>0</v>
      </c>
    </row>
    <row r="79" customFormat="false" ht="15.75" hidden="false" customHeight="false" outlineLevel="0" collapsed="false">
      <c r="A79" s="18"/>
      <c r="B79" s="30" t="str">
        <f aca="false">O79&amp;" with "&amp;Q79&amp;" / "&amp;X79</f>
        <v>Roth SEP with None / Monthly</v>
      </c>
      <c r="C79" s="19" t="n">
        <v>61</v>
      </c>
      <c r="D79" s="20" t="n">
        <v>65</v>
      </c>
      <c r="E79" s="20" t="n">
        <v>90</v>
      </c>
      <c r="F79" s="21" t="n">
        <v>100000</v>
      </c>
      <c r="G79" s="22" t="n">
        <v>0.02</v>
      </c>
      <c r="H79" s="19" t="s">
        <v>28</v>
      </c>
      <c r="I79" s="23" t="n">
        <v>0.05</v>
      </c>
      <c r="J79" s="24" t="n">
        <v>1</v>
      </c>
      <c r="K79" s="25" t="n">
        <v>100000</v>
      </c>
      <c r="L79" s="23" t="n">
        <v>0.18</v>
      </c>
      <c r="M79" s="26" t="n">
        <v>0.025</v>
      </c>
      <c r="N79" s="27" t="s">
        <v>29</v>
      </c>
      <c r="O79" s="27" t="s">
        <v>52</v>
      </c>
      <c r="P79" s="28" t="n">
        <v>2000000</v>
      </c>
      <c r="Q79" s="29" t="s">
        <v>32</v>
      </c>
      <c r="R79" s="27" t="n">
        <v>0</v>
      </c>
      <c r="S79" s="27" t="n">
        <v>0</v>
      </c>
      <c r="T79" s="30" t="n">
        <v>0</v>
      </c>
      <c r="U79" s="31" t="n">
        <v>99999999</v>
      </c>
      <c r="V79" s="32" t="n">
        <v>0</v>
      </c>
      <c r="W79" s="33" t="n">
        <v>1</v>
      </c>
      <c r="X79" s="34" t="s">
        <v>33</v>
      </c>
      <c r="Y79" s="35" t="n">
        <v>1000</v>
      </c>
      <c r="Z79" s="36" t="n">
        <v>0</v>
      </c>
      <c r="AA79" s="37" t="n">
        <v>0</v>
      </c>
      <c r="AB79" s="38" t="n">
        <v>0</v>
      </c>
    </row>
    <row r="80" customFormat="false" ht="15.75" hidden="false" customHeight="false" outlineLevel="0" collapsed="false">
      <c r="A80" s="18"/>
      <c r="B80" s="30" t="str">
        <f aca="false">O80&amp;" with "&amp;Q80&amp;" / "&amp;X80</f>
        <v>Roth SEP with None / Annual</v>
      </c>
      <c r="C80" s="19" t="n">
        <v>61</v>
      </c>
      <c r="D80" s="20" t="n">
        <v>65</v>
      </c>
      <c r="E80" s="20" t="n">
        <v>90</v>
      </c>
      <c r="F80" s="21" t="n">
        <v>100000</v>
      </c>
      <c r="G80" s="22" t="n">
        <v>0.02</v>
      </c>
      <c r="H80" s="19" t="s">
        <v>34</v>
      </c>
      <c r="I80" s="23" t="n">
        <v>0</v>
      </c>
      <c r="J80" s="24" t="n">
        <v>1</v>
      </c>
      <c r="K80" s="25" t="n">
        <v>100000</v>
      </c>
      <c r="L80" s="23" t="n">
        <v>0.18</v>
      </c>
      <c r="M80" s="26" t="n">
        <v>0.025</v>
      </c>
      <c r="N80" s="27" t="s">
        <v>29</v>
      </c>
      <c r="O80" s="27" t="s">
        <v>52</v>
      </c>
      <c r="P80" s="28" t="n">
        <v>2000000</v>
      </c>
      <c r="Q80" s="29" t="s">
        <v>32</v>
      </c>
      <c r="R80" s="27" t="n">
        <v>0</v>
      </c>
      <c r="S80" s="27" t="n">
        <v>0</v>
      </c>
      <c r="T80" s="30" t="n">
        <v>0</v>
      </c>
      <c r="U80" s="31" t="n">
        <v>99999999</v>
      </c>
      <c r="V80" s="32" t="n">
        <v>0</v>
      </c>
      <c r="W80" s="33" t="n">
        <v>1</v>
      </c>
      <c r="X80" s="34" t="s">
        <v>35</v>
      </c>
      <c r="Y80" s="35" t="n">
        <v>100000</v>
      </c>
      <c r="Z80" s="36" t="n">
        <v>0</v>
      </c>
      <c r="AA80" s="37" t="n">
        <v>0</v>
      </c>
      <c r="AB80" s="38" t="n">
        <v>0</v>
      </c>
    </row>
    <row r="81" customFormat="false" ht="15.75" hidden="false" customHeight="false" outlineLevel="0" collapsed="false">
      <c r="A81" s="18"/>
      <c r="B81" s="30" t="str">
        <f aca="false">O81&amp;" with "&amp;Q81&amp;" / "&amp;X81</f>
        <v>Roth SEP with None / % of Salary</v>
      </c>
      <c r="C81" s="19" t="n">
        <v>61</v>
      </c>
      <c r="D81" s="20" t="n">
        <v>65</v>
      </c>
      <c r="E81" s="20" t="n">
        <v>90</v>
      </c>
      <c r="F81" s="21" t="n">
        <v>100000</v>
      </c>
      <c r="G81" s="22" t="n">
        <v>0.02</v>
      </c>
      <c r="H81" s="19" t="s">
        <v>28</v>
      </c>
      <c r="I81" s="23" t="n">
        <v>0</v>
      </c>
      <c r="J81" s="24" t="n">
        <v>1</v>
      </c>
      <c r="K81" s="25" t="n">
        <v>100000</v>
      </c>
      <c r="L81" s="23" t="n">
        <v>0.18</v>
      </c>
      <c r="M81" s="26" t="n">
        <v>0.025</v>
      </c>
      <c r="N81" s="27" t="s">
        <v>29</v>
      </c>
      <c r="O81" s="27" t="s">
        <v>52</v>
      </c>
      <c r="P81" s="28" t="n">
        <v>2000000</v>
      </c>
      <c r="Q81" s="29" t="s">
        <v>32</v>
      </c>
      <c r="R81" s="27" t="n">
        <v>0</v>
      </c>
      <c r="S81" s="27" t="n">
        <v>0</v>
      </c>
      <c r="T81" s="30" t="n">
        <v>0</v>
      </c>
      <c r="U81" s="31" t="n">
        <v>99999999</v>
      </c>
      <c r="V81" s="32" t="n">
        <v>0</v>
      </c>
      <c r="W81" s="33" t="n">
        <v>1</v>
      </c>
      <c r="X81" s="46" t="s">
        <v>36</v>
      </c>
      <c r="Y81" s="35" t="n">
        <v>0</v>
      </c>
      <c r="Z81" s="36" t="n">
        <v>0.05</v>
      </c>
      <c r="AA81" s="37" t="n">
        <v>0</v>
      </c>
      <c r="AB81" s="38" t="n">
        <v>0</v>
      </c>
    </row>
    <row r="82" customFormat="false" ht="15.75" hidden="false" customHeight="false" outlineLevel="0" collapsed="false">
      <c r="A82" s="18"/>
      <c r="B82" s="30" t="str">
        <f aca="false">O82&amp;" with "&amp;Q82&amp;" / "&amp;X82</f>
        <v>Roth SIMPLE with Maximum Allowable / Annual</v>
      </c>
      <c r="C82" s="19" t="n">
        <v>61</v>
      </c>
      <c r="D82" s="20" t="n">
        <v>65</v>
      </c>
      <c r="E82" s="20" t="n">
        <v>90</v>
      </c>
      <c r="F82" s="21" t="n">
        <v>100000</v>
      </c>
      <c r="G82" s="22" t="n">
        <v>0.02</v>
      </c>
      <c r="H82" s="19" t="s">
        <v>28</v>
      </c>
      <c r="I82" s="23" t="n">
        <v>0.05</v>
      </c>
      <c r="J82" s="24" t="n">
        <v>1</v>
      </c>
      <c r="K82" s="25" t="n">
        <v>100000</v>
      </c>
      <c r="L82" s="23" t="n">
        <v>0.18</v>
      </c>
      <c r="M82" s="26" t="n">
        <v>0.025</v>
      </c>
      <c r="N82" s="27" t="s">
        <v>29</v>
      </c>
      <c r="O82" s="27" t="s">
        <v>53</v>
      </c>
      <c r="P82" s="28" t="n">
        <v>2000000</v>
      </c>
      <c r="Q82" s="29" t="s">
        <v>31</v>
      </c>
      <c r="R82" s="27" t="n">
        <v>0</v>
      </c>
      <c r="S82" s="27" t="n">
        <v>0</v>
      </c>
      <c r="T82" s="30" t="n">
        <v>0</v>
      </c>
      <c r="U82" s="31" t="n">
        <v>99999999</v>
      </c>
      <c r="V82" s="32" t="n">
        <v>0</v>
      </c>
      <c r="W82" s="33" t="n">
        <v>1</v>
      </c>
      <c r="X82" s="45" t="s">
        <v>35</v>
      </c>
      <c r="Y82" s="35" t="n">
        <v>5000</v>
      </c>
      <c r="Z82" s="36" t="n">
        <v>0</v>
      </c>
      <c r="AA82" s="37" t="n">
        <v>0</v>
      </c>
      <c r="AB82" s="38" t="n">
        <v>0</v>
      </c>
    </row>
    <row r="83" customFormat="false" ht="15.75" hidden="false" customHeight="false" outlineLevel="0" collapsed="false">
      <c r="A83" s="18"/>
      <c r="B83" s="30" t="str">
        <f aca="false">O83&amp;" with "&amp;Q83&amp;" / "&amp;X83</f>
        <v>Roth SIMPLE with Monthly / Monthly</v>
      </c>
      <c r="C83" s="19" t="n">
        <v>61</v>
      </c>
      <c r="D83" s="20" t="n">
        <v>65</v>
      </c>
      <c r="E83" s="20" t="n">
        <v>90</v>
      </c>
      <c r="F83" s="21" t="n">
        <v>100000</v>
      </c>
      <c r="G83" s="22" t="n">
        <v>0.02</v>
      </c>
      <c r="H83" s="19" t="s">
        <v>28</v>
      </c>
      <c r="I83" s="23" t="n">
        <v>0.06</v>
      </c>
      <c r="J83" s="24" t="n">
        <v>1</v>
      </c>
      <c r="K83" s="25" t="n">
        <v>100000</v>
      </c>
      <c r="L83" s="23" t="n">
        <v>0.18</v>
      </c>
      <c r="M83" s="26" t="n">
        <v>0.025</v>
      </c>
      <c r="N83" s="27" t="s">
        <v>29</v>
      </c>
      <c r="O83" s="27" t="s">
        <v>53</v>
      </c>
      <c r="P83" s="28" t="n">
        <v>2000000</v>
      </c>
      <c r="Q83" s="29" t="s">
        <v>33</v>
      </c>
      <c r="R83" s="27" t="n">
        <v>1000</v>
      </c>
      <c r="S83" s="27" t="n">
        <v>0</v>
      </c>
      <c r="T83" s="30" t="n">
        <v>0</v>
      </c>
      <c r="U83" s="31" t="n">
        <v>99999999</v>
      </c>
      <c r="V83" s="32" t="n">
        <v>0</v>
      </c>
      <c r="W83" s="33" t="n">
        <v>1</v>
      </c>
      <c r="X83" s="34" t="s">
        <v>33</v>
      </c>
      <c r="Y83" s="35" t="n">
        <v>1000</v>
      </c>
      <c r="Z83" s="36" t="n">
        <v>0</v>
      </c>
      <c r="AA83" s="37" t="n">
        <v>0</v>
      </c>
      <c r="AB83" s="38" t="n">
        <v>0</v>
      </c>
    </row>
    <row r="84" customFormat="false" ht="15.75" hidden="false" customHeight="false" outlineLevel="0" collapsed="false">
      <c r="A84" s="18"/>
      <c r="B84" s="30" t="str">
        <f aca="false">O84&amp;" with "&amp;Q84&amp;" / "&amp;X84</f>
        <v>Roth SIMPLE with Annual / Annual</v>
      </c>
      <c r="C84" s="19" t="n">
        <v>61</v>
      </c>
      <c r="D84" s="20" t="n">
        <v>65</v>
      </c>
      <c r="E84" s="20" t="n">
        <v>90</v>
      </c>
      <c r="F84" s="21" t="n">
        <v>100000</v>
      </c>
      <c r="G84" s="22" t="n">
        <v>0.02</v>
      </c>
      <c r="H84" s="19" t="s">
        <v>34</v>
      </c>
      <c r="I84" s="23" t="n">
        <v>0.05</v>
      </c>
      <c r="J84" s="24" t="n">
        <v>1</v>
      </c>
      <c r="K84" s="25" t="n">
        <v>100000</v>
      </c>
      <c r="L84" s="23" t="n">
        <v>0.18</v>
      </c>
      <c r="M84" s="26" t="n">
        <v>0.025</v>
      </c>
      <c r="N84" s="27" t="s">
        <v>29</v>
      </c>
      <c r="O84" s="27" t="s">
        <v>53</v>
      </c>
      <c r="P84" s="28" t="n">
        <v>2000000</v>
      </c>
      <c r="Q84" s="29" t="s">
        <v>35</v>
      </c>
      <c r="R84" s="27" t="n">
        <v>25000</v>
      </c>
      <c r="S84" s="27" t="n">
        <v>0</v>
      </c>
      <c r="T84" s="30" t="n">
        <v>0</v>
      </c>
      <c r="U84" s="31" t="n">
        <v>99999999</v>
      </c>
      <c r="V84" s="32" t="n">
        <v>0</v>
      </c>
      <c r="W84" s="33" t="n">
        <v>1</v>
      </c>
      <c r="X84" s="34" t="s">
        <v>35</v>
      </c>
      <c r="Y84" s="35" t="n">
        <v>30000</v>
      </c>
      <c r="Z84" s="36" t="n">
        <v>0</v>
      </c>
      <c r="AA84" s="37" t="n">
        <v>0</v>
      </c>
      <c r="AB84" s="38" t="n">
        <v>0</v>
      </c>
    </row>
    <row r="85" customFormat="false" ht="15.75" hidden="false" customHeight="false" outlineLevel="0" collapsed="false">
      <c r="A85" s="18"/>
      <c r="B85" s="30" t="str">
        <f aca="false">O85&amp;" with "&amp;Q85&amp;" / "&amp;X85</f>
        <v>Roth SIMPLE with % of Salary / % of Salary</v>
      </c>
      <c r="C85" s="19" t="n">
        <v>61</v>
      </c>
      <c r="D85" s="20" t="n">
        <v>65</v>
      </c>
      <c r="E85" s="20" t="n">
        <v>90</v>
      </c>
      <c r="F85" s="21" t="n">
        <v>100000</v>
      </c>
      <c r="G85" s="22" t="n">
        <v>0.02</v>
      </c>
      <c r="H85" s="19" t="s">
        <v>28</v>
      </c>
      <c r="I85" s="23" t="n">
        <v>0.05</v>
      </c>
      <c r="J85" s="24" t="n">
        <v>1</v>
      </c>
      <c r="K85" s="25" t="n">
        <v>100000</v>
      </c>
      <c r="L85" s="23" t="n">
        <v>0.18</v>
      </c>
      <c r="M85" s="26" t="n">
        <v>0.025</v>
      </c>
      <c r="N85" s="27" t="s">
        <v>29</v>
      </c>
      <c r="O85" s="27" t="s">
        <v>53</v>
      </c>
      <c r="P85" s="28" t="n">
        <v>2000000</v>
      </c>
      <c r="Q85" s="29" t="s">
        <v>36</v>
      </c>
      <c r="R85" s="27" t="n">
        <v>0</v>
      </c>
      <c r="S85" s="39" t="n">
        <v>0.05</v>
      </c>
      <c r="T85" s="30" t="n">
        <v>0</v>
      </c>
      <c r="U85" s="31" t="n">
        <v>99999999</v>
      </c>
      <c r="V85" s="32" t="n">
        <v>0</v>
      </c>
      <c r="W85" s="33" t="n">
        <v>1</v>
      </c>
      <c r="X85" s="44" t="s">
        <v>36</v>
      </c>
      <c r="Y85" s="35" t="n">
        <v>0</v>
      </c>
      <c r="Z85" s="36" t="n">
        <v>0.05</v>
      </c>
      <c r="AA85" s="37" t="n">
        <v>0</v>
      </c>
      <c r="AB85" s="38" t="n">
        <v>0</v>
      </c>
    </row>
    <row r="86" customFormat="false" ht="15.75" hidden="false" customHeight="false" outlineLevel="0" collapsed="false">
      <c r="A86" s="18"/>
      <c r="B86" s="30" t="str">
        <f aca="false">O86&amp;" with "&amp;Q86&amp;" / "&amp;X86</f>
        <v>Roth SIMPLE with % of Salary / Match</v>
      </c>
      <c r="C86" s="19" t="n">
        <v>61</v>
      </c>
      <c r="D86" s="20" t="n">
        <v>65</v>
      </c>
      <c r="E86" s="20" t="n">
        <v>90</v>
      </c>
      <c r="F86" s="21" t="n">
        <v>100000</v>
      </c>
      <c r="G86" s="22" t="n">
        <v>0.02</v>
      </c>
      <c r="H86" s="19" t="s">
        <v>34</v>
      </c>
      <c r="I86" s="23" t="n">
        <v>0.05</v>
      </c>
      <c r="J86" s="24" t="n">
        <v>1</v>
      </c>
      <c r="K86" s="25" t="n">
        <v>100000</v>
      </c>
      <c r="L86" s="23" t="n">
        <v>0.18</v>
      </c>
      <c r="M86" s="26" t="n">
        <v>0.025</v>
      </c>
      <c r="N86" s="27" t="s">
        <v>29</v>
      </c>
      <c r="O86" s="27" t="s">
        <v>53</v>
      </c>
      <c r="P86" s="28" t="n">
        <v>2000000</v>
      </c>
      <c r="Q86" s="29" t="s">
        <v>36</v>
      </c>
      <c r="R86" s="27" t="n">
        <v>0</v>
      </c>
      <c r="S86" s="39" t="n">
        <v>0.05</v>
      </c>
      <c r="T86" s="30" t="n">
        <v>0</v>
      </c>
      <c r="U86" s="31" t="n">
        <v>99999999</v>
      </c>
      <c r="V86" s="32" t="n">
        <v>0</v>
      </c>
      <c r="W86" s="33" t="n">
        <v>1</v>
      </c>
      <c r="X86" s="44" t="s">
        <v>39</v>
      </c>
      <c r="Y86" s="35" t="n">
        <v>0</v>
      </c>
      <c r="Z86" s="36" t="n">
        <v>0</v>
      </c>
      <c r="AA86" s="37" t="n">
        <v>0.5</v>
      </c>
      <c r="AB86" s="38" t="n">
        <v>0.08</v>
      </c>
    </row>
  </sheetData>
  <autoFilter ref="A2:AB61"/>
  <dataValidations count="3">
    <dataValidation allowBlank="true" errorStyle="stop" operator="between" showDropDown="false" showErrorMessage="true" showInputMessage="true" sqref="O25 O42 O62 O69 O81" type="list">
      <formula1>"IRA,Roth IRA,401k,Roth 401k,401(a),403(b),Roth 403(b),457(b),Roth 457(b),Profit Sharing,ORP,SEP,SIMPLE,Health Savings Account,Other"</formula1>
      <formula2>0</formula2>
    </dataValidation>
    <dataValidation allowBlank="true" errorStyle="stop" operator="between" showDropDown="false" showErrorMessage="true" showInputMessage="true" sqref="Q3:Q66 Q68:Q86" type="list">
      <formula1>"None,Maximum Allowable,Monthly,Annual,% of Salary"</formula1>
      <formula2>0</formula2>
    </dataValidation>
    <dataValidation allowBlank="true" errorStyle="stop" operator="between" showDropDown="false" showErrorMessage="true" showInputMessage="true" sqref="X3:X66 X68:X86" type="list">
      <formula1>"None,Maximum Allowable,Monthly,Annual,% of Salary,Match"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None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IRA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IRA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1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1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6500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97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161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IRA with % of Salary / None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-0.0354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-70800</v>
      </c>
      <c r="L17" s="99" t="n">
        <f aca="false">J17+K17</f>
        <v>1929200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1929200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6500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0</v>
      </c>
      <c r="Z17" s="99" t="n">
        <f aca="false">W17+X17+Y17</f>
        <v>5000</v>
      </c>
      <c r="AA17" s="100" t="n">
        <f aca="false">Q17+Z17</f>
        <v>1934200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0.1019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1934200</v>
      </c>
      <c r="K18" s="99" t="n">
        <f aca="false">J18*E18</f>
        <v>197094.98</v>
      </c>
      <c r="L18" s="99" t="n">
        <f aca="false">J18+K18</f>
        <v>2131294.98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2131294.98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6662.5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0</v>
      </c>
      <c r="Z18" s="99" t="n">
        <f aca="false">W18+X18+Y18</f>
        <v>5100</v>
      </c>
      <c r="AA18" s="100" t="n">
        <f aca="false">Q18+W18+X18+Y18</f>
        <v>2136394.98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0.1698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2136394.98</v>
      </c>
      <c r="K19" s="99" t="n">
        <f aca="false">J19*E19</f>
        <v>362759.867604</v>
      </c>
      <c r="L19" s="99" t="n">
        <f aca="false">J19+K19</f>
        <v>2499154.847604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2499154.847604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6829.0625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0</v>
      </c>
      <c r="Z19" s="99" t="n">
        <f aca="false">W19+X19+Y19</f>
        <v>5202</v>
      </c>
      <c r="AA19" s="100" t="n">
        <f aca="false">Q19+W19+X19+Y19</f>
        <v>2504356.847604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-0.0257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2504356.847604</v>
      </c>
      <c r="K20" s="99" t="n">
        <f aca="false">J20*E20</f>
        <v>-64361.9709834228</v>
      </c>
      <c r="L20" s="99" t="n">
        <f aca="false">J20+K20</f>
        <v>2439994.87662058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2439994.87662058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6999.7890625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0</v>
      </c>
      <c r="Z20" s="99" t="n">
        <f aca="false">W20+X20+Y20</f>
        <v>5306.04</v>
      </c>
      <c r="AA20" s="100" t="n">
        <f aca="false">Q20+W20+X20+Y20</f>
        <v>2445300.91662058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0.0912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2445300.91662058</v>
      </c>
      <c r="K21" s="99" t="n">
        <f aca="false">J21*E21</f>
        <v>223011.443595797</v>
      </c>
      <c r="L21" s="99" t="n">
        <f aca="false">J21+K21</f>
        <v>2668312.36021637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2557931.07115387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7174.7837890625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0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2557931.07115387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0.0479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2557931.07115387</v>
      </c>
      <c r="K22" s="99" t="n">
        <f aca="false">J22*E22</f>
        <v>122524.898308271</v>
      </c>
      <c r="L22" s="99" t="n">
        <f aca="false">J22+K22</f>
        <v>2680455.96946214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2567315.14817308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7354.15338378906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0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2567315.14817308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0.0213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2567315.14817308</v>
      </c>
      <c r="K23" s="99" t="n">
        <f aca="false">J23*E23</f>
        <v>54683.8126560867</v>
      </c>
      <c r="L23" s="99" t="n">
        <f aca="false">J23+K23</f>
        <v>2621998.96082917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2506029.61900788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7538.00721838378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0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2506029.61900788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0.11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2506029.61900788</v>
      </c>
      <c r="K24" s="99" t="n">
        <f aca="false">J24*E24</f>
        <v>275663.258090867</v>
      </c>
      <c r="L24" s="99" t="n">
        <f aca="false">J24+K24</f>
        <v>2781692.87709875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2662824.30173193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7726.45739884338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0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2662824.30173193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0.0802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2662824.30173193</v>
      </c>
      <c r="K25" s="99" t="n">
        <f aca="false">J25*E25</f>
        <v>213558.5089989</v>
      </c>
      <c r="L25" s="99" t="n">
        <f aca="false">J25+K25</f>
        <v>2876382.81073083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2754542.52097983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7919.61883381446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0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2754542.52097983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0.0818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2754542.52097983</v>
      </c>
      <c r="K26" s="99" t="n">
        <f aca="false">J26*E26</f>
        <v>225321.57821615</v>
      </c>
      <c r="L26" s="99" t="n">
        <f aca="false">J26+K26</f>
        <v>2979864.09919598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2854977.80220122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8117.60930465982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0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2854977.80220122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0.1008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2854977.80220122</v>
      </c>
      <c r="K27" s="99" t="n">
        <f aca="false">J27*E27</f>
        <v>287781.762461883</v>
      </c>
      <c r="L27" s="99" t="n">
        <f aca="false">J27+K27</f>
        <v>3142759.5646631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3014751.11024346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8320.54953727632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0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3014751.11024346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-0.0492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3014751.11024346</v>
      </c>
      <c r="K28" s="99" t="n">
        <f aca="false">J28*E28</f>
        <v>-148325.754623978</v>
      </c>
      <c r="L28" s="99" t="n">
        <f aca="false">J28+K28</f>
        <v>2866425.35561949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2735216.68983936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8528.56327570823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0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2735216.68983936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0.0123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2735216.68983936</v>
      </c>
      <c r="K29" s="99" t="n">
        <f aca="false">J29*E29</f>
        <v>33643.1652850241</v>
      </c>
      <c r="L29" s="99" t="n">
        <f aca="false">J29+K29</f>
        <v>2768859.85512438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2634370.97269975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8741.77735760093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0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2634370.97269975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0.0641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2634370.97269975</v>
      </c>
      <c r="K30" s="99" t="n">
        <f aca="false">J30*E30</f>
        <v>168863.179350054</v>
      </c>
      <c r="L30" s="99" t="n">
        <f aca="false">J30+K30</f>
        <v>2803234.15204981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2665383.04756456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8960.32179154095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0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2665383.04756456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0.1071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2665383.04756456</v>
      </c>
      <c r="K31" s="99" t="n">
        <f aca="false">J31*E31</f>
        <v>285462.524394165</v>
      </c>
      <c r="L31" s="99" t="n">
        <f aca="false">J31+K31</f>
        <v>2950845.57195873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108348.904372543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2809548.18986135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9184.32983632948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0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2809548.18986135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0.0651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2809548.18986135</v>
      </c>
      <c r="K32" s="99" t="n">
        <f aca="false">J32*E32</f>
        <v>182901.587159974</v>
      </c>
      <c r="L32" s="99" t="n">
        <f aca="false">J32+K32</f>
        <v>2992449.77702132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118546.337124952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2847619.96037151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9413.93808223771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0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2847619.96037151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2847619.96037151</v>
      </c>
      <c r="K33" s="99" t="n">
        <f aca="false">J33*E33</f>
        <v>227809.596829721</v>
      </c>
      <c r="L33" s="99" t="n">
        <f aca="false">J33+K33</f>
        <v>3075429.55720124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124350.21661011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2926978.99513518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9649.28653429366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0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2926978.99513518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0.0311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2926978.99513518</v>
      </c>
      <c r="K34" s="99" t="n">
        <f aca="false">J34*E34</f>
        <v>91029.0467487041</v>
      </c>
      <c r="L34" s="99" t="n">
        <f aca="false">J34+K34</f>
        <v>3018008.04188388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133044.499778872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2865846.21576618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9890.51869765099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0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2865846.21576618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0.0563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2865846.21576618</v>
      </c>
      <c r="K35" s="99" t="n">
        <f aca="false">J35*E35</f>
        <v>161347.141947636</v>
      </c>
      <c r="L35" s="99" t="n">
        <f aca="false">J35+K35</f>
        <v>3027193.35771381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135822.095533942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2871227.48594316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10137.7816650923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0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2871227.48594316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0.0272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2871227.48594316</v>
      </c>
      <c r="K36" s="99" t="n">
        <f aca="false">J36*E36</f>
        <v>78097.387617654</v>
      </c>
      <c r="L36" s="99" t="n">
        <f aca="false">J36+K36</f>
        <v>2949324.87356082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142139.974551642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2789459.8549959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10391.2262067196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0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2789459.8549959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0.1648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2789459.8549959</v>
      </c>
      <c r="K37" s="99" t="n">
        <f aca="false">J37*E37</f>
        <v>459702.984103324</v>
      </c>
      <c r="L37" s="99" t="n">
        <f aca="false">J37+K37</f>
        <v>3249162.83909922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143786.590463706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3085301.19507018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10651.0068618876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0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3085301.19507018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-0.0675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3085301.19507018</v>
      </c>
      <c r="K38" s="99" t="n">
        <f aca="false">J38*E38</f>
        <v>-208257.830667237</v>
      </c>
      <c r="L38" s="99" t="n">
        <f aca="false">J38+K38</f>
        <v>2877043.36440295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166773.037571361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2709085.17927318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10917.2820334348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0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2709085.17927318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0.1328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2709085.17927318</v>
      </c>
      <c r="K39" s="99" t="n">
        <f aca="false">J39*E39</f>
        <v>359766.511807479</v>
      </c>
      <c r="L39" s="99" t="n">
        <f aca="false">J39+K39</f>
        <v>3068851.69108066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153055.659845942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2896694.55132265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11190.2140842706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0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2896694.55132265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0.0458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2896694.55132265</v>
      </c>
      <c r="K40" s="99" t="n">
        <f aca="false">J40*E40</f>
        <v>132668.610450577</v>
      </c>
      <c r="L40" s="99" t="n">
        <f aca="false">J40+K40</f>
        <v>3029363.16177323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172422.294721586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2852902.09352127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11469.9694363774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0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2852902.09352127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0.0904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2852902.09352127</v>
      </c>
      <c r="K41" s="99" t="n">
        <f aca="false">J41*E41</f>
        <v>257902.349254323</v>
      </c>
      <c r="L41" s="99" t="n">
        <f aca="false">J41+K41</f>
        <v>3110804.44277559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178306.380845079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2929931.84781733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11756.7186722868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0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2929931.84781733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0.0678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2929931.84781733</v>
      </c>
      <c r="K42" s="99" t="n">
        <f aca="false">J42*E42</f>
        <v>198649.379282015</v>
      </c>
      <c r="L42" s="99" t="n">
        <f aca="false">J42+K42</f>
        <v>3128581.22709935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192758.674198509</v>
      </c>
      <c r="O42" s="99" t="n">
        <f aca="false">IF(D42&gt;$B$4,0,IF(D42&lt;$B$3,0,$B$8*(1+$B$10)^(C42-1)))</f>
        <v>185394.409832215</v>
      </c>
      <c r="P42" s="99" t="n">
        <f aca="false">MAX(N42,O42)</f>
        <v>192758.674198509</v>
      </c>
      <c r="Q42" s="99" t="n">
        <f aca="false">MAX(0,L42-P42)</f>
        <v>2935822.55290084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12050.636639094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0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2935822.55290084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0.0533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2935822.55290084</v>
      </c>
      <c r="K43" s="99" t="n">
        <f aca="false">J43*E43</f>
        <v>156479.342069615</v>
      </c>
      <c r="L43" s="99" t="n">
        <f aca="false">J43+K43</f>
        <v>3092301.89497045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203876.566173669</v>
      </c>
      <c r="O43" s="99" t="n">
        <f aca="false">IF(D43&gt;$B$4,0,IF(D43&lt;$B$3,0,$B$8*(1+$B$10)^(C43-1)))</f>
        <v>190029.270078021</v>
      </c>
      <c r="P43" s="99" t="n">
        <f aca="false">MAX(N43,O43)</f>
        <v>203876.566173669</v>
      </c>
      <c r="Q43" s="99" t="n">
        <f aca="false">MAX(0,L43-P43)</f>
        <v>2888425.32879678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12351.9025550713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0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2888425.32879678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0.0742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2888425.32879678</v>
      </c>
      <c r="K44" s="99" t="n">
        <f aca="false">J44*E44</f>
        <v>214321.159396721</v>
      </c>
      <c r="L44" s="99" t="n">
        <f aca="false">J44+K44</f>
        <v>3102746.4881935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210833.965605605</v>
      </c>
      <c r="O44" s="99" t="n">
        <f aca="false">IF(D44&gt;$B$4,0,IF(D44&lt;$B$3,0,$B$8*(1+$B$10)^(C44-1)))</f>
        <v>194780.001829971</v>
      </c>
      <c r="P44" s="99" t="n">
        <f aca="false">MAX(N44,O44)</f>
        <v>210833.965605605</v>
      </c>
      <c r="Q44" s="99" t="n">
        <f aca="false">MAX(0,L44-P44)</f>
        <v>2891912.5225879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12660.7001189481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0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2891912.5225879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0.065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2891912.5225879</v>
      </c>
      <c r="K45" s="99" t="n">
        <f aca="false">J45*E45</f>
        <v>187974.313968214</v>
      </c>
      <c r="L45" s="99" t="n">
        <f aca="false">J45+K45</f>
        <v>3079886.83655611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224179.265316892</v>
      </c>
      <c r="O45" s="99" t="n">
        <f aca="false">IF(D45&gt;$B$4,0,IF(D45&lt;$B$3,0,$B$8*(1+$B$10)^(C45-1)))</f>
        <v>199649.50187572</v>
      </c>
      <c r="P45" s="99" t="n">
        <f aca="false">MAX(N45,O45)</f>
        <v>224179.265316892</v>
      </c>
      <c r="Q45" s="99" t="n">
        <f aca="false">MAX(0,L45-P45)</f>
        <v>2855707.57123922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12977.2176219218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0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2855707.57123922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-0.035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2855707.57123922</v>
      </c>
      <c r="K46" s="99" t="n">
        <f aca="false">J46*E46</f>
        <v>-99949.7649933728</v>
      </c>
      <c r="L46" s="99" t="n">
        <f aca="false">J46+K46</f>
        <v>2755757.80624585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234074.391085182</v>
      </c>
      <c r="O46" s="99" t="n">
        <f aca="false">IF(D46&gt;$B$4,0,IF(D46&lt;$B$3,0,$B$8*(1+$B$10)^(C46-1)))</f>
        <v>204640.739422613</v>
      </c>
      <c r="P46" s="99" t="n">
        <f aca="false">MAX(N46,O46)</f>
        <v>234074.391085182</v>
      </c>
      <c r="Q46" s="99" t="n">
        <f aca="false">MAX(0,L46-P46)</f>
        <v>2521683.41516067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13301.6480624699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0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2521683.41516067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0.08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2521683.41516067</v>
      </c>
      <c r="K47" s="99" t="n">
        <f aca="false">J47*E47</f>
        <v>201734.673212853</v>
      </c>
      <c r="L47" s="99" t="n">
        <f aca="false">J47+K47</f>
        <v>2723418.08837352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2723418.08837352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13634.1892640316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0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2723418.08837352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0.0542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2723418.08837352</v>
      </c>
      <c r="K48" s="99" t="n">
        <f aca="false">J48*E48</f>
        <v>147609.260389845</v>
      </c>
      <c r="L48" s="99" t="n">
        <f aca="false">J48+K48</f>
        <v>2871027.34876337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2871027.34876337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13975.0439956324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0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2871027.34876337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0.0791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2871027.34876337</v>
      </c>
      <c r="K49" s="99" t="n">
        <f aca="false">J49*E49</f>
        <v>227098.263287182</v>
      </c>
      <c r="L49" s="99" t="n">
        <f aca="false">J49+K49</f>
        <v>3098125.61205055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3098125.61205055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14324.4200955232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0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3098125.61205055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0.0377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3098125.61205055</v>
      </c>
      <c r="K50" s="99" t="n">
        <f aca="false">J50*E50</f>
        <v>116799.335574306</v>
      </c>
      <c r="L50" s="99" t="n">
        <f aca="false">J50+K50</f>
        <v>3214924.94762485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3214924.94762485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14682.5305979113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0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3214924.94762485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0.0919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3214924.94762485</v>
      </c>
      <c r="K51" s="99" t="n">
        <f aca="false">J51*E51</f>
        <v>295451.602686724</v>
      </c>
      <c r="L51" s="99" t="n">
        <f aca="false">J51+K51</f>
        <v>3510376.55031158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3510376.55031158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15049.5938628591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0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3510376.55031158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0.0337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3510376.55031158</v>
      </c>
      <c r="K52" s="99" t="n">
        <f aca="false">J52*E52</f>
        <v>118299.6897455</v>
      </c>
      <c r="L52" s="99" t="n">
        <f aca="false">J52+K52</f>
        <v>3628676.24005708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3628676.24005708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15425.8337094305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0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3628676.24005708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0.045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3628676.24005708</v>
      </c>
      <c r="K53" s="99" t="n">
        <f aca="false">J53*E53</f>
        <v>163290.430802569</v>
      </c>
      <c r="L53" s="99" t="n">
        <f aca="false">J53+K53</f>
        <v>3791966.67085965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3791966.67085965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15811.4795521663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0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3791966.67085965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0.11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3791966.67085965</v>
      </c>
      <c r="K54" s="99" t="n">
        <f aca="false">J54*E54</f>
        <v>417116.333794561</v>
      </c>
      <c r="L54" s="99" t="n">
        <f aca="false">J54+K54</f>
        <v>4209083.00465421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4209083.00465421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16206.7665409705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0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4209083.00465421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10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65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None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IRA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70</v>
      </c>
      <c r="C3" s="57"/>
      <c r="D3" s="64" t="s">
        <v>14</v>
      </c>
      <c r="E3" s="72" t="str">
        <f aca="false">VLOOKUP($A$14,Scenarios!$A:$CE,HLOOKUP(D3,Scenarios!$1:$2,2,FALSE()),FALSE())</f>
        <v>IRA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1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1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6500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97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162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IRA with % of Salary / None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65</v>
      </c>
      <c r="E17" s="97" t="n">
        <f aca="false">HLOOKUP($B$6,'RetireUp Market Returns'!A:CT,(1+$B$7+C17),FALSE())</f>
        <v>-0.0354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-70800</v>
      </c>
      <c r="L17" s="99" t="n">
        <f aca="false">J17+K17</f>
        <v>1929200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1929200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6500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0</v>
      </c>
      <c r="Z17" s="99" t="n">
        <f aca="false">W17+X17+Y17</f>
        <v>5000</v>
      </c>
      <c r="AA17" s="100" t="n">
        <f aca="false">Q17+Z17</f>
        <v>1934200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66</v>
      </c>
      <c r="E18" s="97" t="n">
        <f aca="false">HLOOKUP($B$6,'RetireUp Market Returns'!A:CT,(1+$B$7+C18),FALSE())</f>
        <v>0.1019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1934200</v>
      </c>
      <c r="K18" s="99" t="n">
        <f aca="false">J18*E18</f>
        <v>197094.98</v>
      </c>
      <c r="L18" s="99" t="n">
        <f aca="false">J18+K18</f>
        <v>2131294.98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2131294.98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6662.5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0</v>
      </c>
      <c r="Z18" s="99" t="n">
        <f aca="false">W18+X18+Y18</f>
        <v>5100</v>
      </c>
      <c r="AA18" s="100" t="n">
        <f aca="false">Q18+W18+X18+Y18</f>
        <v>2136394.98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67</v>
      </c>
      <c r="E19" s="97" t="n">
        <f aca="false">HLOOKUP($B$6,'RetireUp Market Returns'!A:CT,(1+$B$7+C19),FALSE())</f>
        <v>0.1698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2136394.98</v>
      </c>
      <c r="K19" s="99" t="n">
        <f aca="false">J19*E19</f>
        <v>362759.867604</v>
      </c>
      <c r="L19" s="99" t="n">
        <f aca="false">J19+K19</f>
        <v>2499154.847604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2499154.847604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6829.0625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0</v>
      </c>
      <c r="Z19" s="99" t="n">
        <f aca="false">W19+X19+Y19</f>
        <v>5202</v>
      </c>
      <c r="AA19" s="100" t="n">
        <f aca="false">Q19+W19+X19+Y19</f>
        <v>2504356.847604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68</v>
      </c>
      <c r="E20" s="97" t="n">
        <f aca="false">HLOOKUP($B$6,'RetireUp Market Returns'!A:CT,(1+$B$7+C20),FALSE())</f>
        <v>-0.0257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2504356.847604</v>
      </c>
      <c r="K20" s="99" t="n">
        <f aca="false">J20*E20</f>
        <v>-64361.9709834228</v>
      </c>
      <c r="L20" s="99" t="n">
        <f aca="false">J20+K20</f>
        <v>2439994.87662058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2439994.87662058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6999.7890625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0</v>
      </c>
      <c r="Z20" s="99" t="n">
        <f aca="false">W20+X20+Y20</f>
        <v>5306.04</v>
      </c>
      <c r="AA20" s="100" t="n">
        <f aca="false">Q20+W20+X20+Y20</f>
        <v>2445300.91662058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69</v>
      </c>
      <c r="E21" s="97" t="n">
        <f aca="false">HLOOKUP($B$6,'RetireUp Market Returns'!A:CT,(1+$B$7+C21),FALSE())</f>
        <v>0.0912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2445300.91662058</v>
      </c>
      <c r="K21" s="99" t="n">
        <f aca="false">J21*E21</f>
        <v>223011.443595797</v>
      </c>
      <c r="L21" s="99" t="n">
        <f aca="false">J21+K21</f>
        <v>2668312.36021637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2668312.36021637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5412.1608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7174.7837890625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0</v>
      </c>
      <c r="W21" s="99" t="n">
        <f aca="false">MIN(R21,T21)</f>
        <v>5412.1608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5412.1608</v>
      </c>
      <c r="AA21" s="100" t="n">
        <f aca="false">Q21+W21+X21+Y21</f>
        <v>2673724.52101637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70</v>
      </c>
      <c r="E22" s="97" t="n">
        <f aca="false">HLOOKUP($B$6,'RetireUp Market Returns'!A:CT,(1+$B$7+C22),FALSE())</f>
        <v>0.0479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2673724.52101637</v>
      </c>
      <c r="K22" s="99" t="n">
        <f aca="false">J22*E22</f>
        <v>128071.404556684</v>
      </c>
      <c r="L22" s="99" t="n">
        <f aca="false">J22+K22</f>
        <v>2801795.92557306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2688655.104284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7354.15338378906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0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2688655.104284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71</v>
      </c>
      <c r="E23" s="97" t="n">
        <f aca="false">HLOOKUP($B$6,'RetireUp Market Returns'!A:CT,(1+$B$7+C23),FALSE())</f>
        <v>0.0213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2688655.104284</v>
      </c>
      <c r="K23" s="99" t="n">
        <f aca="false">J23*E23</f>
        <v>57268.3537212491</v>
      </c>
      <c r="L23" s="99" t="n">
        <f aca="false">J23+K23</f>
        <v>2745923.45800524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2629954.11618396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7538.00721838378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0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2629954.11618396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72</v>
      </c>
      <c r="E24" s="97" t="n">
        <f aca="false">HLOOKUP($B$6,'RetireUp Market Returns'!A:CT,(1+$B$7+C24),FALSE())</f>
        <v>0.11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2629954.11618396</v>
      </c>
      <c r="K24" s="99" t="n">
        <f aca="false">J24*E24</f>
        <v>289294.952780235</v>
      </c>
      <c r="L24" s="99" t="n">
        <f aca="false">J24+K24</f>
        <v>2919249.06896419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2800380.49359737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7726.45739884338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0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2800380.49359737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73</v>
      </c>
      <c r="E25" s="97" t="n">
        <f aca="false">HLOOKUP($B$6,'RetireUp Market Returns'!A:CT,(1+$B$7+C25),FALSE())</f>
        <v>0.0802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2800380.49359737</v>
      </c>
      <c r="K25" s="99" t="n">
        <f aca="false">J25*E25</f>
        <v>224590.515586509</v>
      </c>
      <c r="L25" s="99" t="n">
        <f aca="false">J25+K25</f>
        <v>3024971.00918388</v>
      </c>
      <c r="M25" s="101" t="n">
        <f aca="false">IF(D25="-","-",IF($F$4="Roth","-",IF($E$3="Health Savings Account","-",IF(AND(A25=2033,D25=74),VLOOKUP(D25,Tables!G:H,2,FALSE()),IF(AND(A25&gt;2032,D25&lt;75),"-",IF(D25&lt;73,"-",VLOOKUP(D25,Tables!G:H,2,FALSE())))))))</f>
        <v>26.5</v>
      </c>
      <c r="N25" s="99" t="n">
        <f aca="false">IF($M25="-",0,J25/$M25)</f>
        <v>105674.735607448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2903130.71943289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7919.61883381446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0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2903130.71943289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74</v>
      </c>
      <c r="E26" s="97" t="n">
        <f aca="false">HLOOKUP($B$6,'RetireUp Market Returns'!A:CT,(1+$B$7+C26),FALSE())</f>
        <v>0.0818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2903130.71943289</v>
      </c>
      <c r="K26" s="99" t="n">
        <f aca="false">J26*E26</f>
        <v>237476.09284961</v>
      </c>
      <c r="L26" s="99" t="n">
        <f aca="false">J26+K26</f>
        <v>3140606.8122825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25.5</v>
      </c>
      <c r="N26" s="99" t="n">
        <f aca="false">IF($M26="-",0,J26/$M26)</f>
        <v>113848.263507172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3015720.51528773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8117.60930465982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0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3015720.51528773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75</v>
      </c>
      <c r="E27" s="97" t="n">
        <f aca="false">HLOOKUP($B$6,'RetireUp Market Returns'!A:CT,(1+$B$7+C27),FALSE())</f>
        <v>0.1008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3015720.51528773</v>
      </c>
      <c r="K27" s="99" t="n">
        <f aca="false">J27*E27</f>
        <v>303984.627941003</v>
      </c>
      <c r="L27" s="99" t="n">
        <f aca="false">J27+K27</f>
        <v>3319705.14322873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24.6</v>
      </c>
      <c r="N27" s="99" t="n">
        <f aca="false">IF($M27="-",0,J27/$M27)</f>
        <v>122590.264849095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3191696.6888091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8320.54953727632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0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3191696.6888091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76</v>
      </c>
      <c r="E28" s="97" t="n">
        <f aca="false">HLOOKUP($B$6,'RetireUp Market Returns'!A:CT,(1+$B$7+C28),FALSE())</f>
        <v>-0.0492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3191696.6888091</v>
      </c>
      <c r="K28" s="99" t="n">
        <f aca="false">J28*E28</f>
        <v>-157031.477089408</v>
      </c>
      <c r="L28" s="99" t="n">
        <f aca="false">J28+K28</f>
        <v>3034665.21171969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23.7</v>
      </c>
      <c r="N28" s="99" t="n">
        <f aca="false">IF($M28="-",0,J28/$M28)</f>
        <v>134670.746363253</v>
      </c>
      <c r="O28" s="99" t="n">
        <f aca="false">IF(D28&gt;$B$4,0,IF(D28&lt;$B$3,0,$B$8*(1+$B$10)^(C28-1)))</f>
        <v>131208.665780127</v>
      </c>
      <c r="P28" s="99" t="n">
        <f aca="false">MAX(N28,O28)</f>
        <v>134670.746363253</v>
      </c>
      <c r="Q28" s="99" t="n">
        <f aca="false">MAX(0,L28-P28)</f>
        <v>2899994.46535644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8528.56327570823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0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2899994.46535644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77</v>
      </c>
      <c r="E29" s="97" t="n">
        <f aca="false">HLOOKUP($B$6,'RetireUp Market Returns'!A:CT,(1+$B$7+C29),FALSE())</f>
        <v>0.0123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2899994.46535644</v>
      </c>
      <c r="K29" s="99" t="n">
        <f aca="false">J29*E29</f>
        <v>35669.9319238842</v>
      </c>
      <c r="L29" s="99" t="n">
        <f aca="false">J29+K29</f>
        <v>2935664.39728032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22.9</v>
      </c>
      <c r="N29" s="99" t="n">
        <f aca="false">IF($M29="-",0,J29/$M29)</f>
        <v>126637.312897661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2801175.51485569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8741.77735760093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0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2801175.51485569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78</v>
      </c>
      <c r="E30" s="97" t="n">
        <f aca="false">HLOOKUP($B$6,'RetireUp Market Returns'!A:CT,(1+$B$7+C30),FALSE())</f>
        <v>0.0641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2801175.51485569</v>
      </c>
      <c r="K30" s="99" t="n">
        <f aca="false">J30*E30</f>
        <v>179555.35050225</v>
      </c>
      <c r="L30" s="99" t="n">
        <f aca="false">J30+K30</f>
        <v>2980730.86535794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</v>
      </c>
      <c r="N30" s="99" t="n">
        <f aca="false">IF($M30="-",0,J30/$M30)</f>
        <v>127326.159766168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2842879.7608727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8960.32179154095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0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2842879.7608727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79</v>
      </c>
      <c r="E31" s="97" t="n">
        <f aca="false">HLOOKUP($B$6,'RetireUp Market Returns'!A:CT,(1+$B$7+C31),FALSE())</f>
        <v>0.1071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2842879.7608727</v>
      </c>
      <c r="K31" s="99" t="n">
        <f aca="false">J31*E31</f>
        <v>304472.422389466</v>
      </c>
      <c r="L31" s="99" t="n">
        <f aca="false">J31+K31</f>
        <v>3147352.18326216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21.1</v>
      </c>
      <c r="N31" s="99" t="n">
        <f aca="false">IF($M31="-",0,J31/$M31)</f>
        <v>134733.637956052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3006054.80116478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9184.32983632948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0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3006054.80116478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80</v>
      </c>
      <c r="E32" s="97" t="n">
        <f aca="false">HLOOKUP($B$6,'RetireUp Market Returns'!A:CT,(1+$B$7+C32),FALSE())</f>
        <v>0.0651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3006054.80116478</v>
      </c>
      <c r="K32" s="99" t="n">
        <f aca="false">J32*E32</f>
        <v>195694.167555828</v>
      </c>
      <c r="L32" s="99" t="n">
        <f aca="false">J32+K32</f>
        <v>3201748.96872061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20.2</v>
      </c>
      <c r="N32" s="99" t="n">
        <f aca="false">IF($M32="-",0,J32/$M32)</f>
        <v>148814.594117069</v>
      </c>
      <c r="O32" s="99" t="n">
        <f aca="false">IF(D32&gt;$B$4,0,IF(D32&lt;$B$3,0,$B$8*(1+$B$10)^(C32-1)))</f>
        <v>144829.816649811</v>
      </c>
      <c r="P32" s="99" t="n">
        <f aca="false">MAX(N32,O32)</f>
        <v>148814.594117069</v>
      </c>
      <c r="Q32" s="99" t="n">
        <f aca="false">MAX(0,L32-P32)</f>
        <v>3052934.37460354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9413.93808223771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0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3052934.37460354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81</v>
      </c>
      <c r="E33" s="97" t="n">
        <f aca="false">HLOOKUP($B$6,'RetireUp Market Returns'!A:CT,(1+$B$7+C33),FALSE())</f>
        <v>0.08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3052934.37460354</v>
      </c>
      <c r="K33" s="99" t="n">
        <f aca="false">J33*E33</f>
        <v>244234.749968284</v>
      </c>
      <c r="L33" s="99" t="n">
        <f aca="false">J33+K33</f>
        <v>3297169.12457183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19.4</v>
      </c>
      <c r="N33" s="99" t="n">
        <f aca="false">IF($M33="-",0,J33/$M33)</f>
        <v>157367.751268224</v>
      </c>
      <c r="O33" s="99" t="n">
        <f aca="false">IF(D33&gt;$B$4,0,IF(D33&lt;$B$3,0,$B$8*(1+$B$10)^(C33-1)))</f>
        <v>148450.562066056</v>
      </c>
      <c r="P33" s="99" t="n">
        <f aca="false">MAX(N33,O33)</f>
        <v>157367.751268224</v>
      </c>
      <c r="Q33" s="99" t="n">
        <f aca="false">MAX(0,L33-P33)</f>
        <v>3139801.3733036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9649.28653429366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0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3139801.3733036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82</v>
      </c>
      <c r="E34" s="97" t="n">
        <f aca="false">HLOOKUP($B$6,'RetireUp Market Returns'!A:CT,(1+$B$7+C34),FALSE())</f>
        <v>0.0311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3139801.3733036</v>
      </c>
      <c r="K34" s="99" t="n">
        <f aca="false">J34*E34</f>
        <v>97647.8227097421</v>
      </c>
      <c r="L34" s="99" t="n">
        <f aca="false">J34+K34</f>
        <v>3237449.19601335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18.5</v>
      </c>
      <c r="N34" s="99" t="n">
        <f aca="false">IF($M34="-",0,J34/$M34)</f>
        <v>169718.993151546</v>
      </c>
      <c r="O34" s="99" t="n">
        <f aca="false">IF(D34&gt;$B$4,0,IF(D34&lt;$B$3,0,$B$8*(1+$B$10)^(C34-1)))</f>
        <v>152161.826117708</v>
      </c>
      <c r="P34" s="99" t="n">
        <f aca="false">MAX(N34,O34)</f>
        <v>169718.993151546</v>
      </c>
      <c r="Q34" s="99" t="n">
        <f aca="false">MAX(0,L34-P34)</f>
        <v>3067730.2028618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9890.51869765099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0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3067730.2028618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83</v>
      </c>
      <c r="E35" s="97" t="n">
        <f aca="false">HLOOKUP($B$6,'RetireUp Market Returns'!A:CT,(1+$B$7+C35),FALSE())</f>
        <v>0.0563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3067730.2028618</v>
      </c>
      <c r="K35" s="99" t="n">
        <f aca="false">J35*E35</f>
        <v>172713.210421119</v>
      </c>
      <c r="L35" s="99" t="n">
        <f aca="false">J35+K35</f>
        <v>3240443.41328292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17.7</v>
      </c>
      <c r="N35" s="99" t="n">
        <f aca="false">IF($M35="-",0,J35/$M35)</f>
        <v>173318.090557164</v>
      </c>
      <c r="O35" s="99" t="n">
        <f aca="false">IF(D35&gt;$B$4,0,IF(D35&lt;$B$3,0,$B$8*(1+$B$10)^(C35-1)))</f>
        <v>155965.87177065</v>
      </c>
      <c r="P35" s="99" t="n">
        <f aca="false">MAX(N35,O35)</f>
        <v>173318.090557164</v>
      </c>
      <c r="Q35" s="99" t="n">
        <f aca="false">MAX(0,L35-P35)</f>
        <v>3067125.32272576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10137.7816650923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0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3067125.32272576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84</v>
      </c>
      <c r="E36" s="97" t="n">
        <f aca="false">HLOOKUP($B$6,'RetireUp Market Returns'!A:CT,(1+$B$7+C36),FALSE())</f>
        <v>0.0272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3067125.32272576</v>
      </c>
      <c r="K36" s="99" t="n">
        <f aca="false">J36*E36</f>
        <v>83425.8087781405</v>
      </c>
      <c r="L36" s="99" t="n">
        <f aca="false">J36+K36</f>
        <v>3150551.1315039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16.8</v>
      </c>
      <c r="N36" s="99" t="n">
        <f aca="false">IF($M36="-",0,J36/$M36)</f>
        <v>182566.983495581</v>
      </c>
      <c r="O36" s="99" t="n">
        <f aca="false">IF(D36&gt;$B$4,0,IF(D36&lt;$B$3,0,$B$8*(1+$B$10)^(C36-1)))</f>
        <v>159865.018564917</v>
      </c>
      <c r="P36" s="99" t="n">
        <f aca="false">MAX(N36,O36)</f>
        <v>182566.983495581</v>
      </c>
      <c r="Q36" s="99" t="n">
        <f aca="false">MAX(0,L36-P36)</f>
        <v>2967984.14800832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10391.2262067196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0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2967984.14800832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85</v>
      </c>
      <c r="E37" s="97" t="n">
        <f aca="false">HLOOKUP($B$6,'RetireUp Market Returns'!A:CT,(1+$B$7+C37),FALSE())</f>
        <v>0.1648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2967984.14800832</v>
      </c>
      <c r="K37" s="99" t="n">
        <f aca="false">J37*E37</f>
        <v>489123.78759177</v>
      </c>
      <c r="L37" s="99" t="n">
        <f aca="false">J37+K37</f>
        <v>3457107.93560009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</v>
      </c>
      <c r="N37" s="99" t="n">
        <f aca="false">IF($M37="-",0,J37/$M37)</f>
        <v>185499.00925052</v>
      </c>
      <c r="O37" s="99" t="n">
        <f aca="false">IF(D37&gt;$B$4,0,IF(D37&lt;$B$3,0,$B$8*(1+$B$10)^(C37-1)))</f>
        <v>163861.644029039</v>
      </c>
      <c r="P37" s="99" t="n">
        <f aca="false">MAX(N37,O37)</f>
        <v>185499.00925052</v>
      </c>
      <c r="Q37" s="99" t="n">
        <f aca="false">MAX(0,L37-P37)</f>
        <v>3271608.92634957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10651.0068618876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0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3271608.92634957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86</v>
      </c>
      <c r="E38" s="97" t="n">
        <f aca="false">HLOOKUP($B$6,'RetireUp Market Returns'!A:CT,(1+$B$7+C38),FALSE())</f>
        <v>-0.0675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3271608.92634957</v>
      </c>
      <c r="K38" s="99" t="n">
        <f aca="false">J38*E38</f>
        <v>-220833.602528596</v>
      </c>
      <c r="L38" s="99" t="n">
        <f aca="false">J38+K38</f>
        <v>3050775.32382097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15.2</v>
      </c>
      <c r="N38" s="99" t="n">
        <f aca="false">IF($M38="-",0,J38/$M38)</f>
        <v>215237.429365103</v>
      </c>
      <c r="O38" s="99" t="n">
        <f aca="false">IF(D38&gt;$B$4,0,IF(D38&lt;$B$3,0,$B$8*(1+$B$10)^(C38-1)))</f>
        <v>167958.185129765</v>
      </c>
      <c r="P38" s="99" t="n">
        <f aca="false">MAX(N38,O38)</f>
        <v>215237.429365103</v>
      </c>
      <c r="Q38" s="99" t="n">
        <f aca="false">MAX(0,L38-P38)</f>
        <v>2835537.89445587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10917.2820334348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0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2835537.89445587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87</v>
      </c>
      <c r="E39" s="97" t="n">
        <f aca="false">HLOOKUP($B$6,'RetireUp Market Returns'!A:CT,(1+$B$7+C39),FALSE())</f>
        <v>0.1328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2835537.89445587</v>
      </c>
      <c r="K39" s="99" t="n">
        <f aca="false">J39*E39</f>
        <v>376559.432383739</v>
      </c>
      <c r="L39" s="99" t="n">
        <f aca="false">J39+K39</f>
        <v>3212097.32683961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14.4</v>
      </c>
      <c r="N39" s="99" t="n">
        <f aca="false">IF($M39="-",0,J39/$M39)</f>
        <v>196912.353781657</v>
      </c>
      <c r="O39" s="99" t="n">
        <f aca="false">IF(D39&gt;$B$4,0,IF(D39&lt;$B$3,0,$B$8*(1+$B$10)^(C39-1)))</f>
        <v>172157.13975801</v>
      </c>
      <c r="P39" s="99" t="n">
        <f aca="false">MAX(N39,O39)</f>
        <v>196912.353781657</v>
      </c>
      <c r="Q39" s="99" t="n">
        <f aca="false">MAX(0,L39-P39)</f>
        <v>3015184.97305795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11190.2140842706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0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3015184.97305795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88</v>
      </c>
      <c r="E40" s="97" t="n">
        <f aca="false">HLOOKUP($B$6,'RetireUp Market Returns'!A:CT,(1+$B$7+C40),FALSE())</f>
        <v>0.0458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3015184.97305795</v>
      </c>
      <c r="K40" s="99" t="n">
        <f aca="false">J40*E40</f>
        <v>138095.471766054</v>
      </c>
      <c r="L40" s="99" t="n">
        <f aca="false">J40+K40</f>
        <v>3153280.444824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13.7</v>
      </c>
      <c r="N40" s="99" t="n">
        <f aca="false">IF($M40="-",0,J40/$M40)</f>
        <v>220086.494383792</v>
      </c>
      <c r="O40" s="99" t="n">
        <f aca="false">IF(D40&gt;$B$4,0,IF(D40&lt;$B$3,0,$B$8*(1+$B$10)^(C40-1)))</f>
        <v>176461.06825196</v>
      </c>
      <c r="P40" s="99" t="n">
        <f aca="false">MAX(N40,O40)</f>
        <v>220086.494383792</v>
      </c>
      <c r="Q40" s="99" t="n">
        <f aca="false">MAX(0,L40-P40)</f>
        <v>2933193.95044021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11469.9694363774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0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2933193.95044021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89</v>
      </c>
      <c r="E41" s="97" t="n">
        <f aca="false">HLOOKUP($B$6,'RetireUp Market Returns'!A:CT,(1+$B$7+C41),FALSE())</f>
        <v>0.0904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2933193.95044021</v>
      </c>
      <c r="K41" s="99" t="n">
        <f aca="false">J41*E41</f>
        <v>265160.733119795</v>
      </c>
      <c r="L41" s="99" t="n">
        <f aca="false">J41+K41</f>
        <v>3198354.68356001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12.9</v>
      </c>
      <c r="N41" s="99" t="n">
        <f aca="false">IF($M41="-",0,J41/$M41)</f>
        <v>227379.376003117</v>
      </c>
      <c r="O41" s="99" t="n">
        <f aca="false">IF(D41&gt;$B$4,0,IF(D41&lt;$B$3,0,$B$8*(1+$B$10)^(C41-1)))</f>
        <v>180872.594958259</v>
      </c>
      <c r="P41" s="99" t="n">
        <f aca="false">MAX(N41,O41)</f>
        <v>227379.376003117</v>
      </c>
      <c r="Q41" s="99" t="n">
        <f aca="false">MAX(0,L41-P41)</f>
        <v>2970975.30755689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11756.7186722868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0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2970975.30755689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90</v>
      </c>
      <c r="E42" s="97" t="n">
        <f aca="false">HLOOKUP($B$6,'RetireUp Market Returns'!A:CT,(1+$B$7+C42),FALSE())</f>
        <v>0.0678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2970975.30755689</v>
      </c>
      <c r="K42" s="99" t="n">
        <f aca="false">J42*E42</f>
        <v>201432.125852357</v>
      </c>
      <c r="L42" s="99" t="n">
        <f aca="false">J42+K42</f>
        <v>3172407.43340925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12.2</v>
      </c>
      <c r="N42" s="99" t="n">
        <f aca="false">IF($M42="-",0,J42/$M42)</f>
        <v>243522.566193188</v>
      </c>
      <c r="O42" s="99" t="n">
        <f aca="false">IF(D42&gt;$B$4,0,IF(D42&lt;$B$3,0,$B$8*(1+$B$10)^(C42-1)))</f>
        <v>185394.409832215</v>
      </c>
      <c r="P42" s="99" t="n">
        <f aca="false">MAX(N42,O42)</f>
        <v>243522.566193188</v>
      </c>
      <c r="Q42" s="99" t="n">
        <f aca="false">MAX(0,L42-P42)</f>
        <v>2928884.86721606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12050.636639094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0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2928884.86721606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str">
        <f aca="false">IF(D42="-","-",IF(D42+1&gt;B$4,"-",D42+1))</f>
        <v>-</v>
      </c>
      <c r="E43" s="97" t="n">
        <f aca="false">HLOOKUP($B$6,'RetireUp Market Returns'!A:CT,(1+$B$7+C43),FALSE())</f>
        <v>0.0533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2928884.86721606</v>
      </c>
      <c r="K43" s="99" t="n">
        <f aca="false">J43*E43</f>
        <v>156109.563422616</v>
      </c>
      <c r="L43" s="99" t="n">
        <f aca="false">J43+K43</f>
        <v>3084994.43063867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0</v>
      </c>
      <c r="P43" s="99" t="n">
        <f aca="false">MAX(N43,O43)</f>
        <v>0</v>
      </c>
      <c r="Q43" s="99" t="n">
        <f aca="false">MAX(0,L43-P43)</f>
        <v>3084994.43063867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12351.9025550713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0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3084994.43063867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0.0742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3084994.43063867</v>
      </c>
      <c r="K44" s="99" t="n">
        <f aca="false">J44*E44</f>
        <v>228906.58675339</v>
      </c>
      <c r="L44" s="99" t="n">
        <f aca="false">J44+K44</f>
        <v>3313901.01739206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3313901.01739206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12660.7001189481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0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3313901.01739206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0.065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3313901.01739206</v>
      </c>
      <c r="K45" s="99" t="n">
        <f aca="false">J45*E45</f>
        <v>215403.566130484</v>
      </c>
      <c r="L45" s="99" t="n">
        <f aca="false">J45+K45</f>
        <v>3529304.58352255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3529304.58352255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12977.2176219218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0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3529304.58352255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-0.035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3529304.58352255</v>
      </c>
      <c r="K46" s="99" t="n">
        <f aca="false">J46*E46</f>
        <v>-123525.660423289</v>
      </c>
      <c r="L46" s="99" t="n">
        <f aca="false">J46+K46</f>
        <v>3405778.92309926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3405778.92309926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13301.6480624699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0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3405778.92309926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0.08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3405778.92309926</v>
      </c>
      <c r="K47" s="99" t="n">
        <f aca="false">J47*E47</f>
        <v>272462.313847941</v>
      </c>
      <c r="L47" s="99" t="n">
        <f aca="false">J47+K47</f>
        <v>3678241.2369472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3678241.2369472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13634.1892640316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0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3678241.2369472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0.0542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3678241.2369472</v>
      </c>
      <c r="K48" s="99" t="n">
        <f aca="false">J48*E48</f>
        <v>199360.675042538</v>
      </c>
      <c r="L48" s="99" t="n">
        <f aca="false">J48+K48</f>
        <v>3877601.91198974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3877601.91198974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13975.0439956324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0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3877601.91198974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0.0791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3877601.91198974</v>
      </c>
      <c r="K49" s="99" t="n">
        <f aca="false">J49*E49</f>
        <v>306718.311238388</v>
      </c>
      <c r="L49" s="99" t="n">
        <f aca="false">J49+K49</f>
        <v>4184320.22322813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4184320.22322813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14324.4200955232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0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4184320.22322813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0.0377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4184320.22322813</v>
      </c>
      <c r="K50" s="99" t="n">
        <f aca="false">J50*E50</f>
        <v>157748.8724157</v>
      </c>
      <c r="L50" s="99" t="n">
        <f aca="false">J50+K50</f>
        <v>4342069.09564383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4342069.09564383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14682.5305979113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0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4342069.09564383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0.0919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4342069.09564383</v>
      </c>
      <c r="K51" s="99" t="n">
        <f aca="false">J51*E51</f>
        <v>399036.149889668</v>
      </c>
      <c r="L51" s="99" t="n">
        <f aca="false">J51+K51</f>
        <v>4741105.24553349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4741105.24553349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15049.5938628591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0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4741105.24553349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0.0337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4741105.24553349</v>
      </c>
      <c r="K52" s="99" t="n">
        <f aca="false">J52*E52</f>
        <v>159775.246774479</v>
      </c>
      <c r="L52" s="99" t="n">
        <f aca="false">J52+K52</f>
        <v>4900880.49230797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4900880.49230797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15425.8337094305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0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4900880.49230797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0.045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4900880.49230797</v>
      </c>
      <c r="K53" s="99" t="n">
        <f aca="false">J53*E53</f>
        <v>220539.622153859</v>
      </c>
      <c r="L53" s="99" t="n">
        <f aca="false">J53+K53</f>
        <v>5121420.11446183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5121420.11446183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15811.4795521663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0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5121420.11446183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0.11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5121420.11446183</v>
      </c>
      <c r="K54" s="99" t="n">
        <f aca="false">J54*E54</f>
        <v>563356.212590802</v>
      </c>
      <c r="L54" s="99" t="n">
        <f aca="false">J54+K54</f>
        <v>5684776.32705263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5684776.32705263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16206.7665409705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0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5684776.32705263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11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None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Roth IRA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Roth IRA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1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1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>Roth</v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6500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Maximum Allowable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163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Roth IRA with Maximum Allowable / None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7500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6500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6500</v>
      </c>
      <c r="X17" s="99" t="n">
        <f aca="false">MIN(U17,R17-W17)</f>
        <v>1000</v>
      </c>
      <c r="Y17" s="99" t="n">
        <f aca="false">MIN(S17,V17)</f>
        <v>0</v>
      </c>
      <c r="Z17" s="99" t="n">
        <f aca="false">W17+X17+Y17</f>
        <v>7500</v>
      </c>
      <c r="AA17" s="100" t="n">
        <f aca="false">Q17+Z17</f>
        <v>2189900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2189900</v>
      </c>
      <c r="K18" s="99" t="n">
        <f aca="false">J18*E18</f>
        <v>104896.21</v>
      </c>
      <c r="L18" s="99" t="n">
        <f aca="false">J18+K18</f>
        <v>2294796.21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2294796.21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7687.5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6662.5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6662.5</v>
      </c>
      <c r="X18" s="99" t="n">
        <f aca="false">MIN(U18,R18-W18)</f>
        <v>1025</v>
      </c>
      <c r="Y18" s="99" t="n">
        <f aca="false">MIN(S18,V18)</f>
        <v>0</v>
      </c>
      <c r="Z18" s="99" t="n">
        <f aca="false">W18+X18+Y18</f>
        <v>7687.5</v>
      </c>
      <c r="AA18" s="100" t="n">
        <f aca="false">Q18+W18+X18+Y18</f>
        <v>2302483.71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2302483.71</v>
      </c>
      <c r="K19" s="99" t="n">
        <f aca="false">J19*E19</f>
        <v>49042.903023</v>
      </c>
      <c r="L19" s="99" t="n">
        <f aca="false">J19+K19</f>
        <v>2351526.613023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2351526.613023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7879.6875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6829.0625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6829.0625</v>
      </c>
      <c r="X19" s="99" t="n">
        <f aca="false">MIN(U19,R19-W19)</f>
        <v>1050.625</v>
      </c>
      <c r="Y19" s="99" t="n">
        <f aca="false">MIN(S19,V19)</f>
        <v>0</v>
      </c>
      <c r="Z19" s="99" t="n">
        <f aca="false">W19+X19+Y19</f>
        <v>7879.6875</v>
      </c>
      <c r="AA19" s="100" t="n">
        <f aca="false">Q19+W19+X19+Y19</f>
        <v>2359406.300523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2359406.300523</v>
      </c>
      <c r="K20" s="99" t="n">
        <f aca="false">J20*E20</f>
        <v>259534.69305753</v>
      </c>
      <c r="L20" s="99" t="n">
        <f aca="false">J20+K20</f>
        <v>2618940.99358053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2618940.99358053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8076.6796875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6999.7890625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6999.7890625</v>
      </c>
      <c r="X20" s="99" t="n">
        <f aca="false">MIN(U20,R20-W20)</f>
        <v>1076.890625</v>
      </c>
      <c r="Y20" s="99" t="n">
        <f aca="false">MIN(S20,V20)</f>
        <v>0</v>
      </c>
      <c r="Z20" s="99" t="n">
        <f aca="false">W20+X20+Y20</f>
        <v>8076.6796875</v>
      </c>
      <c r="AA20" s="100" t="n">
        <f aca="false">Q20+W20+X20+Y20</f>
        <v>2627017.67326803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2627017.67326803</v>
      </c>
      <c r="K21" s="99" t="n">
        <f aca="false">J21*E21</f>
        <v>210686.817396096</v>
      </c>
      <c r="L21" s="99" t="n">
        <f aca="false">J21+K21</f>
        <v>2837704.49066413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2727323.20160163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7174.7837890625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0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2727323.20160163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2727323.20160163</v>
      </c>
      <c r="K22" s="99" t="n">
        <f aca="false">J22*E22</f>
        <v>223095.037891013</v>
      </c>
      <c r="L22" s="99" t="n">
        <f aca="false">J22+K22</f>
        <v>2950418.23949264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2837277.41820358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7354.15338378906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0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2837277.41820358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2837277.41820358</v>
      </c>
      <c r="K23" s="99" t="n">
        <f aca="false">J23*E23</f>
        <v>285997.56375492</v>
      </c>
      <c r="L23" s="99" t="n">
        <f aca="false">J23+K23</f>
        <v>3123274.9819585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3007305.64013721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7538.00721838378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0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3007305.64013721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3007305.64013721</v>
      </c>
      <c r="K24" s="99" t="n">
        <f aca="false">J24*E24</f>
        <v>-147959.437494751</v>
      </c>
      <c r="L24" s="99" t="n">
        <f aca="false">J24+K24</f>
        <v>2859346.20264246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2740477.62727564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7726.45739884338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0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2740477.62727564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2740477.62727564</v>
      </c>
      <c r="K25" s="99" t="n">
        <f aca="false">J25*E25</f>
        <v>33707.8748154903</v>
      </c>
      <c r="L25" s="99" t="n">
        <f aca="false">J25+K25</f>
        <v>2774185.50209113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2652345.21234013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7919.61883381446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0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2652345.21234013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2652345.21234013</v>
      </c>
      <c r="K26" s="99" t="n">
        <f aca="false">J26*E26</f>
        <v>170015.328111003</v>
      </c>
      <c r="L26" s="99" t="n">
        <f aca="false">J26+K26</f>
        <v>2822360.54045114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2697474.24345637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8117.60930465982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0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2697474.24345637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2697474.24345637</v>
      </c>
      <c r="K27" s="99" t="n">
        <f aca="false">J27*E27</f>
        <v>288899.491474177</v>
      </c>
      <c r="L27" s="99" t="n">
        <f aca="false">J27+K27</f>
        <v>2986373.73493055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2858365.28051091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8320.54953727632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0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2858365.28051091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2858365.28051091</v>
      </c>
      <c r="K28" s="99" t="n">
        <f aca="false">J28*E28</f>
        <v>186079.57976126</v>
      </c>
      <c r="L28" s="99" t="n">
        <f aca="false">J28+K28</f>
        <v>3044444.86027217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2913236.19449205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8528.56327570823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0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2913236.19449205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2913236.19449205</v>
      </c>
      <c r="K29" s="99" t="n">
        <f aca="false">J29*E29</f>
        <v>233058.895559364</v>
      </c>
      <c r="L29" s="99" t="n">
        <f aca="false">J29+K29</f>
        <v>3146295.09005141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3011806.20762678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8741.77735760093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0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3011806.20762678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3011806.20762678</v>
      </c>
      <c r="K30" s="99" t="n">
        <f aca="false">J30*E30</f>
        <v>93667.1730571928</v>
      </c>
      <c r="L30" s="99" t="n">
        <f aca="false">J30+K30</f>
        <v>3105473.38068397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2967622.27619873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8960.32179154095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0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2967622.27619873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2967622.27619873</v>
      </c>
      <c r="K31" s="99" t="n">
        <f aca="false">J31*E31</f>
        <v>167077.134149988</v>
      </c>
      <c r="L31" s="99" t="n">
        <f aca="false">J31+K31</f>
        <v>3134699.41034871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2993402.02825134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9184.32983632948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0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2993402.02825134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2993402.02825134</v>
      </c>
      <c r="K32" s="99" t="n">
        <f aca="false">J32*E32</f>
        <v>81420.5351684364</v>
      </c>
      <c r="L32" s="99" t="n">
        <f aca="false">J32+K32</f>
        <v>3074822.56341977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2929992.74676996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9413.93808223771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0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2929992.74676996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2929992.74676996</v>
      </c>
      <c r="K33" s="99" t="n">
        <f aca="false">J33*E33</f>
        <v>482862.80466769</v>
      </c>
      <c r="L33" s="99" t="n">
        <f aca="false">J33+K33</f>
        <v>3412855.55143765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3264404.9893716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9649.28653429366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0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3264404.9893716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3264404.9893716</v>
      </c>
      <c r="K34" s="99" t="n">
        <f aca="false">J34*E34</f>
        <v>-220347.336782583</v>
      </c>
      <c r="L34" s="99" t="n">
        <f aca="false">J34+K34</f>
        <v>3044057.65258901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2891895.82647131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9890.51869765099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0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2891895.82647131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2891895.82647131</v>
      </c>
      <c r="K35" s="99" t="n">
        <f aca="false">J35*E35</f>
        <v>384043.76575539</v>
      </c>
      <c r="L35" s="99" t="n">
        <f aca="false">J35+K35</f>
        <v>3275939.5922267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3119973.72045605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10137.7816650923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0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3119973.72045605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3119973.72045605</v>
      </c>
      <c r="K36" s="99" t="n">
        <f aca="false">J36*E36</f>
        <v>142894.796396887</v>
      </c>
      <c r="L36" s="99" t="n">
        <f aca="false">J36+K36</f>
        <v>3262868.51685293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3103003.49828802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10391.2262067196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0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3103003.49828802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3103003.49828802</v>
      </c>
      <c r="K37" s="99" t="n">
        <f aca="false">J37*E37</f>
        <v>280511.516245237</v>
      </c>
      <c r="L37" s="99" t="n">
        <f aca="false">J37+K37</f>
        <v>3383515.01453325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3219653.37050421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10651.0068618876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0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3219653.37050421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3219653.37050421</v>
      </c>
      <c r="K38" s="99" t="n">
        <f aca="false">J38*E38</f>
        <v>218292.498520186</v>
      </c>
      <c r="L38" s="99" t="n">
        <f aca="false">J38+K38</f>
        <v>3437945.8690244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3269987.68389463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10917.2820334348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0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3269987.68389463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3269987.68389463</v>
      </c>
      <c r="K39" s="99" t="n">
        <f aca="false">J39*E39</f>
        <v>174290.343551584</v>
      </c>
      <c r="L39" s="99" t="n">
        <f aca="false">J39+K39</f>
        <v>3444278.02744622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3272120.88768821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11190.2140842706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0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3272120.88768821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3272120.88768821</v>
      </c>
      <c r="K40" s="99" t="n">
        <f aca="false">J40*E40</f>
        <v>242791.369866465</v>
      </c>
      <c r="L40" s="99" t="n">
        <f aca="false">J40+K40</f>
        <v>3514912.25755467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3338451.18930271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11469.9694363774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0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3338451.18930271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3338451.18930271</v>
      </c>
      <c r="K41" s="99" t="n">
        <f aca="false">J41*E41</f>
        <v>216999.327304676</v>
      </c>
      <c r="L41" s="99" t="n">
        <f aca="false">J41+K41</f>
        <v>3555450.51660739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3374577.92164913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11756.7186722868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0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3374577.92164913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3374577.92164913</v>
      </c>
      <c r="K42" s="99" t="n">
        <f aca="false">J42*E42</f>
        <v>-118110.22725772</v>
      </c>
      <c r="L42" s="99" t="n">
        <f aca="false">J42+K42</f>
        <v>3256467.69439141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3071073.2845592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12050.636639094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0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3071073.2845592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3071073.2845592</v>
      </c>
      <c r="K43" s="99" t="n">
        <f aca="false">J43*E43</f>
        <v>245685.862764736</v>
      </c>
      <c r="L43" s="99" t="n">
        <f aca="false">J43+K43</f>
        <v>3316759.14732393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3126729.87724591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12351.9025550713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0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3126729.87724591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3126729.87724591</v>
      </c>
      <c r="K44" s="99" t="n">
        <f aca="false">J44*E44</f>
        <v>169468.759346728</v>
      </c>
      <c r="L44" s="99" t="n">
        <f aca="false">J44+K44</f>
        <v>3296198.63659264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3101418.63476267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12660.7001189481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0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3101418.63476267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3101418.63476267</v>
      </c>
      <c r="K45" s="99" t="n">
        <f aca="false">J45*E45</f>
        <v>245322.214009727</v>
      </c>
      <c r="L45" s="99" t="n">
        <f aca="false">J45+K45</f>
        <v>3346740.84877239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3147091.34689667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12977.2176219218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0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3147091.34689667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3147091.34689667</v>
      </c>
      <c r="K46" s="99" t="n">
        <f aca="false">J46*E46</f>
        <v>118645.343778005</v>
      </c>
      <c r="L46" s="99" t="n">
        <f aca="false">J46+K46</f>
        <v>3265736.69067468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3061095.95125207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13301.6480624699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0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3061095.95125207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3061095.95125207</v>
      </c>
      <c r="K47" s="99" t="n">
        <f aca="false">J47*E47</f>
        <v>281314.717920065</v>
      </c>
      <c r="L47" s="99" t="n">
        <f aca="false">J47+K47</f>
        <v>3342410.66917213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3342410.66917213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13634.1892640316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0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3342410.66917213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3342410.66917213</v>
      </c>
      <c r="K48" s="99" t="n">
        <f aca="false">J48*E48</f>
        <v>112639.239551101</v>
      </c>
      <c r="L48" s="99" t="n">
        <f aca="false">J48+K48</f>
        <v>3455049.90872323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3455049.90872323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13975.0439956324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0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3455049.90872323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3455049.90872323</v>
      </c>
      <c r="K49" s="99" t="n">
        <f aca="false">J49*E49</f>
        <v>155477.245892545</v>
      </c>
      <c r="L49" s="99" t="n">
        <f aca="false">J49+K49</f>
        <v>3610527.15461578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3610527.15461578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14324.4200955232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0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3610527.15461578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3610527.15461578</v>
      </c>
      <c r="K50" s="99" t="n">
        <f aca="false">J50*E50</f>
        <v>397157.987007735</v>
      </c>
      <c r="L50" s="99" t="n">
        <f aca="false">J50+K50</f>
        <v>4007685.14162351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4007685.14162351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14682.5305979113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0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4007685.14162351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4007685.14162351</v>
      </c>
      <c r="K51" s="99" t="n">
        <f aca="false">J51*E51</f>
        <v>350672.449892057</v>
      </c>
      <c r="L51" s="99" t="n">
        <f aca="false">J51+K51</f>
        <v>4358357.59151557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4358357.59151557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15049.5938628591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0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4358357.59151557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4358357.59151557</v>
      </c>
      <c r="K52" s="99" t="n">
        <f aca="false">J52*E52</f>
        <v>-203535.299523777</v>
      </c>
      <c r="L52" s="99" t="n">
        <f aca="false">J52+K52</f>
        <v>4154822.29199179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4154822.29199179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15425.8337094305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0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4154822.29199179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4154822.29199179</v>
      </c>
      <c r="K53" s="99" t="n">
        <f aca="false">J53*E53</f>
        <v>-294161.418273019</v>
      </c>
      <c r="L53" s="99" t="n">
        <f aca="false">J53+K53</f>
        <v>3860660.87371877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3860660.87371877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15811.4795521663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0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3860660.87371877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3860660.87371877</v>
      </c>
      <c r="K54" s="99" t="n">
        <f aca="false">J54*E54</f>
        <v>-520417.085777291</v>
      </c>
      <c r="L54" s="99" t="n">
        <f aca="false">J54+K54</f>
        <v>3340243.78794148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3340243.78794148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16206.7665409705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0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3340243.78794148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12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None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Roth IRA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Roth IRA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1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1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>Roth</v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6500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164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Roth IRA with Monthly / None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24000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6500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6500</v>
      </c>
      <c r="X17" s="99" t="n">
        <f aca="false">MIN(U17,R17-W17)</f>
        <v>1000</v>
      </c>
      <c r="Y17" s="99" t="n">
        <f aca="false">MIN(S17,V17)</f>
        <v>0</v>
      </c>
      <c r="Z17" s="99" t="n">
        <f aca="false">W17+X17+Y17</f>
        <v>7500</v>
      </c>
      <c r="AA17" s="100" t="n">
        <f aca="false">Q17+Z17</f>
        <v>2189900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2189900</v>
      </c>
      <c r="K18" s="99" t="n">
        <f aca="false">J18*E18</f>
        <v>104896.21</v>
      </c>
      <c r="L18" s="99" t="n">
        <f aca="false">J18+K18</f>
        <v>2294796.21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2294796.21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24000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6662.5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6662.5</v>
      </c>
      <c r="X18" s="99" t="n">
        <f aca="false">MIN(U18,R18-W18)</f>
        <v>1025</v>
      </c>
      <c r="Y18" s="99" t="n">
        <f aca="false">MIN(S18,V18)</f>
        <v>0</v>
      </c>
      <c r="Z18" s="99" t="n">
        <f aca="false">W18+X18+Y18</f>
        <v>7687.5</v>
      </c>
      <c r="AA18" s="100" t="n">
        <f aca="false">Q18+W18+X18+Y18</f>
        <v>2302483.71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2302483.71</v>
      </c>
      <c r="K19" s="99" t="n">
        <f aca="false">J19*E19</f>
        <v>49042.903023</v>
      </c>
      <c r="L19" s="99" t="n">
        <f aca="false">J19+K19</f>
        <v>2351526.613023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2351526.613023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24000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6829.0625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6829.0625</v>
      </c>
      <c r="X19" s="99" t="n">
        <f aca="false">MIN(U19,R19-W19)</f>
        <v>1050.625</v>
      </c>
      <c r="Y19" s="99" t="n">
        <f aca="false">MIN(S19,V19)</f>
        <v>0</v>
      </c>
      <c r="Z19" s="99" t="n">
        <f aca="false">W19+X19+Y19</f>
        <v>7879.6875</v>
      </c>
      <c r="AA19" s="100" t="n">
        <f aca="false">Q19+W19+X19+Y19</f>
        <v>2359406.300523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2359406.300523</v>
      </c>
      <c r="K20" s="99" t="n">
        <f aca="false">J20*E20</f>
        <v>259534.69305753</v>
      </c>
      <c r="L20" s="99" t="n">
        <f aca="false">J20+K20</f>
        <v>2618940.99358053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2618940.99358053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24000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6999.7890625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6999.7890625</v>
      </c>
      <c r="X20" s="99" t="n">
        <f aca="false">MIN(U20,R20-W20)</f>
        <v>1076.890625</v>
      </c>
      <c r="Y20" s="99" t="n">
        <f aca="false">MIN(S20,V20)</f>
        <v>0</v>
      </c>
      <c r="Z20" s="99" t="n">
        <f aca="false">W20+X20+Y20</f>
        <v>8076.6796875</v>
      </c>
      <c r="AA20" s="100" t="n">
        <f aca="false">Q20+W20+X20+Y20</f>
        <v>2627017.67326803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2627017.67326803</v>
      </c>
      <c r="K21" s="99" t="n">
        <f aca="false">J21*E21</f>
        <v>210686.817396096</v>
      </c>
      <c r="L21" s="99" t="n">
        <f aca="false">J21+K21</f>
        <v>2837704.49066413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2727323.20160163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7174.7837890625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0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2727323.20160163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2727323.20160163</v>
      </c>
      <c r="K22" s="99" t="n">
        <f aca="false">J22*E22</f>
        <v>223095.037891013</v>
      </c>
      <c r="L22" s="99" t="n">
        <f aca="false">J22+K22</f>
        <v>2950418.23949264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2837277.41820358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7354.15338378906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0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2837277.41820358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2837277.41820358</v>
      </c>
      <c r="K23" s="99" t="n">
        <f aca="false">J23*E23</f>
        <v>285997.56375492</v>
      </c>
      <c r="L23" s="99" t="n">
        <f aca="false">J23+K23</f>
        <v>3123274.9819585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3007305.64013721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7538.00721838378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0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3007305.64013721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3007305.64013721</v>
      </c>
      <c r="K24" s="99" t="n">
        <f aca="false">J24*E24</f>
        <v>-147959.437494751</v>
      </c>
      <c r="L24" s="99" t="n">
        <f aca="false">J24+K24</f>
        <v>2859346.20264246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2740477.62727564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7726.45739884338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0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2740477.62727564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2740477.62727564</v>
      </c>
      <c r="K25" s="99" t="n">
        <f aca="false">J25*E25</f>
        <v>33707.8748154903</v>
      </c>
      <c r="L25" s="99" t="n">
        <f aca="false">J25+K25</f>
        <v>2774185.50209113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2652345.21234013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7919.61883381446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0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2652345.21234013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2652345.21234013</v>
      </c>
      <c r="K26" s="99" t="n">
        <f aca="false">J26*E26</f>
        <v>170015.328111003</v>
      </c>
      <c r="L26" s="99" t="n">
        <f aca="false">J26+K26</f>
        <v>2822360.54045114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2697474.24345637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8117.60930465982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0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2697474.24345637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2697474.24345637</v>
      </c>
      <c r="K27" s="99" t="n">
        <f aca="false">J27*E27</f>
        <v>288899.491474177</v>
      </c>
      <c r="L27" s="99" t="n">
        <f aca="false">J27+K27</f>
        <v>2986373.73493055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2858365.28051091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8320.54953727632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0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2858365.28051091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2858365.28051091</v>
      </c>
      <c r="K28" s="99" t="n">
        <f aca="false">J28*E28</f>
        <v>186079.57976126</v>
      </c>
      <c r="L28" s="99" t="n">
        <f aca="false">J28+K28</f>
        <v>3044444.86027217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2913236.19449205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8528.56327570823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0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2913236.19449205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2913236.19449205</v>
      </c>
      <c r="K29" s="99" t="n">
        <f aca="false">J29*E29</f>
        <v>233058.895559364</v>
      </c>
      <c r="L29" s="99" t="n">
        <f aca="false">J29+K29</f>
        <v>3146295.09005141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3011806.20762678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8741.77735760093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0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3011806.20762678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3011806.20762678</v>
      </c>
      <c r="K30" s="99" t="n">
        <f aca="false">J30*E30</f>
        <v>93667.1730571928</v>
      </c>
      <c r="L30" s="99" t="n">
        <f aca="false">J30+K30</f>
        <v>3105473.38068397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2967622.27619873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8960.32179154095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0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2967622.27619873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2967622.27619873</v>
      </c>
      <c r="K31" s="99" t="n">
        <f aca="false">J31*E31</f>
        <v>167077.134149988</v>
      </c>
      <c r="L31" s="99" t="n">
        <f aca="false">J31+K31</f>
        <v>3134699.41034871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2993402.02825134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9184.32983632948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0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2993402.02825134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2993402.02825134</v>
      </c>
      <c r="K32" s="99" t="n">
        <f aca="false">J32*E32</f>
        <v>81420.5351684364</v>
      </c>
      <c r="L32" s="99" t="n">
        <f aca="false">J32+K32</f>
        <v>3074822.56341977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2929992.74676996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9413.93808223771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0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2929992.74676996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2929992.74676996</v>
      </c>
      <c r="K33" s="99" t="n">
        <f aca="false">J33*E33</f>
        <v>482862.80466769</v>
      </c>
      <c r="L33" s="99" t="n">
        <f aca="false">J33+K33</f>
        <v>3412855.55143765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3264404.9893716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9649.28653429366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0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3264404.9893716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3264404.9893716</v>
      </c>
      <c r="K34" s="99" t="n">
        <f aca="false">J34*E34</f>
        <v>-220347.336782583</v>
      </c>
      <c r="L34" s="99" t="n">
        <f aca="false">J34+K34</f>
        <v>3044057.65258901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2891895.82647131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9890.51869765099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0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2891895.82647131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2891895.82647131</v>
      </c>
      <c r="K35" s="99" t="n">
        <f aca="false">J35*E35</f>
        <v>384043.76575539</v>
      </c>
      <c r="L35" s="99" t="n">
        <f aca="false">J35+K35</f>
        <v>3275939.5922267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3119973.72045605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10137.7816650923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0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3119973.72045605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3119973.72045605</v>
      </c>
      <c r="K36" s="99" t="n">
        <f aca="false">J36*E36</f>
        <v>142894.796396887</v>
      </c>
      <c r="L36" s="99" t="n">
        <f aca="false">J36+K36</f>
        <v>3262868.51685293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3103003.49828802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10391.2262067196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0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3103003.49828802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3103003.49828802</v>
      </c>
      <c r="K37" s="99" t="n">
        <f aca="false">J37*E37</f>
        <v>280511.516245237</v>
      </c>
      <c r="L37" s="99" t="n">
        <f aca="false">J37+K37</f>
        <v>3383515.01453325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3219653.37050421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10651.0068618876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0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3219653.37050421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3219653.37050421</v>
      </c>
      <c r="K38" s="99" t="n">
        <f aca="false">J38*E38</f>
        <v>218292.498520186</v>
      </c>
      <c r="L38" s="99" t="n">
        <f aca="false">J38+K38</f>
        <v>3437945.8690244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3269987.68389463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10917.2820334348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0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3269987.68389463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3269987.68389463</v>
      </c>
      <c r="K39" s="99" t="n">
        <f aca="false">J39*E39</f>
        <v>174290.343551584</v>
      </c>
      <c r="L39" s="99" t="n">
        <f aca="false">J39+K39</f>
        <v>3444278.02744622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3272120.88768821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11190.2140842706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0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3272120.88768821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3272120.88768821</v>
      </c>
      <c r="K40" s="99" t="n">
        <f aca="false">J40*E40</f>
        <v>242791.369866465</v>
      </c>
      <c r="L40" s="99" t="n">
        <f aca="false">J40+K40</f>
        <v>3514912.25755467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3338451.18930271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11469.9694363774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0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3338451.18930271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3338451.18930271</v>
      </c>
      <c r="K41" s="99" t="n">
        <f aca="false">J41*E41</f>
        <v>216999.327304676</v>
      </c>
      <c r="L41" s="99" t="n">
        <f aca="false">J41+K41</f>
        <v>3555450.51660739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3374577.92164913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11756.7186722868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0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3374577.92164913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3374577.92164913</v>
      </c>
      <c r="K42" s="99" t="n">
        <f aca="false">J42*E42</f>
        <v>-118110.22725772</v>
      </c>
      <c r="L42" s="99" t="n">
        <f aca="false">J42+K42</f>
        <v>3256467.69439141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3071073.2845592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12050.636639094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0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3071073.2845592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3071073.2845592</v>
      </c>
      <c r="K43" s="99" t="n">
        <f aca="false">J43*E43</f>
        <v>245685.862764736</v>
      </c>
      <c r="L43" s="99" t="n">
        <f aca="false">J43+K43</f>
        <v>3316759.14732393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3126729.87724591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12351.9025550713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0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3126729.87724591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3126729.87724591</v>
      </c>
      <c r="K44" s="99" t="n">
        <f aca="false">J44*E44</f>
        <v>169468.759346728</v>
      </c>
      <c r="L44" s="99" t="n">
        <f aca="false">J44+K44</f>
        <v>3296198.63659264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3101418.63476267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12660.7001189481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0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3101418.63476267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3101418.63476267</v>
      </c>
      <c r="K45" s="99" t="n">
        <f aca="false">J45*E45</f>
        <v>245322.214009727</v>
      </c>
      <c r="L45" s="99" t="n">
        <f aca="false">J45+K45</f>
        <v>3346740.84877239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3147091.34689667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12977.2176219218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0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3147091.34689667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3147091.34689667</v>
      </c>
      <c r="K46" s="99" t="n">
        <f aca="false">J46*E46</f>
        <v>118645.343778005</v>
      </c>
      <c r="L46" s="99" t="n">
        <f aca="false">J46+K46</f>
        <v>3265736.69067468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3061095.95125207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13301.6480624699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0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3061095.95125207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3061095.95125207</v>
      </c>
      <c r="K47" s="99" t="n">
        <f aca="false">J47*E47</f>
        <v>281314.717920065</v>
      </c>
      <c r="L47" s="99" t="n">
        <f aca="false">J47+K47</f>
        <v>3342410.66917213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3342410.66917213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13634.1892640316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0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3342410.66917213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3342410.66917213</v>
      </c>
      <c r="K48" s="99" t="n">
        <f aca="false">J48*E48</f>
        <v>112639.239551101</v>
      </c>
      <c r="L48" s="99" t="n">
        <f aca="false">J48+K48</f>
        <v>3455049.90872323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3455049.90872323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13975.0439956324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0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3455049.90872323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3455049.90872323</v>
      </c>
      <c r="K49" s="99" t="n">
        <f aca="false">J49*E49</f>
        <v>155477.245892545</v>
      </c>
      <c r="L49" s="99" t="n">
        <f aca="false">J49+K49</f>
        <v>3610527.15461578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3610527.15461578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14324.4200955232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0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3610527.15461578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3610527.15461578</v>
      </c>
      <c r="K50" s="99" t="n">
        <f aca="false">J50*E50</f>
        <v>397157.987007735</v>
      </c>
      <c r="L50" s="99" t="n">
        <f aca="false">J50+K50</f>
        <v>4007685.14162351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4007685.14162351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14682.5305979113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0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4007685.14162351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4007685.14162351</v>
      </c>
      <c r="K51" s="99" t="n">
        <f aca="false">J51*E51</f>
        <v>350672.449892057</v>
      </c>
      <c r="L51" s="99" t="n">
        <f aca="false">J51+K51</f>
        <v>4358357.59151557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4358357.59151557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15049.5938628591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0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4358357.59151557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4358357.59151557</v>
      </c>
      <c r="K52" s="99" t="n">
        <f aca="false">J52*E52</f>
        <v>-203535.299523777</v>
      </c>
      <c r="L52" s="99" t="n">
        <f aca="false">J52+K52</f>
        <v>4154822.29199179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4154822.29199179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15425.8337094305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0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4154822.29199179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4154822.29199179</v>
      </c>
      <c r="K53" s="99" t="n">
        <f aca="false">J53*E53</f>
        <v>-294161.418273019</v>
      </c>
      <c r="L53" s="99" t="n">
        <f aca="false">J53+K53</f>
        <v>3860660.87371877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3860660.87371877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15811.4795521663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0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3860660.87371877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3860660.87371877</v>
      </c>
      <c r="K54" s="99" t="n">
        <f aca="false">J54*E54</f>
        <v>-520417.085777291</v>
      </c>
      <c r="L54" s="99" t="n">
        <f aca="false">J54+K54</f>
        <v>3340243.78794148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3340243.78794148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16206.7665409705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0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3340243.78794148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13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None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Roth IRA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Roth IRA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1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1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>Roth</v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6500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165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Roth IRA with Annual / None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6500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6500</v>
      </c>
      <c r="X17" s="99" t="n">
        <f aca="false">MIN(U17,R17-W17)</f>
        <v>1000</v>
      </c>
      <c r="Y17" s="99" t="n">
        <f aca="false">MIN(S17,V17)</f>
        <v>0</v>
      </c>
      <c r="Z17" s="99" t="n">
        <f aca="false">W17+X17+Y17</f>
        <v>7500</v>
      </c>
      <c r="AA17" s="100" t="n">
        <f aca="false">Q17+Z17</f>
        <v>2189900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2189900</v>
      </c>
      <c r="K18" s="99" t="n">
        <f aca="false">J18*E18</f>
        <v>104896.21</v>
      </c>
      <c r="L18" s="99" t="n">
        <f aca="false">J18+K18</f>
        <v>2294796.21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2294796.21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6662.5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6662.5</v>
      </c>
      <c r="X18" s="99" t="n">
        <f aca="false">MIN(U18,R18-W18)</f>
        <v>1025</v>
      </c>
      <c r="Y18" s="99" t="n">
        <f aca="false">MIN(S18,V18)</f>
        <v>0</v>
      </c>
      <c r="Z18" s="99" t="n">
        <f aca="false">W18+X18+Y18</f>
        <v>7687.5</v>
      </c>
      <c r="AA18" s="100" t="n">
        <f aca="false">Q18+W18+X18+Y18</f>
        <v>2302483.71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2302483.71</v>
      </c>
      <c r="K19" s="99" t="n">
        <f aca="false">J19*E19</f>
        <v>49042.903023</v>
      </c>
      <c r="L19" s="99" t="n">
        <f aca="false">J19+K19</f>
        <v>2351526.613023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2351526.613023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6829.0625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6829.0625</v>
      </c>
      <c r="X19" s="99" t="n">
        <f aca="false">MIN(U19,R19-W19)</f>
        <v>1050.625</v>
      </c>
      <c r="Y19" s="99" t="n">
        <f aca="false">MIN(S19,V19)</f>
        <v>0</v>
      </c>
      <c r="Z19" s="99" t="n">
        <f aca="false">W19+X19+Y19</f>
        <v>7879.6875</v>
      </c>
      <c r="AA19" s="100" t="n">
        <f aca="false">Q19+W19+X19+Y19</f>
        <v>2359406.300523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2359406.300523</v>
      </c>
      <c r="K20" s="99" t="n">
        <f aca="false">J20*E20</f>
        <v>259534.69305753</v>
      </c>
      <c r="L20" s="99" t="n">
        <f aca="false">J20+K20</f>
        <v>2618940.99358053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2618940.99358053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6999.7890625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6999.7890625</v>
      </c>
      <c r="X20" s="99" t="n">
        <f aca="false">MIN(U20,R20-W20)</f>
        <v>1076.890625</v>
      </c>
      <c r="Y20" s="99" t="n">
        <f aca="false">MIN(S20,V20)</f>
        <v>0</v>
      </c>
      <c r="Z20" s="99" t="n">
        <f aca="false">W20+X20+Y20</f>
        <v>8076.6796875</v>
      </c>
      <c r="AA20" s="100" t="n">
        <f aca="false">Q20+W20+X20+Y20</f>
        <v>2627017.67326803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2627017.67326803</v>
      </c>
      <c r="K21" s="99" t="n">
        <f aca="false">J21*E21</f>
        <v>210686.817396096</v>
      </c>
      <c r="L21" s="99" t="n">
        <f aca="false">J21+K21</f>
        <v>2837704.49066413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2727323.20160163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7174.7837890625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0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2727323.20160163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2727323.20160163</v>
      </c>
      <c r="K22" s="99" t="n">
        <f aca="false">J22*E22</f>
        <v>223095.037891013</v>
      </c>
      <c r="L22" s="99" t="n">
        <f aca="false">J22+K22</f>
        <v>2950418.23949264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2837277.41820358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7354.15338378906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0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2837277.41820358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2837277.41820358</v>
      </c>
      <c r="K23" s="99" t="n">
        <f aca="false">J23*E23</f>
        <v>285997.56375492</v>
      </c>
      <c r="L23" s="99" t="n">
        <f aca="false">J23+K23</f>
        <v>3123274.9819585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3007305.64013721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7538.00721838378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0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3007305.64013721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3007305.64013721</v>
      </c>
      <c r="K24" s="99" t="n">
        <f aca="false">J24*E24</f>
        <v>-147959.437494751</v>
      </c>
      <c r="L24" s="99" t="n">
        <f aca="false">J24+K24</f>
        <v>2859346.20264246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2740477.62727564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7726.45739884338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0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2740477.62727564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2740477.62727564</v>
      </c>
      <c r="K25" s="99" t="n">
        <f aca="false">J25*E25</f>
        <v>33707.8748154903</v>
      </c>
      <c r="L25" s="99" t="n">
        <f aca="false">J25+K25</f>
        <v>2774185.50209113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2652345.21234013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7919.61883381446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0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2652345.21234013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2652345.21234013</v>
      </c>
      <c r="K26" s="99" t="n">
        <f aca="false">J26*E26</f>
        <v>170015.328111003</v>
      </c>
      <c r="L26" s="99" t="n">
        <f aca="false">J26+K26</f>
        <v>2822360.54045114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2697474.24345637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8117.60930465982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0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2697474.24345637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2697474.24345637</v>
      </c>
      <c r="K27" s="99" t="n">
        <f aca="false">J27*E27</f>
        <v>288899.491474177</v>
      </c>
      <c r="L27" s="99" t="n">
        <f aca="false">J27+K27</f>
        <v>2986373.73493055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2858365.28051091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8320.54953727632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0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2858365.28051091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2858365.28051091</v>
      </c>
      <c r="K28" s="99" t="n">
        <f aca="false">J28*E28</f>
        <v>186079.57976126</v>
      </c>
      <c r="L28" s="99" t="n">
        <f aca="false">J28+K28</f>
        <v>3044444.86027217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2913236.19449205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8528.56327570823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0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2913236.19449205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2913236.19449205</v>
      </c>
      <c r="K29" s="99" t="n">
        <f aca="false">J29*E29</f>
        <v>233058.895559364</v>
      </c>
      <c r="L29" s="99" t="n">
        <f aca="false">J29+K29</f>
        <v>3146295.09005141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3011806.20762678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8741.77735760093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0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3011806.20762678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3011806.20762678</v>
      </c>
      <c r="K30" s="99" t="n">
        <f aca="false">J30*E30</f>
        <v>93667.1730571928</v>
      </c>
      <c r="L30" s="99" t="n">
        <f aca="false">J30+K30</f>
        <v>3105473.38068397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2967622.27619873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8960.32179154095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0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2967622.27619873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2967622.27619873</v>
      </c>
      <c r="K31" s="99" t="n">
        <f aca="false">J31*E31</f>
        <v>167077.134149988</v>
      </c>
      <c r="L31" s="99" t="n">
        <f aca="false">J31+K31</f>
        <v>3134699.41034871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2993402.02825134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9184.32983632948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0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2993402.02825134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2993402.02825134</v>
      </c>
      <c r="K32" s="99" t="n">
        <f aca="false">J32*E32</f>
        <v>81420.5351684364</v>
      </c>
      <c r="L32" s="99" t="n">
        <f aca="false">J32+K32</f>
        <v>3074822.56341977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2929992.74676996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9413.93808223771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0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2929992.74676996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2929992.74676996</v>
      </c>
      <c r="K33" s="99" t="n">
        <f aca="false">J33*E33</f>
        <v>482862.80466769</v>
      </c>
      <c r="L33" s="99" t="n">
        <f aca="false">J33+K33</f>
        <v>3412855.55143765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3264404.9893716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9649.28653429366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0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3264404.9893716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3264404.9893716</v>
      </c>
      <c r="K34" s="99" t="n">
        <f aca="false">J34*E34</f>
        <v>-220347.336782583</v>
      </c>
      <c r="L34" s="99" t="n">
        <f aca="false">J34+K34</f>
        <v>3044057.65258901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2891895.82647131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9890.51869765099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0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2891895.82647131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2891895.82647131</v>
      </c>
      <c r="K35" s="99" t="n">
        <f aca="false">J35*E35</f>
        <v>384043.76575539</v>
      </c>
      <c r="L35" s="99" t="n">
        <f aca="false">J35+K35</f>
        <v>3275939.5922267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3119973.72045605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10137.7816650923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0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3119973.72045605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3119973.72045605</v>
      </c>
      <c r="K36" s="99" t="n">
        <f aca="false">J36*E36</f>
        <v>142894.796396887</v>
      </c>
      <c r="L36" s="99" t="n">
        <f aca="false">J36+K36</f>
        <v>3262868.51685293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3103003.49828802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10391.2262067196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0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3103003.49828802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3103003.49828802</v>
      </c>
      <c r="K37" s="99" t="n">
        <f aca="false">J37*E37</f>
        <v>280511.516245237</v>
      </c>
      <c r="L37" s="99" t="n">
        <f aca="false">J37+K37</f>
        <v>3383515.01453325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3219653.37050421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10651.0068618876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0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3219653.37050421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3219653.37050421</v>
      </c>
      <c r="K38" s="99" t="n">
        <f aca="false">J38*E38</f>
        <v>218292.498520186</v>
      </c>
      <c r="L38" s="99" t="n">
        <f aca="false">J38+K38</f>
        <v>3437945.8690244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3269987.68389463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10917.2820334348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0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3269987.68389463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3269987.68389463</v>
      </c>
      <c r="K39" s="99" t="n">
        <f aca="false">J39*E39</f>
        <v>174290.343551584</v>
      </c>
      <c r="L39" s="99" t="n">
        <f aca="false">J39+K39</f>
        <v>3444278.02744622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3272120.88768821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11190.2140842706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0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3272120.88768821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3272120.88768821</v>
      </c>
      <c r="K40" s="99" t="n">
        <f aca="false">J40*E40</f>
        <v>242791.369866465</v>
      </c>
      <c r="L40" s="99" t="n">
        <f aca="false">J40+K40</f>
        <v>3514912.25755467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3338451.18930271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11469.9694363774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0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3338451.18930271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3338451.18930271</v>
      </c>
      <c r="K41" s="99" t="n">
        <f aca="false">J41*E41</f>
        <v>216999.327304676</v>
      </c>
      <c r="L41" s="99" t="n">
        <f aca="false">J41+K41</f>
        <v>3555450.51660739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3374577.92164913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11756.7186722868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0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3374577.92164913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3374577.92164913</v>
      </c>
      <c r="K42" s="99" t="n">
        <f aca="false">J42*E42</f>
        <v>-118110.22725772</v>
      </c>
      <c r="L42" s="99" t="n">
        <f aca="false">J42+K42</f>
        <v>3256467.69439141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3071073.2845592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12050.636639094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0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3071073.2845592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3071073.2845592</v>
      </c>
      <c r="K43" s="99" t="n">
        <f aca="false">J43*E43</f>
        <v>245685.862764736</v>
      </c>
      <c r="L43" s="99" t="n">
        <f aca="false">J43+K43</f>
        <v>3316759.14732393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3126729.87724591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12351.9025550713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0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3126729.87724591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3126729.87724591</v>
      </c>
      <c r="K44" s="99" t="n">
        <f aca="false">J44*E44</f>
        <v>169468.759346728</v>
      </c>
      <c r="L44" s="99" t="n">
        <f aca="false">J44+K44</f>
        <v>3296198.63659264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3101418.63476267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12660.7001189481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0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3101418.63476267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3101418.63476267</v>
      </c>
      <c r="K45" s="99" t="n">
        <f aca="false">J45*E45</f>
        <v>245322.214009727</v>
      </c>
      <c r="L45" s="99" t="n">
        <f aca="false">J45+K45</f>
        <v>3346740.84877239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3147091.34689667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12977.2176219218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0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3147091.34689667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3147091.34689667</v>
      </c>
      <c r="K46" s="99" t="n">
        <f aca="false">J46*E46</f>
        <v>118645.343778005</v>
      </c>
      <c r="L46" s="99" t="n">
        <f aca="false">J46+K46</f>
        <v>3265736.69067468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3061095.95125207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13301.6480624699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0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3061095.95125207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3061095.95125207</v>
      </c>
      <c r="K47" s="99" t="n">
        <f aca="false">J47*E47</f>
        <v>281314.717920065</v>
      </c>
      <c r="L47" s="99" t="n">
        <f aca="false">J47+K47</f>
        <v>3342410.66917213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3342410.66917213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13634.1892640316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0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3342410.66917213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3342410.66917213</v>
      </c>
      <c r="K48" s="99" t="n">
        <f aca="false">J48*E48</f>
        <v>112639.239551101</v>
      </c>
      <c r="L48" s="99" t="n">
        <f aca="false">J48+K48</f>
        <v>3455049.90872323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3455049.90872323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13975.0439956324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0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3455049.90872323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3455049.90872323</v>
      </c>
      <c r="K49" s="99" t="n">
        <f aca="false">J49*E49</f>
        <v>155477.245892545</v>
      </c>
      <c r="L49" s="99" t="n">
        <f aca="false">J49+K49</f>
        <v>3610527.15461578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3610527.15461578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14324.4200955232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0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3610527.15461578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3610527.15461578</v>
      </c>
      <c r="K50" s="99" t="n">
        <f aca="false">J50*E50</f>
        <v>397157.987007735</v>
      </c>
      <c r="L50" s="99" t="n">
        <f aca="false">J50+K50</f>
        <v>4007685.14162351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4007685.14162351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14682.5305979113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0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4007685.14162351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4007685.14162351</v>
      </c>
      <c r="K51" s="99" t="n">
        <f aca="false">J51*E51</f>
        <v>350672.449892057</v>
      </c>
      <c r="L51" s="99" t="n">
        <f aca="false">J51+K51</f>
        <v>4358357.59151557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4358357.59151557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15049.5938628591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0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4358357.59151557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4358357.59151557</v>
      </c>
      <c r="K52" s="99" t="n">
        <f aca="false">J52*E52</f>
        <v>-203535.299523777</v>
      </c>
      <c r="L52" s="99" t="n">
        <f aca="false">J52+K52</f>
        <v>4154822.29199179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4154822.29199179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15425.8337094305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0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4154822.29199179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4154822.29199179</v>
      </c>
      <c r="K53" s="99" t="n">
        <f aca="false">J53*E53</f>
        <v>-294161.418273019</v>
      </c>
      <c r="L53" s="99" t="n">
        <f aca="false">J53+K53</f>
        <v>3860660.87371877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3860660.87371877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15811.4795521663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0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3860660.87371877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3860660.87371877</v>
      </c>
      <c r="K54" s="99" t="n">
        <f aca="false">J54*E54</f>
        <v>-520417.085777291</v>
      </c>
      <c r="L54" s="99" t="n">
        <f aca="false">J54+K54</f>
        <v>3340243.78794148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3340243.78794148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16206.7665409705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0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3340243.78794148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14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None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Roth IRA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Roth IRA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1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1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>Roth</v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6500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166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Roth IRA with % of Salary / None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6500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0</v>
      </c>
      <c r="Z17" s="99" t="n">
        <f aca="false">W17+X17+Y17</f>
        <v>5000</v>
      </c>
      <c r="AA17" s="100" t="n">
        <f aca="false">Q17+Z17</f>
        <v>2187400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2187400</v>
      </c>
      <c r="K18" s="99" t="n">
        <f aca="false">J18*E18</f>
        <v>104776.46</v>
      </c>
      <c r="L18" s="99" t="n">
        <f aca="false">J18+K18</f>
        <v>2292176.46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2292176.46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6662.5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0</v>
      </c>
      <c r="Z18" s="99" t="n">
        <f aca="false">W18+X18+Y18</f>
        <v>5100</v>
      </c>
      <c r="AA18" s="100" t="n">
        <f aca="false">Q18+W18+X18+Y18</f>
        <v>2297276.46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2297276.46</v>
      </c>
      <c r="K19" s="99" t="n">
        <f aca="false">J19*E19</f>
        <v>48931.988598</v>
      </c>
      <c r="L19" s="99" t="n">
        <f aca="false">J19+K19</f>
        <v>2346208.448598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2346208.448598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6829.0625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0</v>
      </c>
      <c r="Z19" s="99" t="n">
        <f aca="false">W19+X19+Y19</f>
        <v>5202</v>
      </c>
      <c r="AA19" s="100" t="n">
        <f aca="false">Q19+W19+X19+Y19</f>
        <v>2351410.448598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2351410.448598</v>
      </c>
      <c r="K20" s="99" t="n">
        <f aca="false">J20*E20</f>
        <v>258655.14934578</v>
      </c>
      <c r="L20" s="99" t="n">
        <f aca="false">J20+K20</f>
        <v>2610065.59794378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2610065.59794378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6999.7890625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0</v>
      </c>
      <c r="Z20" s="99" t="n">
        <f aca="false">W20+X20+Y20</f>
        <v>5306.04</v>
      </c>
      <c r="AA20" s="100" t="n">
        <f aca="false">Q20+W20+X20+Y20</f>
        <v>2615371.63794378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2615371.63794378</v>
      </c>
      <c r="K21" s="99" t="n">
        <f aca="false">J21*E21</f>
        <v>209752.805363091</v>
      </c>
      <c r="L21" s="99" t="n">
        <f aca="false">J21+K21</f>
        <v>2825124.44330687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2714743.15424437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7174.7837890625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0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2714743.15424437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2714743.15424437</v>
      </c>
      <c r="K22" s="99" t="n">
        <f aca="false">J22*E22</f>
        <v>222065.99001719</v>
      </c>
      <c r="L22" s="99" t="n">
        <f aca="false">J22+K22</f>
        <v>2936809.14426156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2823668.3229725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7354.15338378906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0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2823668.3229725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2823668.3229725</v>
      </c>
      <c r="K23" s="99" t="n">
        <f aca="false">J23*E23</f>
        <v>284625.766955628</v>
      </c>
      <c r="L23" s="99" t="n">
        <f aca="false">J23+K23</f>
        <v>3108294.08992813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2992324.74810684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7538.00721838378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0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2992324.74810684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2992324.74810684</v>
      </c>
      <c r="K24" s="99" t="n">
        <f aca="false">J24*E24</f>
        <v>-147222.377606856</v>
      </c>
      <c r="L24" s="99" t="n">
        <f aca="false">J24+K24</f>
        <v>2845102.37049998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2726233.79513316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7726.45739884338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0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2726233.79513316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2726233.79513316</v>
      </c>
      <c r="K25" s="99" t="n">
        <f aca="false">J25*E25</f>
        <v>33532.6756801379</v>
      </c>
      <c r="L25" s="99" t="n">
        <f aca="false">J25+K25</f>
        <v>2759766.4708133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2637926.1810623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7919.61883381446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0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2637926.1810623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2637926.1810623</v>
      </c>
      <c r="K26" s="99" t="n">
        <f aca="false">J26*E26</f>
        <v>169091.068206094</v>
      </c>
      <c r="L26" s="99" t="n">
        <f aca="false">J26+K26</f>
        <v>2807017.2492684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2682130.95227363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8117.60930465982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0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2682130.95227363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2682130.95227363</v>
      </c>
      <c r="K27" s="99" t="n">
        <f aca="false">J27*E27</f>
        <v>287256.224988506</v>
      </c>
      <c r="L27" s="99" t="n">
        <f aca="false">J27+K27</f>
        <v>2969387.17726214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2841378.7228425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8320.54953727632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0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2841378.7228425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2841378.7228425</v>
      </c>
      <c r="K28" s="99" t="n">
        <f aca="false">J28*E28</f>
        <v>184973.754857047</v>
      </c>
      <c r="L28" s="99" t="n">
        <f aca="false">J28+K28</f>
        <v>3026352.47769955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2895143.81191942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8528.56327570823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0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2895143.81191942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2895143.81191942</v>
      </c>
      <c r="K29" s="99" t="n">
        <f aca="false">J29*E29</f>
        <v>231611.504953554</v>
      </c>
      <c r="L29" s="99" t="n">
        <f aca="false">J29+K29</f>
        <v>3126755.31687298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2992266.43444835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8741.77735760093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0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2992266.43444835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2992266.43444835</v>
      </c>
      <c r="K30" s="99" t="n">
        <f aca="false">J30*E30</f>
        <v>93059.4861113436</v>
      </c>
      <c r="L30" s="99" t="n">
        <f aca="false">J30+K30</f>
        <v>3085325.92055969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2947474.81607445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8960.32179154095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0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2947474.81607445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2947474.81607445</v>
      </c>
      <c r="K31" s="99" t="n">
        <f aca="false">J31*E31</f>
        <v>165942.832144991</v>
      </c>
      <c r="L31" s="99" t="n">
        <f aca="false">J31+K31</f>
        <v>3113417.64821944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2972120.26612206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9184.32983632948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0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2972120.26612206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2972120.26612206</v>
      </c>
      <c r="K32" s="99" t="n">
        <f aca="false">J32*E32</f>
        <v>80841.67123852</v>
      </c>
      <c r="L32" s="99" t="n">
        <f aca="false">J32+K32</f>
        <v>3052961.93736058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2908132.12071077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9413.93808223771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0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2908132.12071077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2908132.12071077</v>
      </c>
      <c r="K33" s="99" t="n">
        <f aca="false">J33*E33</f>
        <v>479260.173493135</v>
      </c>
      <c r="L33" s="99" t="n">
        <f aca="false">J33+K33</f>
        <v>3387392.2942039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3238941.73213785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9649.28653429366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0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3238941.73213785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3238941.73213785</v>
      </c>
      <c r="K34" s="99" t="n">
        <f aca="false">J34*E34</f>
        <v>-218628.566919305</v>
      </c>
      <c r="L34" s="99" t="n">
        <f aca="false">J34+K34</f>
        <v>3020313.16521854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2868151.33910084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9890.51869765099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0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2868151.33910084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2868151.33910084</v>
      </c>
      <c r="K35" s="99" t="n">
        <f aca="false">J35*E35</f>
        <v>380890.497832591</v>
      </c>
      <c r="L35" s="99" t="n">
        <f aca="false">J35+K35</f>
        <v>3249041.83693343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3093075.96516278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10137.7816650923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0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3093075.96516278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3093075.96516278</v>
      </c>
      <c r="K36" s="99" t="n">
        <f aca="false">J36*E36</f>
        <v>141662.879204455</v>
      </c>
      <c r="L36" s="99" t="n">
        <f aca="false">J36+K36</f>
        <v>3234738.84436723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3074873.82580232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10391.2262067196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0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3074873.82580232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3074873.82580232</v>
      </c>
      <c r="K37" s="99" t="n">
        <f aca="false">J37*E37</f>
        <v>277968.593852529</v>
      </c>
      <c r="L37" s="99" t="n">
        <f aca="false">J37+K37</f>
        <v>3352842.41965484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3188980.7756258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10651.0068618876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0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3188980.7756258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3188980.7756258</v>
      </c>
      <c r="K38" s="99" t="n">
        <f aca="false">J38*E38</f>
        <v>216212.89658743</v>
      </c>
      <c r="L38" s="99" t="n">
        <f aca="false">J38+K38</f>
        <v>3405193.67221323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3237235.48708347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10917.2820334348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0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3237235.48708347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3237235.48708347</v>
      </c>
      <c r="K39" s="99" t="n">
        <f aca="false">J39*E39</f>
        <v>172544.651461549</v>
      </c>
      <c r="L39" s="99" t="n">
        <f aca="false">J39+K39</f>
        <v>3409780.13854502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3237622.99878701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11190.2140842706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0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3237622.99878701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3237622.99878701</v>
      </c>
      <c r="K40" s="99" t="n">
        <f aca="false">J40*E40</f>
        <v>240231.626509996</v>
      </c>
      <c r="L40" s="99" t="n">
        <f aca="false">J40+K40</f>
        <v>3477854.625297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3301393.55704505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11469.9694363774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0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3301393.55704505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3301393.55704505</v>
      </c>
      <c r="K41" s="99" t="n">
        <f aca="false">J41*E41</f>
        <v>214590.581207928</v>
      </c>
      <c r="L41" s="99" t="n">
        <f aca="false">J41+K41</f>
        <v>3515984.13825297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3335111.54329471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11756.7186722868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0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3335111.54329471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3335111.54329471</v>
      </c>
      <c r="K42" s="99" t="n">
        <f aca="false">J42*E42</f>
        <v>-116728.904015315</v>
      </c>
      <c r="L42" s="99" t="n">
        <f aca="false">J42+K42</f>
        <v>3218382.6392794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3032988.22944718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12050.636639094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0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3032988.22944718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3032988.22944718</v>
      </c>
      <c r="K43" s="99" t="n">
        <f aca="false">J43*E43</f>
        <v>242639.058355775</v>
      </c>
      <c r="L43" s="99" t="n">
        <f aca="false">J43+K43</f>
        <v>3275627.28780296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3085598.01772494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12351.9025550713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0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3085598.01772494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3085598.01772494</v>
      </c>
      <c r="K44" s="99" t="n">
        <f aca="false">J44*E44</f>
        <v>167239.412560692</v>
      </c>
      <c r="L44" s="99" t="n">
        <f aca="false">J44+K44</f>
        <v>3252837.43028563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3058057.42845566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12660.7001189481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0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3058057.42845566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3058057.42845566</v>
      </c>
      <c r="K45" s="99" t="n">
        <f aca="false">J45*E45</f>
        <v>241892.342590843</v>
      </c>
      <c r="L45" s="99" t="n">
        <f aca="false">J45+K45</f>
        <v>3299949.7710465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3100300.26917078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12977.2176219218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0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3100300.26917078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3100300.26917078</v>
      </c>
      <c r="K46" s="99" t="n">
        <f aca="false">J46*E46</f>
        <v>116881.320147738</v>
      </c>
      <c r="L46" s="99" t="n">
        <f aca="false">J46+K46</f>
        <v>3217181.58931852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3012540.84989591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13301.6480624699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0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3012540.84989591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3012540.84989591</v>
      </c>
      <c r="K47" s="99" t="n">
        <f aca="false">J47*E47</f>
        <v>276852.504105434</v>
      </c>
      <c r="L47" s="99" t="n">
        <f aca="false">J47+K47</f>
        <v>3289393.35400134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3289393.35400134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13634.1892640316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0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3289393.35400134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3289393.35400134</v>
      </c>
      <c r="K48" s="99" t="n">
        <f aca="false">J48*E48</f>
        <v>110852.556029845</v>
      </c>
      <c r="L48" s="99" t="n">
        <f aca="false">J48+K48</f>
        <v>3400245.91003118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3400245.91003118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13975.0439956324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0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3400245.91003118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3400245.91003118</v>
      </c>
      <c r="K49" s="99" t="n">
        <f aca="false">J49*E49</f>
        <v>153011.065951403</v>
      </c>
      <c r="L49" s="99" t="n">
        <f aca="false">J49+K49</f>
        <v>3553256.97598259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3553256.97598259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14324.4200955232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0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3553256.97598259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3553256.97598259</v>
      </c>
      <c r="K50" s="99" t="n">
        <f aca="false">J50*E50</f>
        <v>390858.267358085</v>
      </c>
      <c r="L50" s="99" t="n">
        <f aca="false">J50+K50</f>
        <v>3944115.24334067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3944115.24334067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14682.5305979113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0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3944115.24334067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3944115.24334067</v>
      </c>
      <c r="K51" s="99" t="n">
        <f aca="false">J51*E51</f>
        <v>345110.083792309</v>
      </c>
      <c r="L51" s="99" t="n">
        <f aca="false">J51+K51</f>
        <v>4289225.32713298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4289225.32713298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15049.5938628591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0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4289225.32713298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4289225.32713298</v>
      </c>
      <c r="K52" s="99" t="n">
        <f aca="false">J52*E52</f>
        <v>-200306.82277711</v>
      </c>
      <c r="L52" s="99" t="n">
        <f aca="false">J52+K52</f>
        <v>4088918.50435587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4088918.50435587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15425.8337094305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0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4088918.50435587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4088918.50435587</v>
      </c>
      <c r="K53" s="99" t="n">
        <f aca="false">J53*E53</f>
        <v>-289495.430108396</v>
      </c>
      <c r="L53" s="99" t="n">
        <f aca="false">J53+K53</f>
        <v>3799423.07424748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3799423.07424748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15811.4795521663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0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3799423.07424748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3799423.07424748</v>
      </c>
      <c r="K54" s="99" t="n">
        <f aca="false">J54*E54</f>
        <v>-512162.23040856</v>
      </c>
      <c r="L54" s="99" t="n">
        <f aca="false">J54+K54</f>
        <v>3287260.84383892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3287260.84383892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16206.7665409705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0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3287260.84383892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15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48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None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Roth IRA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60</v>
      </c>
      <c r="C3" s="57"/>
      <c r="D3" s="64" t="s">
        <v>14</v>
      </c>
      <c r="E3" s="72" t="str">
        <f aca="false">VLOOKUP($A$14,Scenarios!$A:$CE,HLOOKUP(D3,Scenarios!$1:$2,2,FALSE()),FALSE())</f>
        <v>Roth IRA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1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1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>Roth</v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6500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167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Roth IRA with % of Salary / None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48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6500</v>
      </c>
      <c r="U17" s="99" t="n">
        <f aca="false">IF(AND($F$3=4,D17&lt;55),0,IF(D17&lt;50,0,IF(A17&lt;2025,$N$5*(1+$B$10)^(C17-1),IF(AND(D17&gt;59,D17&lt;64),$N$5*IF($N$3=2,1.5,1)*(1+$B$10)^(C17-1),$N$5*(1+$B$10)^(C17-1)))))</f>
        <v>0</v>
      </c>
      <c r="V17" s="99" t="n">
        <f aca="false">IF($N$3=1,0,$N$6*(1+$B$10)^(C17-1)-W17)</f>
        <v>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0</v>
      </c>
      <c r="Z17" s="99" t="n">
        <f aca="false">W17+X17+Y17</f>
        <v>5000</v>
      </c>
      <c r="AA17" s="100" t="n">
        <f aca="false">Q17+Z17</f>
        <v>2187400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49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2187400</v>
      </c>
      <c r="K18" s="99" t="n">
        <f aca="false">J18*E18</f>
        <v>104776.46</v>
      </c>
      <c r="L18" s="99" t="n">
        <f aca="false">J18+K18</f>
        <v>2292176.46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2292176.46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6662.5</v>
      </c>
      <c r="U18" s="99" t="n">
        <f aca="false">IF(AND($F$3=4,D18&lt;55),0,IF(D18&lt;50,0,IF(A18&lt;2025,$N$5*(1+$B$10)^(C18-1),IF(AND(D18&gt;59,D18&lt;64),$N$5*IF($N$3=2,1.5,1)*(1+$B$10)^(C18-1),$N$5*(1+$B$10)^(C18-1)))))</f>
        <v>0</v>
      </c>
      <c r="V18" s="99" t="n">
        <f aca="false">IF($N$3=1,0,$N$6*(1+$B$10)^(C18-1)-W18)</f>
        <v>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0</v>
      </c>
      <c r="Z18" s="99" t="n">
        <f aca="false">W18+X18+Y18</f>
        <v>5100</v>
      </c>
      <c r="AA18" s="100" t="n">
        <f aca="false">Q18+W18+X18+Y18</f>
        <v>2297276.46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50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2297276.46</v>
      </c>
      <c r="K19" s="99" t="n">
        <f aca="false">J19*E19</f>
        <v>48931.988598</v>
      </c>
      <c r="L19" s="99" t="n">
        <f aca="false">J19+K19</f>
        <v>2346208.448598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2346208.448598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6829.0625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0</v>
      </c>
      <c r="Z19" s="99" t="n">
        <f aca="false">W19+X19+Y19</f>
        <v>5202</v>
      </c>
      <c r="AA19" s="100" t="n">
        <f aca="false">Q19+W19+X19+Y19</f>
        <v>2351410.448598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51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2351410.448598</v>
      </c>
      <c r="K20" s="99" t="n">
        <f aca="false">J20*E20</f>
        <v>258655.14934578</v>
      </c>
      <c r="L20" s="99" t="n">
        <f aca="false">J20+K20</f>
        <v>2610065.59794378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2610065.59794378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6999.7890625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0</v>
      </c>
      <c r="Z20" s="99" t="n">
        <f aca="false">W20+X20+Y20</f>
        <v>5306.04</v>
      </c>
      <c r="AA20" s="100" t="n">
        <f aca="false">Q20+W20+X20+Y20</f>
        <v>2615371.63794378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52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2615371.63794378</v>
      </c>
      <c r="K21" s="99" t="n">
        <f aca="false">J21*E21</f>
        <v>209752.805363091</v>
      </c>
      <c r="L21" s="99" t="n">
        <f aca="false">J21+K21</f>
        <v>2825124.44330687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2825124.44330687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5412.1608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7174.7837890625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0</v>
      </c>
      <c r="W21" s="99" t="n">
        <f aca="false">MIN(R21,T21)</f>
        <v>5412.1608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5412.1608</v>
      </c>
      <c r="AA21" s="100" t="n">
        <f aca="false">Q21+W21+X21+Y21</f>
        <v>2830536.60410687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53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2830536.60410687</v>
      </c>
      <c r="K22" s="99" t="n">
        <f aca="false">J22*E22</f>
        <v>231537.894215942</v>
      </c>
      <c r="L22" s="99" t="n">
        <f aca="false">J22+K22</f>
        <v>3062074.49832281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3062074.49832281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5520.404016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7354.15338378906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0</v>
      </c>
      <c r="W22" s="99" t="n">
        <f aca="false">MIN(R22,T22)</f>
        <v>5520.404016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5520.404016</v>
      </c>
      <c r="AA22" s="100" t="n">
        <f aca="false">Q22+W22+X22+Y22</f>
        <v>3067594.90233881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54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3067594.90233881</v>
      </c>
      <c r="K23" s="99" t="n">
        <f aca="false">J23*E23</f>
        <v>309213.566155752</v>
      </c>
      <c r="L23" s="99" t="n">
        <f aca="false">J23+K23</f>
        <v>3376808.46849457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3376808.46849457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5630.81209632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7538.00721838378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0</v>
      </c>
      <c r="W23" s="99" t="n">
        <f aca="false">MIN(R23,T23)</f>
        <v>5630.81209632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5630.81209632</v>
      </c>
      <c r="AA23" s="100" t="n">
        <f aca="false">Q23+W23+X23+Y23</f>
        <v>3382439.28059089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55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3382439.28059089</v>
      </c>
      <c r="K24" s="99" t="n">
        <f aca="false">J24*E24</f>
        <v>-166416.012605072</v>
      </c>
      <c r="L24" s="99" t="n">
        <f aca="false">J24+K24</f>
        <v>3216023.26798581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3216023.26798581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5743.4283382464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7726.45739884338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0</v>
      </c>
      <c r="W24" s="99" t="n">
        <f aca="false">MIN(R24,T24)</f>
        <v>5743.4283382464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5743.4283382464</v>
      </c>
      <c r="AA24" s="100" t="n">
        <f aca="false">Q24+W24+X24+Y24</f>
        <v>3221766.69632406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56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3221766.69632406</v>
      </c>
      <c r="K25" s="99" t="n">
        <f aca="false">J25*E25</f>
        <v>39627.7303647859</v>
      </c>
      <c r="L25" s="99" t="n">
        <f aca="false">J25+K25</f>
        <v>3261394.42668885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3261394.42668885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5858.29690501133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7919.61883381446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0</v>
      </c>
      <c r="W25" s="99" t="n">
        <f aca="false">MIN(R25,T25)</f>
        <v>5858.29690501133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5858.29690501133</v>
      </c>
      <c r="AA25" s="100" t="n">
        <f aca="false">Q25+W25+X25+Y25</f>
        <v>3267252.72359386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57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3267252.72359386</v>
      </c>
      <c r="K26" s="99" t="n">
        <f aca="false">J26*E26</f>
        <v>209430.899582366</v>
      </c>
      <c r="L26" s="99" t="n">
        <f aca="false">J26+K26</f>
        <v>3476683.62317622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0</v>
      </c>
      <c r="P26" s="99" t="n">
        <f aca="false">MAX(N26,O26)</f>
        <v>0</v>
      </c>
      <c r="Q26" s="99" t="n">
        <f aca="false">MAX(0,L26-P26)</f>
        <v>3476683.62317622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5975.46284311156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8117.60930465982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0</v>
      </c>
      <c r="W26" s="99" t="n">
        <f aca="false">MIN(R26,T26)</f>
        <v>5975.46284311156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5975.46284311156</v>
      </c>
      <c r="AA26" s="100" t="n">
        <f aca="false">Q26+W26+X26+Y26</f>
        <v>3482659.08601934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58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3482659.08601934</v>
      </c>
      <c r="K27" s="99" t="n">
        <f aca="false">J27*E27</f>
        <v>372992.788112671</v>
      </c>
      <c r="L27" s="99" t="n">
        <f aca="false">J27+K27</f>
        <v>3855651.87413201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0</v>
      </c>
      <c r="P27" s="99" t="n">
        <f aca="false">MAX(N27,O27)</f>
        <v>0</v>
      </c>
      <c r="Q27" s="99" t="n">
        <f aca="false">MAX(0,L27-P27)</f>
        <v>3855651.87413201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6094.97209997379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8320.54953727632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0</v>
      </c>
      <c r="W27" s="99" t="n">
        <f aca="false">MIN(R27,T27)</f>
        <v>6094.97209997379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6094.97209997379</v>
      </c>
      <c r="AA27" s="100" t="n">
        <f aca="false">Q27+W27+X27+Y27</f>
        <v>3861746.84623198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59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3861746.84623198</v>
      </c>
      <c r="K28" s="99" t="n">
        <f aca="false">J28*E28</f>
        <v>251399.719689702</v>
      </c>
      <c r="L28" s="99" t="n">
        <f aca="false">J28+K28</f>
        <v>4113146.56592168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0</v>
      </c>
      <c r="P28" s="99" t="n">
        <f aca="false">MAX(N28,O28)</f>
        <v>0</v>
      </c>
      <c r="Q28" s="99" t="n">
        <f aca="false">MAX(0,L28-P28)</f>
        <v>4113146.56592168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6216.87154197326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8528.56327570823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0</v>
      </c>
      <c r="W28" s="99" t="n">
        <f aca="false">MIN(R28,T28)</f>
        <v>6216.87154197326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6216.87154197326</v>
      </c>
      <c r="AA28" s="100" t="n">
        <f aca="false">Q28+W28+X28+Y28</f>
        <v>4119363.43746366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60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4119363.43746366</v>
      </c>
      <c r="K29" s="99" t="n">
        <f aca="false">J29*E29</f>
        <v>329549.074997092</v>
      </c>
      <c r="L29" s="99" t="n">
        <f aca="false">J29+K29</f>
        <v>4448912.51246075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4314423.63003612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8741.77735760093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0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4314423.63003612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61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4314423.63003612</v>
      </c>
      <c r="K30" s="99" t="n">
        <f aca="false">J30*E30</f>
        <v>134178.574894123</v>
      </c>
      <c r="L30" s="99" t="n">
        <f aca="false">J30+K30</f>
        <v>4448602.20493024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4310751.100445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8960.32179154095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0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4310751.100445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62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4310751.100445</v>
      </c>
      <c r="K31" s="99" t="n">
        <f aca="false">J31*E31</f>
        <v>242695.286955053</v>
      </c>
      <c r="L31" s="99" t="n">
        <f aca="false">J31+K31</f>
        <v>4553446.38740005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4412149.00530267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9184.32983632948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0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4412149.00530267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63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4412149.00530267</v>
      </c>
      <c r="K32" s="99" t="n">
        <f aca="false">J32*E32</f>
        <v>120010.452944233</v>
      </c>
      <c r="L32" s="99" t="n">
        <f aca="false">J32+K32</f>
        <v>4532159.45824691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4387329.6415971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9413.93808223771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0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4387329.6415971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64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4387329.6415971</v>
      </c>
      <c r="K33" s="99" t="n">
        <f aca="false">J33*E33</f>
        <v>723031.924935201</v>
      </c>
      <c r="L33" s="99" t="n">
        <f aca="false">J33+K33</f>
        <v>5110361.5665323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4961911.00446624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9649.28653429366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0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4961911.00446624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65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4961911.00446624</v>
      </c>
      <c r="K34" s="99" t="n">
        <f aca="false">J34*E34</f>
        <v>-334928.992801471</v>
      </c>
      <c r="L34" s="99" t="n">
        <f aca="false">J34+K34</f>
        <v>4626982.01166477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4474820.18554706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9890.51869765099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0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4474820.18554706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66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4474820.18554706</v>
      </c>
      <c r="K35" s="99" t="n">
        <f aca="false">J35*E35</f>
        <v>594256.12064065</v>
      </c>
      <c r="L35" s="99" t="n">
        <f aca="false">J35+K35</f>
        <v>5069076.30618771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4913110.43441706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10137.7816650923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0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4913110.43441706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67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4913110.43441706</v>
      </c>
      <c r="K36" s="99" t="n">
        <f aca="false">J36*E36</f>
        <v>225020.457896301</v>
      </c>
      <c r="L36" s="99" t="n">
        <f aca="false">J36+K36</f>
        <v>5138130.89231336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4978265.87374845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10391.2262067196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0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4978265.87374845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68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4978265.87374845</v>
      </c>
      <c r="K37" s="99" t="n">
        <f aca="false">J37*E37</f>
        <v>450035.23498686</v>
      </c>
      <c r="L37" s="99" t="n">
        <f aca="false">J37+K37</f>
        <v>5428301.10873531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5264439.46470627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10651.0068618876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0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5264439.46470627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69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5264439.46470627</v>
      </c>
      <c r="K38" s="99" t="n">
        <f aca="false">J38*E38</f>
        <v>356928.995707085</v>
      </c>
      <c r="L38" s="99" t="n">
        <f aca="false">J38+K38</f>
        <v>5621368.46041335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5453410.27528359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10917.2820334348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0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5453410.27528359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70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5453410.27528359</v>
      </c>
      <c r="K39" s="99" t="n">
        <f aca="false">J39*E39</f>
        <v>290666.767672615</v>
      </c>
      <c r="L39" s="99" t="n">
        <f aca="false">J39+K39</f>
        <v>5744077.0429562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5571919.90319819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11190.2140842706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0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5571919.90319819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71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5571919.90319819</v>
      </c>
      <c r="K40" s="99" t="n">
        <f aca="false">J40*E40</f>
        <v>413436.456817306</v>
      </c>
      <c r="L40" s="99" t="n">
        <f aca="false">J40+K40</f>
        <v>5985356.3600155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5808895.29176354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11469.9694363774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0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5808895.29176354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72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5808895.29176354</v>
      </c>
      <c r="K41" s="99" t="n">
        <f aca="false">J41*E41</f>
        <v>377578.19396463</v>
      </c>
      <c r="L41" s="99" t="n">
        <f aca="false">J41+K41</f>
        <v>6186473.48572817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6005600.89076991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11756.7186722868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0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6005600.89076991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73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6005600.89076991</v>
      </c>
      <c r="K42" s="99" t="n">
        <f aca="false">J42*E42</f>
        <v>-210196.031176947</v>
      </c>
      <c r="L42" s="99" t="n">
        <f aca="false">J42+K42</f>
        <v>5795404.85959296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5610010.44976075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12050.636639094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0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5610010.44976075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74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5610010.44976075</v>
      </c>
      <c r="K43" s="99" t="n">
        <f aca="false">J43*E43</f>
        <v>448800.83598086</v>
      </c>
      <c r="L43" s="99" t="n">
        <f aca="false">J43+K43</f>
        <v>6058811.28574161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5868782.01566359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12351.9025550713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0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5868782.01566359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75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5868782.01566359</v>
      </c>
      <c r="K44" s="99" t="n">
        <f aca="false">J44*E44</f>
        <v>318087.985248966</v>
      </c>
      <c r="L44" s="99" t="n">
        <f aca="false">J44+K44</f>
        <v>6186870.00091255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5992089.99908258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12660.7001189481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0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5992089.99908258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76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5992089.99908258</v>
      </c>
      <c r="K45" s="99" t="n">
        <f aca="false">J45*E45</f>
        <v>473974.318927432</v>
      </c>
      <c r="L45" s="99" t="n">
        <f aca="false">J45+K45</f>
        <v>6466064.31801001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6266414.81613429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12977.2176219218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0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6266414.81613429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77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6266414.81613429</v>
      </c>
      <c r="K46" s="99" t="n">
        <f aca="false">J46*E46</f>
        <v>236243.838568263</v>
      </c>
      <c r="L46" s="99" t="n">
        <f aca="false">J46+K46</f>
        <v>6502658.65470256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6298017.91527994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13301.6480624699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0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6298017.91527994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n">
        <f aca="false">IF(D46="-","-",IF(D46+1&gt;B$4,"-",D46+1))</f>
        <v>78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6298017.91527994</v>
      </c>
      <c r="K47" s="99" t="n">
        <f aca="false">J47*E47</f>
        <v>578787.846414227</v>
      </c>
      <c r="L47" s="99" t="n">
        <f aca="false">J47+K47</f>
        <v>6876805.76169417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209756.757908179</v>
      </c>
      <c r="P47" s="99" t="n">
        <f aca="false">MAX(N47,O47)</f>
        <v>209756.757908179</v>
      </c>
      <c r="Q47" s="99" t="n">
        <f aca="false">MAX(0,L47-P47)</f>
        <v>6667049.00378599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13634.1892640316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0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6667049.00378599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n">
        <f aca="false">IF(D47="-","-",IF(D47+1&gt;B$4,"-",D47+1))</f>
        <v>79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6667049.00378599</v>
      </c>
      <c r="K48" s="99" t="n">
        <f aca="false">J48*E48</f>
        <v>224679.551427588</v>
      </c>
      <c r="L48" s="99" t="n">
        <f aca="false">J48+K48</f>
        <v>6891728.55521358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215000.676855883</v>
      </c>
      <c r="P48" s="99" t="n">
        <f aca="false">MAX(N48,O48)</f>
        <v>215000.676855883</v>
      </c>
      <c r="Q48" s="99" t="n">
        <f aca="false">MAX(0,L48-P48)</f>
        <v>6676727.8783577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13975.0439956324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0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6676727.8783577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n">
        <f aca="false">IF(D48="-","-",IF(D48+1&gt;B$4,"-",D48+1))</f>
        <v>80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6676727.8783577</v>
      </c>
      <c r="K49" s="99" t="n">
        <f aca="false">J49*E49</f>
        <v>300452.754526096</v>
      </c>
      <c r="L49" s="99" t="n">
        <f aca="false">J49+K49</f>
        <v>6977180.63288379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220375.69377728</v>
      </c>
      <c r="P49" s="99" t="n">
        <f aca="false">MAX(N49,O49)</f>
        <v>220375.69377728</v>
      </c>
      <c r="Q49" s="99" t="n">
        <f aca="false">MAX(0,L49-P49)</f>
        <v>6756804.93910651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14324.4200955232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0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6756804.93910651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n">
        <f aca="false">IF(D49="-","-",IF(D49+1&gt;B$4,"-",D49+1))</f>
        <v>81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6756804.93910651</v>
      </c>
      <c r="K50" s="99" t="n">
        <f aca="false">J50*E50</f>
        <v>743248.543301717</v>
      </c>
      <c r="L50" s="99" t="n">
        <f aca="false">J50+K50</f>
        <v>7500053.48240823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225885.086121712</v>
      </c>
      <c r="P50" s="99" t="n">
        <f aca="false">MAX(N50,O50)</f>
        <v>225885.086121712</v>
      </c>
      <c r="Q50" s="99" t="n">
        <f aca="false">MAX(0,L50-P50)</f>
        <v>7274168.39628652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14682.5305979113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0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7274168.39628652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n">
        <f aca="false">IF(D50="-","-",IF(D50+1&gt;B$4,"-",D50+1))</f>
        <v>82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7274168.39628652</v>
      </c>
      <c r="K51" s="99" t="n">
        <f aca="false">J51*E51</f>
        <v>636489.73467507</v>
      </c>
      <c r="L51" s="99" t="n">
        <f aca="false">J51+K51</f>
        <v>7910658.13096159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231532.213274755</v>
      </c>
      <c r="P51" s="99" t="n">
        <f aca="false">MAX(N51,O51)</f>
        <v>231532.213274755</v>
      </c>
      <c r="Q51" s="99" t="n">
        <f aca="false">MAX(0,L51-P51)</f>
        <v>7679125.91768683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15049.5938628591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0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7679125.91768683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n">
        <f aca="false">IF(D51="-","-",IF(D51+1&gt;B$4,"-",D51+1))</f>
        <v>83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7679125.91768683</v>
      </c>
      <c r="K52" s="99" t="n">
        <f aca="false">J52*E52</f>
        <v>-358615.180355975</v>
      </c>
      <c r="L52" s="99" t="n">
        <f aca="false">J52+K52</f>
        <v>7320510.73733086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237320.518606624</v>
      </c>
      <c r="P52" s="99" t="n">
        <f aca="false">MAX(N52,O52)</f>
        <v>237320.518606624</v>
      </c>
      <c r="Q52" s="99" t="n">
        <f aca="false">MAX(0,L52-P52)</f>
        <v>7083190.21872424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15425.8337094305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0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7083190.21872424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n">
        <f aca="false">IF(D52="-","-",IF(D52+1&gt;B$4,"-",D52+1))</f>
        <v>84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7083190.21872424</v>
      </c>
      <c r="K53" s="99" t="n">
        <f aca="false">J53*E53</f>
        <v>-501489.867485676</v>
      </c>
      <c r="L53" s="99" t="n">
        <f aca="false">J53+K53</f>
        <v>6581700.35123856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243253.531571789</v>
      </c>
      <c r="P53" s="99" t="n">
        <f aca="false">MAX(N53,O53)</f>
        <v>243253.531571789</v>
      </c>
      <c r="Q53" s="99" t="n">
        <f aca="false">MAX(0,L53-P53)</f>
        <v>6338446.81966677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15811.4795521663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0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6338446.81966677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n">
        <f aca="false">IF(D53="-","-",IF(D53+1&gt;B$4,"-",D53+1))</f>
        <v>85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6338446.81966677</v>
      </c>
      <c r="K54" s="99" t="n">
        <f aca="false">J54*E54</f>
        <v>-854422.631291081</v>
      </c>
      <c r="L54" s="99" t="n">
        <f aca="false">J54+K54</f>
        <v>5484024.18837569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249334.869861084</v>
      </c>
      <c r="P54" s="99" t="n">
        <f aca="false">MAX(N54,O54)</f>
        <v>249334.869861084</v>
      </c>
      <c r="Q54" s="99" t="n">
        <f aca="false">MAX(0,L54-P54)</f>
        <v>5234689.31851461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16206.7665409705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0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5234689.31851461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16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64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Maximum Allowable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401k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401k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Maximum Allowable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36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168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401k with Maximum Allowable / Maximum Allowable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64</v>
      </c>
      <c r="E17" s="97" t="n">
        <f aca="false">HLOOKUP($B$6,'RetireUp Market Returns'!A:CT,(1+$B$7+C17),FALSE())</f>
        <v>-0.0467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-93400</v>
      </c>
      <c r="L17" s="99" t="n">
        <f aca="false">J17+K17</f>
        <v>1906600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1906600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30000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43500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43500</v>
      </c>
      <c r="W17" s="99" t="n">
        <f aca="false">MIN(R17,T17)</f>
        <v>22500</v>
      </c>
      <c r="X17" s="99" t="n">
        <f aca="false">MIN(U17,R17-W17)</f>
        <v>7500</v>
      </c>
      <c r="Y17" s="99" t="n">
        <f aca="false">MIN(S17,V17)</f>
        <v>43500</v>
      </c>
      <c r="Z17" s="99" t="n">
        <f aca="false">W17+X17+Y17</f>
        <v>73500</v>
      </c>
      <c r="AA17" s="100" t="n">
        <f aca="false">Q17+Z17</f>
        <v>1980100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65</v>
      </c>
      <c r="E18" s="97" t="n">
        <f aca="false">HLOOKUP($B$6,'RetireUp Market Returns'!A:CT,(1+$B$7+C18),FALSE())</f>
        <v>-0.0708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1980100</v>
      </c>
      <c r="K18" s="99" t="n">
        <f aca="false">J18*E18</f>
        <v>-140191.08</v>
      </c>
      <c r="L18" s="99" t="n">
        <f aca="false">J18+K18</f>
        <v>1839908.92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1839908.92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30750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44587.5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44587.5</v>
      </c>
      <c r="W18" s="99" t="n">
        <f aca="false">MIN(R18,T18)</f>
        <v>23062.5</v>
      </c>
      <c r="X18" s="99" t="n">
        <f aca="false">MIN(U18,R18-W18)</f>
        <v>7687.5</v>
      </c>
      <c r="Y18" s="99" t="n">
        <f aca="false">MIN(S18,V18)</f>
        <v>44587.5</v>
      </c>
      <c r="Z18" s="99" t="n">
        <f aca="false">W18+X18+Y18</f>
        <v>75337.5</v>
      </c>
      <c r="AA18" s="100" t="n">
        <f aca="false">Q18+W18+X18+Y18</f>
        <v>1915246.42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66</v>
      </c>
      <c r="E19" s="97" t="n">
        <f aca="false">HLOOKUP($B$6,'RetireUp Market Returns'!A:CT,(1+$B$7+C19),FALSE())</f>
        <v>-0.1348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1915246.42</v>
      </c>
      <c r="K19" s="99" t="n">
        <f aca="false">J19*E19</f>
        <v>-258175.217416</v>
      </c>
      <c r="L19" s="99" t="n">
        <f aca="false">J19+K19</f>
        <v>1657071.202584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1657071.202584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31518.75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45702.1875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45702.1875</v>
      </c>
      <c r="W19" s="99" t="n">
        <f aca="false">MIN(R19,T19)</f>
        <v>23639.0625</v>
      </c>
      <c r="X19" s="99" t="n">
        <f aca="false">MIN(U19,R19-W19)</f>
        <v>7879.6875</v>
      </c>
      <c r="Y19" s="99" t="n">
        <f aca="false">MIN(S19,V19)</f>
        <v>45702.1875</v>
      </c>
      <c r="Z19" s="99" t="n">
        <f aca="false">W19+X19+Y19</f>
        <v>77220.9375</v>
      </c>
      <c r="AA19" s="100" t="n">
        <f aca="false">Q19+W19+X19+Y19</f>
        <v>1734292.140084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67</v>
      </c>
      <c r="E20" s="97" t="n">
        <f aca="false">HLOOKUP($B$6,'RetireUp Market Returns'!A:CT,(1+$B$7+C20),FALSE())</f>
        <v>0.0758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1734292.140084</v>
      </c>
      <c r="K20" s="99" t="n">
        <f aca="false">J20*E20</f>
        <v>131459.344218367</v>
      </c>
      <c r="L20" s="99" t="n">
        <f aca="false">J20+K20</f>
        <v>1865751.48430237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1865751.48430237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32306.71875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46844.7421875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46844.7421875</v>
      </c>
      <c r="W20" s="99" t="n">
        <f aca="false">MIN(R20,T20)</f>
        <v>24230.0390625</v>
      </c>
      <c r="X20" s="99" t="n">
        <f aca="false">MIN(U20,R20-W20)</f>
        <v>8076.6796875</v>
      </c>
      <c r="Y20" s="99" t="n">
        <f aca="false">MIN(S20,V20)</f>
        <v>46844.7421875</v>
      </c>
      <c r="Z20" s="99" t="n">
        <f aca="false">W20+X20+Y20</f>
        <v>79151.4609375</v>
      </c>
      <c r="AA20" s="100" t="n">
        <f aca="false">Q20+W20+X20+Y20</f>
        <v>1944902.94523987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68</v>
      </c>
      <c r="E21" s="97" t="n">
        <f aca="false">HLOOKUP($B$6,'RetireUp Market Returns'!A:CT,(1+$B$7+C21),FALSE())</f>
        <v>0.0433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1944902.94523987</v>
      </c>
      <c r="K21" s="99" t="n">
        <f aca="false">J21*E21</f>
        <v>84214.2975288862</v>
      </c>
      <c r="L21" s="99" t="n">
        <f aca="false">J21+K21</f>
        <v>2029117.24276875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2029117.24276875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33114.38671875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48015.8607421875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48015.8607421875</v>
      </c>
      <c r="W21" s="99" t="n">
        <f aca="false">MIN(R21,T21)</f>
        <v>24835.7900390625</v>
      </c>
      <c r="X21" s="99" t="n">
        <f aca="false">MIN(U21,R21-W21)</f>
        <v>8278.5966796875</v>
      </c>
      <c r="Y21" s="99" t="n">
        <f aca="false">MIN(S21,V21)</f>
        <v>48015.8607421875</v>
      </c>
      <c r="Z21" s="99" t="n">
        <f aca="false">W21+X21+Y21</f>
        <v>81130.2474609375</v>
      </c>
      <c r="AA21" s="100" t="n">
        <f aca="false">Q21+W21+X21+Y21</f>
        <v>2110247.49022969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69</v>
      </c>
      <c r="E22" s="97" t="n">
        <f aca="false">HLOOKUP($B$6,'RetireUp Market Returns'!A:CT,(1+$B$7+C22),FALSE())</f>
        <v>0.1008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2110247.49022969</v>
      </c>
      <c r="K22" s="99" t="n">
        <f aca="false">J22*E22</f>
        <v>212712.947015153</v>
      </c>
      <c r="L22" s="99" t="n">
        <f aca="false">J22+K22</f>
        <v>2322960.43724484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2322960.43724484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33942.2463867187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49216.2572607422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49216.2572607422</v>
      </c>
      <c r="W22" s="99" t="n">
        <f aca="false">MIN(R22,T22)</f>
        <v>25456.684790039</v>
      </c>
      <c r="X22" s="99" t="n">
        <f aca="false">MIN(U22,R22-W22)</f>
        <v>8485.56159667968</v>
      </c>
      <c r="Y22" s="99" t="n">
        <f aca="false">MIN(S22,V22)</f>
        <v>49216.2572607422</v>
      </c>
      <c r="Z22" s="99" t="n">
        <f aca="false">W22+X22+Y22</f>
        <v>83158.5036474609</v>
      </c>
      <c r="AA22" s="100" t="n">
        <f aca="false">Q22+W22+X22+Y22</f>
        <v>2406118.9408923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70</v>
      </c>
      <c r="E23" s="97" t="n">
        <f aca="false">HLOOKUP($B$6,'RetireUp Market Returns'!A:CT,(1+$B$7+C23),FALSE())</f>
        <v>0.0842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2406118.9408923</v>
      </c>
      <c r="K23" s="99" t="n">
        <f aca="false">J23*E23</f>
        <v>202595.214823132</v>
      </c>
      <c r="L23" s="99" t="n">
        <f aca="false">J23+K23</f>
        <v>2608714.15571544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2608714.15571544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34790.8025463867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50446.6636922607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50446.6636922607</v>
      </c>
      <c r="W23" s="99" t="n">
        <f aca="false">MIN(R23,T23)</f>
        <v>26093.10190979</v>
      </c>
      <c r="X23" s="99" t="n">
        <f aca="false">MIN(U23,R23-W23)</f>
        <v>8697.70063659668</v>
      </c>
      <c r="Y23" s="99" t="n">
        <f aca="false">MIN(S23,V23)</f>
        <v>50446.6636922607</v>
      </c>
      <c r="Z23" s="99" t="n">
        <f aca="false">W23+X23+Y23</f>
        <v>85237.4662386474</v>
      </c>
      <c r="AA23" s="100" t="n">
        <f aca="false">Q23+W23+X23+Y23</f>
        <v>2693951.62195408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71</v>
      </c>
      <c r="E24" s="97" t="n">
        <f aca="false">HLOOKUP($B$6,'RetireUp Market Returns'!A:CT,(1+$B$7+C24),FALSE())</f>
        <v>0.0817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2693951.62195408</v>
      </c>
      <c r="K24" s="99" t="n">
        <f aca="false">J24*E24</f>
        <v>220095.847513649</v>
      </c>
      <c r="L24" s="99" t="n">
        <f aca="false">J24+K24</f>
        <v>2914047.46946773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2914047.46946773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35660.5726100464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51707.8302845672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51707.8302845672</v>
      </c>
      <c r="W24" s="99" t="n">
        <f aca="false">MIN(R24,T24)</f>
        <v>26745.4294575348</v>
      </c>
      <c r="X24" s="99" t="n">
        <f aca="false">MIN(U24,R24-W24)</f>
        <v>8915.14315251159</v>
      </c>
      <c r="Y24" s="99" t="n">
        <f aca="false">MIN(S24,V24)</f>
        <v>51707.8302845672</v>
      </c>
      <c r="Z24" s="99" t="n">
        <f aca="false">W24+X24+Y24</f>
        <v>87368.4028946136</v>
      </c>
      <c r="AA24" s="100" t="n">
        <f aca="false">Q24+W24+X24+Y24</f>
        <v>3001415.87236235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72</v>
      </c>
      <c r="E25" s="97" t="n">
        <f aca="false">HLOOKUP($B$6,'RetireUp Market Returns'!A:CT,(1+$B$7+C25),FALSE())</f>
        <v>-0.2108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3001415.87236235</v>
      </c>
      <c r="K25" s="99" t="n">
        <f aca="false">J25*E25</f>
        <v>-632698.465893983</v>
      </c>
      <c r="L25" s="99" t="n">
        <f aca="false">J25+K25</f>
        <v>2368717.40646836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2368717.40646836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36552.0869252975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53000.5260416814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53000.5260416814</v>
      </c>
      <c r="W25" s="99" t="n">
        <f aca="false">MIN(R25,T25)</f>
        <v>27414.0651939731</v>
      </c>
      <c r="X25" s="99" t="n">
        <f aca="false">MIN(U25,R25-W25)</f>
        <v>9138.02173132438</v>
      </c>
      <c r="Y25" s="99" t="n">
        <f aca="false">MIN(S25,V25)</f>
        <v>53000.5260416814</v>
      </c>
      <c r="Z25" s="99" t="n">
        <f aca="false">W25+X25+Y25</f>
        <v>89552.6129669789</v>
      </c>
      <c r="AA25" s="100" t="n">
        <f aca="false">Q25+W25+X25+Y25</f>
        <v>2458270.01943534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73</v>
      </c>
      <c r="E26" s="97" t="n">
        <f aca="false">HLOOKUP($B$6,'RetireUp Market Returns'!A:CT,(1+$B$7+C26),FALSE())</f>
        <v>0.11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2458270.01943534</v>
      </c>
      <c r="K26" s="99" t="n">
        <f aca="false">J26*E26</f>
        <v>270409.702137888</v>
      </c>
      <c r="L26" s="99" t="n">
        <f aca="false">J26+K26</f>
        <v>2728679.72157323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26.5</v>
      </c>
      <c r="N26" s="99" t="n">
        <f aca="false">IF($M26="-",0,J26/$M26)</f>
        <v>92764.9063937865</v>
      </c>
      <c r="O26" s="99" t="n">
        <f aca="false">IF(D26&gt;$B$4,0,IF(D26&lt;$B$3,0,$B$8*(1+$B$10)^(C26-1)))</f>
        <v>0</v>
      </c>
      <c r="P26" s="99" t="n">
        <f aca="false">MAX(N26,O26)</f>
        <v>92764.9063937865</v>
      </c>
      <c r="Q26" s="99" t="n">
        <f aca="false">MAX(0,L26-P26)</f>
        <v>2635914.81517944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37465.88909843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54325.5391927234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54325.5391927234</v>
      </c>
      <c r="W26" s="99" t="n">
        <f aca="false">MIN(R26,T26)</f>
        <v>28099.4168238225</v>
      </c>
      <c r="X26" s="99" t="n">
        <f aca="false">MIN(U26,R26-W26)</f>
        <v>9366.47227460749</v>
      </c>
      <c r="Y26" s="99" t="n">
        <f aca="false">MIN(S26,V26)</f>
        <v>54325.5391927234</v>
      </c>
      <c r="Z26" s="99" t="n">
        <f aca="false">W26+X26+Y26</f>
        <v>91791.4282911534</v>
      </c>
      <c r="AA26" s="100" t="n">
        <f aca="false">Q26+W26+X26+Y26</f>
        <v>2727706.2434706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74</v>
      </c>
      <c r="E27" s="97" t="n">
        <f aca="false">HLOOKUP($B$6,'RetireUp Market Returns'!A:CT,(1+$B$7+C27),FALSE())</f>
        <v>0.0433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2727706.2434706</v>
      </c>
      <c r="K27" s="99" t="n">
        <f aca="false">J27*E27</f>
        <v>118109.680342277</v>
      </c>
      <c r="L27" s="99" t="n">
        <f aca="false">J27+K27</f>
        <v>2845815.92381287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25.5</v>
      </c>
      <c r="N27" s="99" t="n">
        <f aca="false">IF($M27="-",0,J27/$M27)</f>
        <v>106968.872292965</v>
      </c>
      <c r="O27" s="99" t="n">
        <f aca="false">IF(D27&gt;$B$4,0,IF(D27&lt;$B$3,0,$B$8*(1+$B$10)^(C27-1)))</f>
        <v>0</v>
      </c>
      <c r="P27" s="99" t="n">
        <f aca="false">MAX(N27,O27)</f>
        <v>106968.872292965</v>
      </c>
      <c r="Q27" s="99" t="n">
        <f aca="false">MAX(0,L27-P27)</f>
        <v>2738847.05151991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38402.5363258907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55683.6776725415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55683.6776725415</v>
      </c>
      <c r="W27" s="99" t="n">
        <f aca="false">MIN(R27,T27)</f>
        <v>28801.902244418</v>
      </c>
      <c r="X27" s="99" t="n">
        <f aca="false">MIN(U27,R27-W27)</f>
        <v>9600.63408147268</v>
      </c>
      <c r="Y27" s="99" t="n">
        <f aca="false">MIN(S27,V27)</f>
        <v>55683.6776725415</v>
      </c>
      <c r="Z27" s="99" t="n">
        <f aca="false">W27+X27+Y27</f>
        <v>94086.2139984322</v>
      </c>
      <c r="AA27" s="100" t="n">
        <f aca="false">Q27+W27+X27+Y27</f>
        <v>2832933.26551834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75</v>
      </c>
      <c r="E28" s="97" t="n">
        <f aca="false">HLOOKUP($B$6,'RetireUp Market Returns'!A:CT,(1+$B$7+C28),FALSE())</f>
        <v>0.0372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2832933.26551834</v>
      </c>
      <c r="K28" s="99" t="n">
        <f aca="false">J28*E28</f>
        <v>105385.117477282</v>
      </c>
      <c r="L28" s="99" t="n">
        <f aca="false">J28+K28</f>
        <v>2938318.38299562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24.6</v>
      </c>
      <c r="N28" s="99" t="n">
        <f aca="false">IF($M28="-",0,J28/$M28)</f>
        <v>115159.888842209</v>
      </c>
      <c r="O28" s="99" t="n">
        <f aca="false">IF(D28&gt;$B$4,0,IF(D28&lt;$B$3,0,$B$8*(1+$B$10)^(C28-1)))</f>
        <v>0</v>
      </c>
      <c r="P28" s="99" t="n">
        <f aca="false">MAX(N28,O28)</f>
        <v>115159.888842209</v>
      </c>
      <c r="Q28" s="99" t="n">
        <f aca="false">MAX(0,L28-P28)</f>
        <v>2823158.49415341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39362.599734038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57075.7696143551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57075.7696143551</v>
      </c>
      <c r="W28" s="99" t="n">
        <f aca="false">MIN(R28,T28)</f>
        <v>29521.9498005285</v>
      </c>
      <c r="X28" s="99" t="n">
        <f aca="false">MIN(U28,R28-W28)</f>
        <v>9840.64993350949</v>
      </c>
      <c r="Y28" s="99" t="n">
        <f aca="false">MIN(S28,V28)</f>
        <v>57075.7696143551</v>
      </c>
      <c r="Z28" s="99" t="n">
        <f aca="false">W28+X28+Y28</f>
        <v>96438.369348393</v>
      </c>
      <c r="AA28" s="100" t="n">
        <f aca="false">Q28+W28+X28+Y28</f>
        <v>2919596.86350181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76</v>
      </c>
      <c r="E29" s="97" t="n">
        <f aca="false">HLOOKUP($B$6,'RetireUp Market Returns'!A:CT,(1+$B$7+C29),FALSE())</f>
        <v>0.1006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2919596.86350181</v>
      </c>
      <c r="K29" s="99" t="n">
        <f aca="false">J29*E29</f>
        <v>293711.444468282</v>
      </c>
      <c r="L29" s="99" t="n">
        <f aca="false">J29+K29</f>
        <v>3213308.30797009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23.7</v>
      </c>
      <c r="N29" s="99" t="n">
        <f aca="false">IF($M29="-",0,J29/$M29)</f>
        <v>123189.741076026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3078819.42554546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3078819.42554546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77</v>
      </c>
      <c r="E30" s="97" t="n">
        <f aca="false">HLOOKUP($B$6,'RetireUp Market Returns'!A:CT,(1+$B$7+C30),FALSE())</f>
        <v>0.0192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3078819.42554546</v>
      </c>
      <c r="K30" s="99" t="n">
        <f aca="false">J30*E30</f>
        <v>59113.3329704728</v>
      </c>
      <c r="L30" s="99" t="n">
        <f aca="false">J30+K30</f>
        <v>3137932.75851593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22.9</v>
      </c>
      <c r="N30" s="99" t="n">
        <f aca="false">IF($M30="-",0,J30/$M30)</f>
        <v>134446.263124256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3000081.65403069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3000081.65403069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78</v>
      </c>
      <c r="E31" s="97" t="n">
        <f aca="false">HLOOKUP($B$6,'RetireUp Market Returns'!A:CT,(1+$B$7+C31),FALSE())</f>
        <v>0.0542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3000081.65403069</v>
      </c>
      <c r="K31" s="99" t="n">
        <f aca="false">J31*E31</f>
        <v>162604.425648463</v>
      </c>
      <c r="L31" s="99" t="n">
        <f aca="false">J31+K31</f>
        <v>3162686.07967915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22</v>
      </c>
      <c r="N31" s="99" t="n">
        <f aca="false">IF($M31="-",0,J31/$M31)</f>
        <v>136367.347910486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3021388.69758177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3021388.69758177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79</v>
      </c>
      <c r="E32" s="97" t="n">
        <f aca="false">HLOOKUP($B$6,'RetireUp Market Returns'!A:CT,(1+$B$7+C32),FALSE())</f>
        <v>0.1128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3021388.69758177</v>
      </c>
      <c r="K32" s="99" t="n">
        <f aca="false">J32*E32</f>
        <v>340812.645087224</v>
      </c>
      <c r="L32" s="99" t="n">
        <f aca="false">J32+K32</f>
        <v>3362201.342669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21.1</v>
      </c>
      <c r="N32" s="99" t="n">
        <f aca="false">IF($M32="-",0,J32/$M32)</f>
        <v>143193.777136577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3217371.52601919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3217371.52601919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80</v>
      </c>
      <c r="E33" s="97" t="n">
        <f aca="false">HLOOKUP($B$6,'RetireUp Market Returns'!A:CT,(1+$B$7+C33),FALSE())</f>
        <v>0.0742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3217371.52601919</v>
      </c>
      <c r="K33" s="99" t="n">
        <f aca="false">J33*E33</f>
        <v>238728.967230624</v>
      </c>
      <c r="L33" s="99" t="n">
        <f aca="false">J33+K33</f>
        <v>3456100.49324981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20.2</v>
      </c>
      <c r="N33" s="99" t="n">
        <f aca="false">IF($M33="-",0,J33/$M33)</f>
        <v>159275.818119762</v>
      </c>
      <c r="O33" s="99" t="n">
        <f aca="false">IF(D33&gt;$B$4,0,IF(D33&lt;$B$3,0,$B$8*(1+$B$10)^(C33-1)))</f>
        <v>148450.562066056</v>
      </c>
      <c r="P33" s="99" t="n">
        <f aca="false">MAX(N33,O33)</f>
        <v>159275.818119762</v>
      </c>
      <c r="Q33" s="99" t="n">
        <f aca="false">MAX(0,L33-P33)</f>
        <v>3296824.67513005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3296824.67513005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81</v>
      </c>
      <c r="E34" s="97" t="n">
        <f aca="false">HLOOKUP($B$6,'RetireUp Market Returns'!A:CT,(1+$B$7+C34),FALSE())</f>
        <v>0.1183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3296824.67513005</v>
      </c>
      <c r="K34" s="99" t="n">
        <f aca="false">J34*E34</f>
        <v>390014.359067885</v>
      </c>
      <c r="L34" s="99" t="n">
        <f aca="false">J34+K34</f>
        <v>3686839.03419793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19.4</v>
      </c>
      <c r="N34" s="99" t="n">
        <f aca="false">IF($M34="-",0,J34/$M34)</f>
        <v>169939.416243817</v>
      </c>
      <c r="O34" s="99" t="n">
        <f aca="false">IF(D34&gt;$B$4,0,IF(D34&lt;$B$3,0,$B$8*(1+$B$10)^(C34-1)))</f>
        <v>152161.826117708</v>
      </c>
      <c r="P34" s="99" t="n">
        <f aca="false">MAX(N34,O34)</f>
        <v>169939.416243817</v>
      </c>
      <c r="Q34" s="99" t="n">
        <f aca="false">MAX(0,L34-P34)</f>
        <v>3516899.61795412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3516899.61795412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82</v>
      </c>
      <c r="E35" s="97" t="n">
        <f aca="false">HLOOKUP($B$6,'RetireUp Market Returns'!A:CT,(1+$B$7+C35),FALSE())</f>
        <v>0.0817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3516899.61795412</v>
      </c>
      <c r="K35" s="99" t="n">
        <f aca="false">J35*E35</f>
        <v>287330.698786851</v>
      </c>
      <c r="L35" s="99" t="n">
        <f aca="false">J35+K35</f>
        <v>3804230.31674097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18.5</v>
      </c>
      <c r="N35" s="99" t="n">
        <f aca="false">IF($M35="-",0,J35/$M35)</f>
        <v>190102.682051574</v>
      </c>
      <c r="O35" s="99" t="n">
        <f aca="false">IF(D35&gt;$B$4,0,IF(D35&lt;$B$3,0,$B$8*(1+$B$10)^(C35-1)))</f>
        <v>155965.87177065</v>
      </c>
      <c r="P35" s="99" t="n">
        <f aca="false">MAX(N35,O35)</f>
        <v>190102.682051574</v>
      </c>
      <c r="Q35" s="99" t="n">
        <f aca="false">MAX(0,L35-P35)</f>
        <v>3614127.63468939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3614127.63468939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83</v>
      </c>
      <c r="E36" s="97" t="n">
        <f aca="false">HLOOKUP($B$6,'RetireUp Market Returns'!A:CT,(1+$B$7+C36),FALSE())</f>
        <v>0.1008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3614127.63468939</v>
      </c>
      <c r="K36" s="99" t="n">
        <f aca="false">J36*E36</f>
        <v>364304.065576691</v>
      </c>
      <c r="L36" s="99" t="n">
        <f aca="false">J36+K36</f>
        <v>3978431.70026609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17.7</v>
      </c>
      <c r="N36" s="99" t="n">
        <f aca="false">IF($M36="-",0,J36/$M36)</f>
        <v>204188.001959853</v>
      </c>
      <c r="O36" s="99" t="n">
        <f aca="false">IF(D36&gt;$B$4,0,IF(D36&lt;$B$3,0,$B$8*(1+$B$10)^(C36-1)))</f>
        <v>159865.018564917</v>
      </c>
      <c r="P36" s="99" t="n">
        <f aca="false">MAX(N36,O36)</f>
        <v>204188.001959853</v>
      </c>
      <c r="Q36" s="99" t="n">
        <f aca="false">MAX(0,L36-P36)</f>
        <v>3774243.69830623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3774243.69830623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84</v>
      </c>
      <c r="E37" s="97" t="n">
        <f aca="false">HLOOKUP($B$6,'RetireUp Market Returns'!A:CT,(1+$B$7+C37),FALSE())</f>
        <v>-0.0124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3774243.69830623</v>
      </c>
      <c r="K37" s="99" t="n">
        <f aca="false">J37*E37</f>
        <v>-46800.6218589973</v>
      </c>
      <c r="L37" s="99" t="n">
        <f aca="false">J37+K37</f>
        <v>3727443.07644724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16.8</v>
      </c>
      <c r="N37" s="99" t="n">
        <f aca="false">IF($M37="-",0,J37/$M37)</f>
        <v>224657.362994419</v>
      </c>
      <c r="O37" s="99" t="n">
        <f aca="false">IF(D37&gt;$B$4,0,IF(D37&lt;$B$3,0,$B$8*(1+$B$10)^(C37-1)))</f>
        <v>163861.644029039</v>
      </c>
      <c r="P37" s="99" t="n">
        <f aca="false">MAX(N37,O37)</f>
        <v>224657.362994419</v>
      </c>
      <c r="Q37" s="99" t="n">
        <f aca="false">MAX(0,L37-P37)</f>
        <v>3502785.71345282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3502785.71345282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85</v>
      </c>
      <c r="E38" s="97" t="n">
        <f aca="false">HLOOKUP($B$6,'RetireUp Market Returns'!A:CT,(1+$B$7+C38),FALSE())</f>
        <v>0.1727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3502785.71345282</v>
      </c>
      <c r="K38" s="99" t="n">
        <f aca="false">J38*E38</f>
        <v>604931.092713302</v>
      </c>
      <c r="L38" s="99" t="n">
        <f aca="false">J38+K38</f>
        <v>4107716.80616612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16</v>
      </c>
      <c r="N38" s="99" t="n">
        <f aca="false">IF($M38="-",0,J38/$M38)</f>
        <v>218924.107090801</v>
      </c>
      <c r="O38" s="99" t="n">
        <f aca="false">IF(D38&gt;$B$4,0,IF(D38&lt;$B$3,0,$B$8*(1+$B$10)^(C38-1)))</f>
        <v>167958.185129765</v>
      </c>
      <c r="P38" s="99" t="n">
        <f aca="false">MAX(N38,O38)</f>
        <v>218924.107090801</v>
      </c>
      <c r="Q38" s="99" t="n">
        <f aca="false">MAX(0,L38-P38)</f>
        <v>3888792.69907532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3888792.69907532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86</v>
      </c>
      <c r="E39" s="97" t="n">
        <f aca="false">HLOOKUP($B$6,'RetireUp Market Returns'!A:CT,(1+$B$7+C39),FALSE())</f>
        <v>0.0174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3888792.69907532</v>
      </c>
      <c r="K39" s="99" t="n">
        <f aca="false">J39*E39</f>
        <v>67664.9929639105</v>
      </c>
      <c r="L39" s="99" t="n">
        <f aca="false">J39+K39</f>
        <v>3956457.69203923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15.2</v>
      </c>
      <c r="N39" s="99" t="n">
        <f aca="false">IF($M39="-",0,J39/$M39)</f>
        <v>255841.624939166</v>
      </c>
      <c r="O39" s="99" t="n">
        <f aca="false">IF(D39&gt;$B$4,0,IF(D39&lt;$B$3,0,$B$8*(1+$B$10)^(C39-1)))</f>
        <v>172157.13975801</v>
      </c>
      <c r="P39" s="99" t="n">
        <f aca="false">MAX(N39,O39)</f>
        <v>255841.624939166</v>
      </c>
      <c r="Q39" s="99" t="n">
        <f aca="false">MAX(0,L39-P39)</f>
        <v>3700616.06710006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3700616.06710006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87</v>
      </c>
      <c r="E40" s="97" t="n">
        <f aca="false">HLOOKUP($B$6,'RetireUp Market Returns'!A:CT,(1+$B$7+C40),FALSE())</f>
        <v>0.0542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3700616.06710006</v>
      </c>
      <c r="K40" s="99" t="n">
        <f aca="false">J40*E40</f>
        <v>200573.390836823</v>
      </c>
      <c r="L40" s="99" t="n">
        <f aca="false">J40+K40</f>
        <v>3901189.45793689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14.4</v>
      </c>
      <c r="N40" s="99" t="n">
        <f aca="false">IF($M40="-",0,J40/$M40)</f>
        <v>256987.226881949</v>
      </c>
      <c r="O40" s="99" t="n">
        <f aca="false">IF(D40&gt;$B$4,0,IF(D40&lt;$B$3,0,$B$8*(1+$B$10)^(C40-1)))</f>
        <v>176461.06825196</v>
      </c>
      <c r="P40" s="99" t="n">
        <f aca="false">MAX(N40,O40)</f>
        <v>256987.226881949</v>
      </c>
      <c r="Q40" s="99" t="n">
        <f aca="false">MAX(0,L40-P40)</f>
        <v>3644202.23105494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3644202.23105494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88</v>
      </c>
      <c r="E41" s="97" t="n">
        <f aca="false">HLOOKUP($B$6,'RetireUp Market Returns'!A:CT,(1+$B$7+C41),FALSE())</f>
        <v>0.0525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3644202.23105494</v>
      </c>
      <c r="K41" s="99" t="n">
        <f aca="false">J41*E41</f>
        <v>191320.617130384</v>
      </c>
      <c r="L41" s="99" t="n">
        <f aca="false">J41+K41</f>
        <v>3835522.84818532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13.7</v>
      </c>
      <c r="N41" s="99" t="n">
        <f aca="false">IF($M41="-",0,J41/$M41)</f>
        <v>266000.162850725</v>
      </c>
      <c r="O41" s="99" t="n">
        <f aca="false">IF(D41&gt;$B$4,0,IF(D41&lt;$B$3,0,$B$8*(1+$B$10)^(C41-1)))</f>
        <v>180872.594958259</v>
      </c>
      <c r="P41" s="99" t="n">
        <f aca="false">MAX(N41,O41)</f>
        <v>266000.162850725</v>
      </c>
      <c r="Q41" s="99" t="n">
        <f aca="false">MAX(0,L41-P41)</f>
        <v>3569522.6853346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3569522.6853346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89</v>
      </c>
      <c r="E42" s="97" t="n">
        <f aca="false">HLOOKUP($B$6,'RetireUp Market Returns'!A:CT,(1+$B$7+C42),FALSE())</f>
        <v>-0.048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3569522.6853346</v>
      </c>
      <c r="K42" s="99" t="n">
        <f aca="false">J42*E42</f>
        <v>-171337.088896061</v>
      </c>
      <c r="L42" s="99" t="n">
        <f aca="false">J42+K42</f>
        <v>3398185.59643854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12.9</v>
      </c>
      <c r="N42" s="99" t="n">
        <f aca="false">IF($M42="-",0,J42/$M42)</f>
        <v>276707.184909659</v>
      </c>
      <c r="O42" s="99" t="n">
        <f aca="false">IF(D42&gt;$B$4,0,IF(D42&lt;$B$3,0,$B$8*(1+$B$10)^(C42-1)))</f>
        <v>185394.409832215</v>
      </c>
      <c r="P42" s="99" t="n">
        <f aca="false">MAX(N42,O42)</f>
        <v>276707.184909659</v>
      </c>
      <c r="Q42" s="99" t="n">
        <f aca="false">MAX(0,L42-P42)</f>
        <v>3121478.41152888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3121478.41152888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90</v>
      </c>
      <c r="E43" s="97" t="n">
        <f aca="false">HLOOKUP($B$6,'RetireUp Market Returns'!A:CT,(1+$B$7+C43),FALSE())</f>
        <v>-0.0382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3121478.41152888</v>
      </c>
      <c r="K43" s="99" t="n">
        <f aca="false">J43*E43</f>
        <v>-119240.475320403</v>
      </c>
      <c r="L43" s="99" t="n">
        <f aca="false">J43+K43</f>
        <v>3002237.93620847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12.2</v>
      </c>
      <c r="N43" s="99" t="n">
        <f aca="false">IF($M43="-",0,J43/$M43)</f>
        <v>255858.886190892</v>
      </c>
      <c r="O43" s="99" t="n">
        <f aca="false">IF(D43&gt;$B$4,0,IF(D43&lt;$B$3,0,$B$8*(1+$B$10)^(C43-1)))</f>
        <v>190029.270078021</v>
      </c>
      <c r="P43" s="99" t="n">
        <f aca="false">MAX(N43,O43)</f>
        <v>255858.886190892</v>
      </c>
      <c r="Q43" s="99" t="n">
        <f aca="false">MAX(0,L43-P43)</f>
        <v>2746379.05001758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2746379.05001758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0.0314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2746379.05001758</v>
      </c>
      <c r="K44" s="99" t="n">
        <f aca="false">J44*E44</f>
        <v>86236.3021705521</v>
      </c>
      <c r="L44" s="99" t="n">
        <f aca="false">J44+K44</f>
        <v>2832615.35218813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2832615.35218813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2832615.35218813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0.0725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2832615.35218813</v>
      </c>
      <c r="K45" s="99" t="n">
        <f aca="false">J45*E45</f>
        <v>205364.61303364</v>
      </c>
      <c r="L45" s="99" t="n">
        <f aca="false">J45+K45</f>
        <v>3037979.96522177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3037979.96522177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3037979.96522177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-0.1482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3037979.96522177</v>
      </c>
      <c r="K46" s="99" t="n">
        <f aca="false">J46*E46</f>
        <v>-450228.630845867</v>
      </c>
      <c r="L46" s="99" t="n">
        <f aca="false">J46+K46</f>
        <v>2587751.33437591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2587751.33437591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2587751.33437591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0.0488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2587751.33437591</v>
      </c>
      <c r="K47" s="99" t="n">
        <f aca="false">J47*E47</f>
        <v>126282.265117544</v>
      </c>
      <c r="L47" s="99" t="n">
        <f aca="false">J47+K47</f>
        <v>2714033.59949345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2714033.59949345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2714033.59949345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0.0078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2714033.59949345</v>
      </c>
      <c r="K48" s="99" t="n">
        <f aca="false">J48*E48</f>
        <v>21169.4620760489</v>
      </c>
      <c r="L48" s="99" t="n">
        <f aca="false">J48+K48</f>
        <v>2735203.0615695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2735203.0615695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2735203.0615695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0.1738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2735203.0615695</v>
      </c>
      <c r="K49" s="99" t="n">
        <f aca="false">J49*E49</f>
        <v>475378.292100779</v>
      </c>
      <c r="L49" s="99" t="n">
        <f aca="false">J49+K49</f>
        <v>3210581.35367028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3210581.35367028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3210581.35367028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0.1013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3210581.35367028</v>
      </c>
      <c r="K50" s="99" t="n">
        <f aca="false">J50*E50</f>
        <v>325231.891126799</v>
      </c>
      <c r="L50" s="99" t="n">
        <f aca="false">J50+K50</f>
        <v>3535813.24479708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3535813.24479708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3535813.24479708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0.1187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3535813.24479708</v>
      </c>
      <c r="K51" s="99" t="n">
        <f aca="false">J51*E51</f>
        <v>419701.032157413</v>
      </c>
      <c r="L51" s="99" t="n">
        <f aca="false">J51+K51</f>
        <v>3955514.27695449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3955514.27695449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3955514.27695449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0.0517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3955514.27695449</v>
      </c>
      <c r="K52" s="99" t="n">
        <f aca="false">J52*E52</f>
        <v>204500.088118547</v>
      </c>
      <c r="L52" s="99" t="n">
        <f aca="false">J52+K52</f>
        <v>4160014.36507304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4160014.36507304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4160014.36507304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0.0663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4160014.36507304</v>
      </c>
      <c r="K53" s="99" t="n">
        <f aca="false">J53*E53</f>
        <v>275808.952404342</v>
      </c>
      <c r="L53" s="99" t="n">
        <f aca="false">J53+K53</f>
        <v>4435823.31747738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4435823.31747738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4435823.31747738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-0.031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4435823.31747738</v>
      </c>
      <c r="K54" s="99" t="n">
        <f aca="false">J54*E54</f>
        <v>-137510.522841799</v>
      </c>
      <c r="L54" s="99" t="n">
        <f aca="false">J54+K54</f>
        <v>4298312.79463558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4298312.79463558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4298312.79463558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17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63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Maximum Allowable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401k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401k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0.07</v>
      </c>
      <c r="C6" s="57"/>
      <c r="D6" s="64" t="s">
        <v>17</v>
      </c>
      <c r="E6" s="79" t="n">
        <f aca="false">VLOOKUP($A$14,Scenarios!$A:$CE,HLOOKUP(D6,Scenarios!$1:$2,2,FALSE()),FALSE())</f>
        <v>1000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36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169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401k with Monthly / Maximum Allowable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63</v>
      </c>
      <c r="E17" s="97" t="n">
        <f aca="false">HLOOKUP($B$6,'RetireUp Market Returns'!A:CT,(1+$B$7+C17),FALSE())</f>
        <v>-0.0653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-130600</v>
      </c>
      <c r="L17" s="99" t="n">
        <f aca="false">J17+K17</f>
        <v>1869400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1869400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12000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54000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54000</v>
      </c>
      <c r="W17" s="99" t="n">
        <f aca="false">MIN(R17,T17)</f>
        <v>12000</v>
      </c>
      <c r="X17" s="99" t="n">
        <f aca="false">MIN(U17,R17-W17)</f>
        <v>0</v>
      </c>
      <c r="Y17" s="99" t="n">
        <f aca="false">MIN(S17,V17)</f>
        <v>54000</v>
      </c>
      <c r="Z17" s="99" t="n">
        <f aca="false">W17+X17+Y17</f>
        <v>66000</v>
      </c>
      <c r="AA17" s="100" t="n">
        <f aca="false">Q17+Z17</f>
        <v>1935400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64</v>
      </c>
      <c r="E18" s="97" t="n">
        <f aca="false">HLOOKUP($B$6,'RetireUp Market Returns'!A:CT,(1+$B$7+C18),FALSE())</f>
        <v>-0.0992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1935400</v>
      </c>
      <c r="K18" s="99" t="n">
        <f aca="false">J18*E18</f>
        <v>-191991.68</v>
      </c>
      <c r="L18" s="99" t="n">
        <f aca="false">J18+K18</f>
        <v>1743408.32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1743408.32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12000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55650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55650</v>
      </c>
      <c r="W18" s="99" t="n">
        <f aca="false">MIN(R18,T18)</f>
        <v>12000</v>
      </c>
      <c r="X18" s="99" t="n">
        <f aca="false">MIN(U18,R18-W18)</f>
        <v>0</v>
      </c>
      <c r="Y18" s="99" t="n">
        <f aca="false">MIN(S18,V18)</f>
        <v>55650</v>
      </c>
      <c r="Z18" s="99" t="n">
        <f aca="false">W18+X18+Y18</f>
        <v>67650</v>
      </c>
      <c r="AA18" s="100" t="n">
        <f aca="false">Q18+W18+X18+Y18</f>
        <v>1811058.32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65</v>
      </c>
      <c r="E19" s="97" t="n">
        <f aca="false">HLOOKUP($B$6,'RetireUp Market Returns'!A:CT,(1+$B$7+C19),FALSE())</f>
        <v>-0.1888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1811058.32</v>
      </c>
      <c r="K19" s="99" t="n">
        <f aca="false">J19*E19</f>
        <v>-341927.810816</v>
      </c>
      <c r="L19" s="99" t="n">
        <f aca="false">J19+K19</f>
        <v>1469130.509184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1469130.509184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12000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57341.25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57341.25</v>
      </c>
      <c r="W19" s="99" t="n">
        <f aca="false">MIN(R19,T19)</f>
        <v>12000</v>
      </c>
      <c r="X19" s="99" t="n">
        <f aca="false">MIN(U19,R19-W19)</f>
        <v>0</v>
      </c>
      <c r="Y19" s="99" t="n">
        <f aca="false">MIN(S19,V19)</f>
        <v>57341.25</v>
      </c>
      <c r="Z19" s="99" t="n">
        <f aca="false">W19+X19+Y19</f>
        <v>69341.25</v>
      </c>
      <c r="AA19" s="100" t="n">
        <f aca="false">Q19+W19+X19+Y19</f>
        <v>1538471.759184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66</v>
      </c>
      <c r="E20" s="97" t="n">
        <f aca="false">HLOOKUP($B$6,'RetireUp Market Returns'!A:CT,(1+$B$7+C20),FALSE())</f>
        <v>0.1062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1538471.759184</v>
      </c>
      <c r="K20" s="99" t="n">
        <f aca="false">J20*E20</f>
        <v>163385.700825341</v>
      </c>
      <c r="L20" s="99" t="n">
        <f aca="false">J20+K20</f>
        <v>1701857.46000934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1701857.46000934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12000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59074.78125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59074.78125</v>
      </c>
      <c r="W20" s="99" t="n">
        <f aca="false">MIN(R20,T20)</f>
        <v>12000</v>
      </c>
      <c r="X20" s="99" t="n">
        <f aca="false">MIN(U20,R20-W20)</f>
        <v>0</v>
      </c>
      <c r="Y20" s="99" t="n">
        <f aca="false">MIN(S20,V20)</f>
        <v>59074.78125</v>
      </c>
      <c r="Z20" s="99" t="n">
        <f aca="false">W20+X20+Y20</f>
        <v>71074.78125</v>
      </c>
      <c r="AA20" s="100" t="n">
        <f aca="false">Q20+W20+X20+Y20</f>
        <v>1772932.24125934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67</v>
      </c>
      <c r="E21" s="97" t="n">
        <f aca="false">HLOOKUP($B$6,'RetireUp Market Returns'!A:CT,(1+$B$7+C21),FALSE())</f>
        <v>0.0607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1772932.24125934</v>
      </c>
      <c r="K21" s="99" t="n">
        <f aca="false">J21*E21</f>
        <v>107616.987044442</v>
      </c>
      <c r="L21" s="99" t="n">
        <f aca="false">J21+K21</f>
        <v>1880549.22830378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1880549.22830378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12000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60851.65078125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60851.65078125</v>
      </c>
      <c r="W21" s="99" t="n">
        <f aca="false">MIN(R21,T21)</f>
        <v>12000</v>
      </c>
      <c r="X21" s="99" t="n">
        <f aca="false">MIN(U21,R21-W21)</f>
        <v>0</v>
      </c>
      <c r="Y21" s="99" t="n">
        <f aca="false">MIN(S21,V21)</f>
        <v>60851.65078125</v>
      </c>
      <c r="Z21" s="99" t="n">
        <f aca="false">W21+X21+Y21</f>
        <v>72851.65078125</v>
      </c>
      <c r="AA21" s="100" t="n">
        <f aca="false">Q21+W21+X21+Y21</f>
        <v>1953400.87908503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68</v>
      </c>
      <c r="E22" s="97" t="n">
        <f aca="false">HLOOKUP($B$6,'RetireUp Market Returns'!A:CT,(1+$B$7+C22),FALSE())</f>
        <v>0.1412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1953400.87908503</v>
      </c>
      <c r="K22" s="99" t="n">
        <f aca="false">J22*E22</f>
        <v>275820.204126807</v>
      </c>
      <c r="L22" s="99" t="n">
        <f aca="false">J22+K22</f>
        <v>2229221.08321184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2229221.08321184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12000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62672.9420507812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62672.9420507812</v>
      </c>
      <c r="W22" s="99" t="n">
        <f aca="false">MIN(R22,T22)</f>
        <v>12000</v>
      </c>
      <c r="X22" s="99" t="n">
        <f aca="false">MIN(U22,R22-W22)</f>
        <v>0</v>
      </c>
      <c r="Y22" s="99" t="n">
        <f aca="false">MIN(S22,V22)</f>
        <v>62672.9420507812</v>
      </c>
      <c r="Z22" s="99" t="n">
        <f aca="false">W22+X22+Y22</f>
        <v>74672.9420507812</v>
      </c>
      <c r="AA22" s="100" t="n">
        <f aca="false">Q22+W22+X22+Y22</f>
        <v>2303894.02526262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69</v>
      </c>
      <c r="E23" s="97" t="n">
        <f aca="false">HLOOKUP($B$6,'RetireUp Market Returns'!A:CT,(1+$B$7+C23),FALSE())</f>
        <v>0.1178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2303894.02526262</v>
      </c>
      <c r="K23" s="99" t="n">
        <f aca="false">J23*E23</f>
        <v>271398.716175937</v>
      </c>
      <c r="L23" s="99" t="n">
        <f aca="false">J23+K23</f>
        <v>2575292.74143856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2575292.74143856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12000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64539.7656020507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64539.7656020507</v>
      </c>
      <c r="W23" s="99" t="n">
        <f aca="false">MIN(R23,T23)</f>
        <v>12000</v>
      </c>
      <c r="X23" s="99" t="n">
        <f aca="false">MIN(U23,R23-W23)</f>
        <v>0</v>
      </c>
      <c r="Y23" s="99" t="n">
        <f aca="false">MIN(S23,V23)</f>
        <v>64539.7656020507</v>
      </c>
      <c r="Z23" s="99" t="n">
        <f aca="false">W23+X23+Y23</f>
        <v>76539.7656020507</v>
      </c>
      <c r="AA23" s="100" t="n">
        <f aca="false">Q23+W23+X23+Y23</f>
        <v>2651832.50704061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70</v>
      </c>
      <c r="E24" s="97" t="n">
        <f aca="false">HLOOKUP($B$6,'RetireUp Market Returns'!A:CT,(1+$B$7+C24),FALSE())</f>
        <v>0.1143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2651832.50704061</v>
      </c>
      <c r="K24" s="99" t="n">
        <f aca="false">J24*E24</f>
        <v>303104.455554741</v>
      </c>
      <c r="L24" s="99" t="n">
        <f aca="false">J24+K24</f>
        <v>2954936.96259535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2954936.96259535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12000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66453.259742102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66453.259742102</v>
      </c>
      <c r="W24" s="99" t="n">
        <f aca="false">MIN(R24,T24)</f>
        <v>12000</v>
      </c>
      <c r="X24" s="99" t="n">
        <f aca="false">MIN(U24,R24-W24)</f>
        <v>0</v>
      </c>
      <c r="Y24" s="99" t="n">
        <f aca="false">MIN(S24,V24)</f>
        <v>66453.259742102</v>
      </c>
      <c r="Z24" s="99" t="n">
        <f aca="false">W24+X24+Y24</f>
        <v>78453.259742102</v>
      </c>
      <c r="AA24" s="100" t="n">
        <f aca="false">Q24+W24+X24+Y24</f>
        <v>3033390.22233745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71</v>
      </c>
      <c r="E25" s="97" t="n">
        <f aca="false">HLOOKUP($B$6,'RetireUp Market Returns'!A:CT,(1+$B$7+C25),FALSE())</f>
        <v>-0.2952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3033390.22233745</v>
      </c>
      <c r="K25" s="99" t="n">
        <f aca="false">J25*E25</f>
        <v>-895456.793634016</v>
      </c>
      <c r="L25" s="99" t="n">
        <f aca="false">J25+K25</f>
        <v>2137933.42870344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2137933.42870344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12000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68414.5912356545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68414.5912356545</v>
      </c>
      <c r="W25" s="99" t="n">
        <f aca="false">MIN(R25,T25)</f>
        <v>12000</v>
      </c>
      <c r="X25" s="99" t="n">
        <f aca="false">MIN(U25,R25-W25)</f>
        <v>0</v>
      </c>
      <c r="Y25" s="99" t="n">
        <f aca="false">MIN(S25,V25)</f>
        <v>68414.5912356545</v>
      </c>
      <c r="Z25" s="99" t="n">
        <f aca="false">W25+X25+Y25</f>
        <v>80414.5912356545</v>
      </c>
      <c r="AA25" s="100" t="n">
        <f aca="false">Q25+W25+X25+Y25</f>
        <v>2218348.01993909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72</v>
      </c>
      <c r="E26" s="97" t="n">
        <f aca="false">HLOOKUP($B$6,'RetireUp Market Returns'!A:CT,(1+$B$7+C26),FALSE())</f>
        <v>0.154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2218348.01993909</v>
      </c>
      <c r="K26" s="99" t="n">
        <f aca="false">J26*E26</f>
        <v>341625.59507062</v>
      </c>
      <c r="L26" s="99" t="n">
        <f aca="false">J26+K26</f>
        <v>2559973.61500971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0</v>
      </c>
      <c r="P26" s="99" t="n">
        <f aca="false">MAX(N26,O26)</f>
        <v>0</v>
      </c>
      <c r="Q26" s="99" t="n">
        <f aca="false">MAX(0,L26-P26)</f>
        <v>2559973.61500971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12000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70424.9560165459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70424.9560165459</v>
      </c>
      <c r="W26" s="99" t="n">
        <f aca="false">MIN(R26,T26)</f>
        <v>12000</v>
      </c>
      <c r="X26" s="99" t="n">
        <f aca="false">MIN(U26,R26-W26)</f>
        <v>0</v>
      </c>
      <c r="Y26" s="99" t="n">
        <f aca="false">MIN(S26,V26)</f>
        <v>70424.9560165459</v>
      </c>
      <c r="Z26" s="99" t="n">
        <f aca="false">W26+X26+Y26</f>
        <v>82424.9560165459</v>
      </c>
      <c r="AA26" s="100" t="n">
        <f aca="false">Q26+W26+X26+Y26</f>
        <v>2642398.57102626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73</v>
      </c>
      <c r="E27" s="97" t="n">
        <f aca="false">HLOOKUP($B$6,'RetireUp Market Returns'!A:CT,(1+$B$7+C27),FALSE())</f>
        <v>0.0607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2642398.57102626</v>
      </c>
      <c r="K27" s="99" t="n">
        <f aca="false">J27*E27</f>
        <v>160393.593261294</v>
      </c>
      <c r="L27" s="99" t="n">
        <f aca="false">J27+K27</f>
        <v>2802792.16428755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0</v>
      </c>
      <c r="P27" s="99" t="n">
        <f aca="false">MAX(N27,O27)</f>
        <v>0</v>
      </c>
      <c r="Q27" s="99" t="n">
        <f aca="false">MAX(0,L27-P27)</f>
        <v>2802792.16428755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12000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72485.5799169595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72485.5799169595</v>
      </c>
      <c r="W27" s="99" t="n">
        <f aca="false">MIN(R27,T27)</f>
        <v>12000</v>
      </c>
      <c r="X27" s="99" t="n">
        <f aca="false">MIN(U27,R27-W27)</f>
        <v>0</v>
      </c>
      <c r="Y27" s="99" t="n">
        <f aca="false">MIN(S27,V27)</f>
        <v>72485.5799169595</v>
      </c>
      <c r="Z27" s="99" t="n">
        <f aca="false">W27+X27+Y27</f>
        <v>84485.5799169596</v>
      </c>
      <c r="AA27" s="100" t="n">
        <f aca="false">Q27+W27+X27+Y27</f>
        <v>2887277.74420451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74</v>
      </c>
      <c r="E28" s="97" t="n">
        <f aca="false">HLOOKUP($B$6,'RetireUp Market Returns'!A:CT,(1+$B$7+C28),FALSE())</f>
        <v>0.052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2887277.74420451</v>
      </c>
      <c r="K28" s="99" t="n">
        <f aca="false">J28*E28</f>
        <v>150138.442698635</v>
      </c>
      <c r="L28" s="99" t="n">
        <f aca="false">J28+K28</f>
        <v>3037416.18690314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0</v>
      </c>
      <c r="P28" s="99" t="n">
        <f aca="false">MAX(N28,O28)</f>
        <v>0</v>
      </c>
      <c r="Q28" s="99" t="n">
        <f aca="false">MAX(0,L28-P28)</f>
        <v>3037416.18690314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12000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74597.7194148835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74597.7194148835</v>
      </c>
      <c r="W28" s="99" t="n">
        <f aca="false">MIN(R28,T28)</f>
        <v>12000</v>
      </c>
      <c r="X28" s="99" t="n">
        <f aca="false">MIN(U28,R28-W28)</f>
        <v>0</v>
      </c>
      <c r="Y28" s="99" t="n">
        <f aca="false">MIN(S28,V28)</f>
        <v>74597.7194148835</v>
      </c>
      <c r="Z28" s="99" t="n">
        <f aca="false">W28+X28+Y28</f>
        <v>86597.7194148835</v>
      </c>
      <c r="AA28" s="100" t="n">
        <f aca="false">Q28+W28+X28+Y28</f>
        <v>3124013.90631803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75</v>
      </c>
      <c r="E29" s="97" t="n">
        <f aca="false">HLOOKUP($B$6,'RetireUp Market Returns'!A:CT,(1+$B$7+C29),FALSE())</f>
        <v>0.1408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3124013.90631803</v>
      </c>
      <c r="K29" s="99" t="n">
        <f aca="false">J29*E29</f>
        <v>439861.158009578</v>
      </c>
      <c r="L29" s="99" t="n">
        <f aca="false">J29+K29</f>
        <v>3563875.06432761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24.6</v>
      </c>
      <c r="N29" s="99" t="n">
        <f aca="false">IF($M29="-",0,J29/$M29)</f>
        <v>126992.43521618</v>
      </c>
      <c r="O29" s="99" t="n">
        <f aca="false">IF(D29&gt;$B$4,0,IF(D29&lt;$B$3,0,$B$8*(1+$B$10)^(C29-1)))</f>
        <v>0</v>
      </c>
      <c r="P29" s="99" t="n">
        <f aca="false">MAX(N29,O29)</f>
        <v>126992.43521618</v>
      </c>
      <c r="Q29" s="99" t="n">
        <f aca="false">MAX(0,L29-P29)</f>
        <v>3436882.62911143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12000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76762.6624002556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76762.6624002556</v>
      </c>
      <c r="W29" s="99" t="n">
        <f aca="false">MIN(R29,T29)</f>
        <v>12000</v>
      </c>
      <c r="X29" s="99" t="n">
        <f aca="false">MIN(U29,R29-W29)</f>
        <v>0</v>
      </c>
      <c r="Y29" s="99" t="n">
        <f aca="false">MIN(S29,V29)</f>
        <v>76762.6624002556</v>
      </c>
      <c r="Z29" s="99" t="n">
        <f aca="false">W29+X29+Y29</f>
        <v>88762.6624002556</v>
      </c>
      <c r="AA29" s="100" t="n">
        <f aca="false">Q29+W29+X29+Y29</f>
        <v>3525645.29151168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76</v>
      </c>
      <c r="E30" s="97" t="n">
        <f aca="false">HLOOKUP($B$6,'RetireUp Market Returns'!A:CT,(1+$B$7+C30),FALSE())</f>
        <v>0.0268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3525645.29151168</v>
      </c>
      <c r="K30" s="99" t="n">
        <f aca="false">J30*E30</f>
        <v>94487.2938125131</v>
      </c>
      <c r="L30" s="99" t="n">
        <f aca="false">J30+K30</f>
        <v>3620132.58532419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23.7</v>
      </c>
      <c r="N30" s="99" t="n">
        <f aca="false">IF($M30="-",0,J30/$M30)</f>
        <v>148761.404705134</v>
      </c>
      <c r="O30" s="99" t="n">
        <f aca="false">IF(D30&gt;$B$4,0,IF(D30&lt;$B$3,0,$B$8*(1+$B$10)^(C30-1)))</f>
        <v>137851.104485245</v>
      </c>
      <c r="P30" s="99" t="n">
        <f aca="false">MAX(N30,O30)</f>
        <v>148761.404705134</v>
      </c>
      <c r="Q30" s="99" t="n">
        <f aca="false">MAX(0,L30-P30)</f>
        <v>3471371.18061906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3471371.18061906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77</v>
      </c>
      <c r="E31" s="97" t="n">
        <f aca="false">HLOOKUP($B$6,'RetireUp Market Returns'!A:CT,(1+$B$7+C31),FALSE())</f>
        <v>0.0758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3471371.18061906</v>
      </c>
      <c r="K31" s="99" t="n">
        <f aca="false">J31*E31</f>
        <v>263129.935490925</v>
      </c>
      <c r="L31" s="99" t="n">
        <f aca="false">J31+K31</f>
        <v>3734501.11610998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22.9</v>
      </c>
      <c r="N31" s="99" t="n">
        <f aca="false">IF($M31="-",0,J31/$M31)</f>
        <v>151588.261162404</v>
      </c>
      <c r="O31" s="99" t="n">
        <f aca="false">IF(D31&gt;$B$4,0,IF(D31&lt;$B$3,0,$B$8*(1+$B$10)^(C31-1)))</f>
        <v>141297.382097377</v>
      </c>
      <c r="P31" s="99" t="n">
        <f aca="false">MAX(N31,O31)</f>
        <v>151588.261162404</v>
      </c>
      <c r="Q31" s="99" t="n">
        <f aca="false">MAX(0,L31-P31)</f>
        <v>3582912.85494758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3582912.85494758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78</v>
      </c>
      <c r="E32" s="97" t="n">
        <f aca="false">HLOOKUP($B$6,'RetireUp Market Returns'!A:CT,(1+$B$7+C32),FALSE())</f>
        <v>0.158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3582912.85494758</v>
      </c>
      <c r="K32" s="99" t="n">
        <f aca="false">J32*E32</f>
        <v>566100.231081718</v>
      </c>
      <c r="L32" s="99" t="n">
        <f aca="false">J32+K32</f>
        <v>4149013.0860293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22</v>
      </c>
      <c r="N32" s="99" t="n">
        <f aca="false">IF($M32="-",0,J32/$M32)</f>
        <v>162859.67522489</v>
      </c>
      <c r="O32" s="99" t="n">
        <f aca="false">IF(D32&gt;$B$4,0,IF(D32&lt;$B$3,0,$B$8*(1+$B$10)^(C32-1)))</f>
        <v>144829.816649811</v>
      </c>
      <c r="P32" s="99" t="n">
        <f aca="false">MAX(N32,O32)</f>
        <v>162859.67522489</v>
      </c>
      <c r="Q32" s="99" t="n">
        <f aca="false">MAX(0,L32-P32)</f>
        <v>3986153.41080441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3986153.41080441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79</v>
      </c>
      <c r="E33" s="97" t="n">
        <f aca="false">HLOOKUP($B$6,'RetireUp Market Returns'!A:CT,(1+$B$7+C33),FALSE())</f>
        <v>0.1038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3986153.41080441</v>
      </c>
      <c r="K33" s="99" t="n">
        <f aca="false">J33*E33</f>
        <v>413762.724041498</v>
      </c>
      <c r="L33" s="99" t="n">
        <f aca="false">J33+K33</f>
        <v>4399916.13484591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21.1</v>
      </c>
      <c r="N33" s="99" t="n">
        <f aca="false">IF($M33="-",0,J33/$M33)</f>
        <v>188917.223260872</v>
      </c>
      <c r="O33" s="99" t="n">
        <f aca="false">IF(D33&gt;$B$4,0,IF(D33&lt;$B$3,0,$B$8*(1+$B$10)^(C33-1)))</f>
        <v>148450.562066056</v>
      </c>
      <c r="P33" s="99" t="n">
        <f aca="false">MAX(N33,O33)</f>
        <v>188917.223260872</v>
      </c>
      <c r="Q33" s="99" t="n">
        <f aca="false">MAX(0,L33-P33)</f>
        <v>4210998.91158503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4210998.91158503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80</v>
      </c>
      <c r="E34" s="97" t="n">
        <f aca="false">HLOOKUP($B$6,'RetireUp Market Returns'!A:CT,(1+$B$7+C34),FALSE())</f>
        <v>0.1657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4210998.91158503</v>
      </c>
      <c r="K34" s="99" t="n">
        <f aca="false">J34*E34</f>
        <v>697762.51964964</v>
      </c>
      <c r="L34" s="99" t="n">
        <f aca="false">J34+K34</f>
        <v>4908761.43123467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20.2</v>
      </c>
      <c r="N34" s="99" t="n">
        <f aca="false">IF($M34="-",0,J34/$M34)</f>
        <v>208465.292652724</v>
      </c>
      <c r="O34" s="99" t="n">
        <f aca="false">IF(D34&gt;$B$4,0,IF(D34&lt;$B$3,0,$B$8*(1+$B$10)^(C34-1)))</f>
        <v>152161.826117708</v>
      </c>
      <c r="P34" s="99" t="n">
        <f aca="false">MAX(N34,O34)</f>
        <v>208465.292652724</v>
      </c>
      <c r="Q34" s="99" t="n">
        <f aca="false">MAX(0,L34-P34)</f>
        <v>4700296.13858195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4700296.13858195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81</v>
      </c>
      <c r="E35" s="97" t="n">
        <f aca="false">HLOOKUP($B$6,'RetireUp Market Returns'!A:CT,(1+$B$7+C35),FALSE())</f>
        <v>0.1143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4700296.13858195</v>
      </c>
      <c r="K35" s="99" t="n">
        <f aca="false">J35*E35</f>
        <v>537243.848639917</v>
      </c>
      <c r="L35" s="99" t="n">
        <f aca="false">J35+K35</f>
        <v>5237539.98722187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19.4</v>
      </c>
      <c r="N35" s="99" t="n">
        <f aca="false">IF($M35="-",0,J35/$M35)</f>
        <v>242283.306112472</v>
      </c>
      <c r="O35" s="99" t="n">
        <f aca="false">IF(D35&gt;$B$4,0,IF(D35&lt;$B$3,0,$B$8*(1+$B$10)^(C35-1)))</f>
        <v>155965.87177065</v>
      </c>
      <c r="P35" s="99" t="n">
        <f aca="false">MAX(N35,O35)</f>
        <v>242283.306112472</v>
      </c>
      <c r="Q35" s="99" t="n">
        <f aca="false">MAX(0,L35-P35)</f>
        <v>4995256.68110939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4995256.68110939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82</v>
      </c>
      <c r="E36" s="97" t="n">
        <f aca="false">HLOOKUP($B$6,'RetireUp Market Returns'!A:CT,(1+$B$7+C36),FALSE())</f>
        <v>0.1412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4995256.68110939</v>
      </c>
      <c r="K36" s="99" t="n">
        <f aca="false">J36*E36</f>
        <v>705330.243372646</v>
      </c>
      <c r="L36" s="99" t="n">
        <f aca="false">J36+K36</f>
        <v>5700586.92448204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18.5</v>
      </c>
      <c r="N36" s="99" t="n">
        <f aca="false">IF($M36="-",0,J36/$M36)</f>
        <v>270013.874654562</v>
      </c>
      <c r="O36" s="99" t="n">
        <f aca="false">IF(D36&gt;$B$4,0,IF(D36&lt;$B$3,0,$B$8*(1+$B$10)^(C36-1)))</f>
        <v>159865.018564917</v>
      </c>
      <c r="P36" s="99" t="n">
        <f aca="false">MAX(N36,O36)</f>
        <v>270013.874654562</v>
      </c>
      <c r="Q36" s="99" t="n">
        <f aca="false">MAX(0,L36-P36)</f>
        <v>5430573.04982748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5430573.04982748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83</v>
      </c>
      <c r="E37" s="97" t="n">
        <f aca="false">HLOOKUP($B$6,'RetireUp Market Returns'!A:CT,(1+$B$7+C37),FALSE())</f>
        <v>-0.0174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5430573.04982748</v>
      </c>
      <c r="K37" s="99" t="n">
        <f aca="false">J37*E37</f>
        <v>-94491.9710669981</v>
      </c>
      <c r="L37" s="99" t="n">
        <f aca="false">J37+K37</f>
        <v>5336081.07876048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17.7</v>
      </c>
      <c r="N37" s="99" t="n">
        <f aca="false">IF($M37="-",0,J37/$M37)</f>
        <v>306812.036713417</v>
      </c>
      <c r="O37" s="99" t="n">
        <f aca="false">IF(D37&gt;$B$4,0,IF(D37&lt;$B$3,0,$B$8*(1+$B$10)^(C37-1)))</f>
        <v>163861.644029039</v>
      </c>
      <c r="P37" s="99" t="n">
        <f aca="false">MAX(N37,O37)</f>
        <v>306812.036713417</v>
      </c>
      <c r="Q37" s="99" t="n">
        <f aca="false">MAX(0,L37-P37)</f>
        <v>5029269.04204706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5029269.04204706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84</v>
      </c>
      <c r="E38" s="97" t="n">
        <f aca="false">HLOOKUP($B$6,'RetireUp Market Returns'!A:CT,(1+$B$7+C38),FALSE())</f>
        <v>0.2419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5029269.04204706</v>
      </c>
      <c r="K38" s="99" t="n">
        <f aca="false">J38*E38</f>
        <v>1216580.18127118</v>
      </c>
      <c r="L38" s="99" t="n">
        <f aca="false">J38+K38</f>
        <v>6245849.22331825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16.8</v>
      </c>
      <c r="N38" s="99" t="n">
        <f aca="false">IF($M38="-",0,J38/$M38)</f>
        <v>299361.252502801</v>
      </c>
      <c r="O38" s="99" t="n">
        <f aca="false">IF(D38&gt;$B$4,0,IF(D38&lt;$B$3,0,$B$8*(1+$B$10)^(C38-1)))</f>
        <v>167958.185129765</v>
      </c>
      <c r="P38" s="99" t="n">
        <f aca="false">MAX(N38,O38)</f>
        <v>299361.252502801</v>
      </c>
      <c r="Q38" s="99" t="n">
        <f aca="false">MAX(0,L38-P38)</f>
        <v>5946487.97081545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5946487.97081545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85</v>
      </c>
      <c r="E39" s="97" t="n">
        <f aca="false">HLOOKUP($B$6,'RetireUp Market Returns'!A:CT,(1+$B$7+C39),FALSE())</f>
        <v>0.0244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5946487.97081545</v>
      </c>
      <c r="K39" s="99" t="n">
        <f aca="false">J39*E39</f>
        <v>145094.306487897</v>
      </c>
      <c r="L39" s="99" t="n">
        <f aca="false">J39+K39</f>
        <v>6091582.27730334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16</v>
      </c>
      <c r="N39" s="99" t="n">
        <f aca="false">IF($M39="-",0,J39/$M39)</f>
        <v>371655.498175965</v>
      </c>
      <c r="O39" s="99" t="n">
        <f aca="false">IF(D39&gt;$B$4,0,IF(D39&lt;$B$3,0,$B$8*(1+$B$10)^(C39-1)))</f>
        <v>172157.13975801</v>
      </c>
      <c r="P39" s="99" t="n">
        <f aca="false">MAX(N39,O39)</f>
        <v>371655.498175965</v>
      </c>
      <c r="Q39" s="99" t="n">
        <f aca="false">MAX(0,L39-P39)</f>
        <v>5719926.77912738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5719926.77912738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86</v>
      </c>
      <c r="E40" s="97" t="n">
        <f aca="false">HLOOKUP($B$6,'RetireUp Market Returns'!A:CT,(1+$B$7+C40),FALSE())</f>
        <v>0.0758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5719926.77912738</v>
      </c>
      <c r="K40" s="99" t="n">
        <f aca="false">J40*E40</f>
        <v>433570.449857855</v>
      </c>
      <c r="L40" s="99" t="n">
        <f aca="false">J40+K40</f>
        <v>6153497.22898523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15.2</v>
      </c>
      <c r="N40" s="99" t="n">
        <f aca="false">IF($M40="-",0,J40/$M40)</f>
        <v>376310.972311012</v>
      </c>
      <c r="O40" s="99" t="n">
        <f aca="false">IF(D40&gt;$B$4,0,IF(D40&lt;$B$3,0,$B$8*(1+$B$10)^(C40-1)))</f>
        <v>176461.06825196</v>
      </c>
      <c r="P40" s="99" t="n">
        <f aca="false">MAX(N40,O40)</f>
        <v>376310.972311012</v>
      </c>
      <c r="Q40" s="99" t="n">
        <f aca="false">MAX(0,L40-P40)</f>
        <v>5777186.25667422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5777186.25667422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87</v>
      </c>
      <c r="E41" s="97" t="n">
        <f aca="false">HLOOKUP($B$6,'RetireUp Market Returns'!A:CT,(1+$B$7+C41),FALSE())</f>
        <v>0.0735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5777186.25667422</v>
      </c>
      <c r="K41" s="99" t="n">
        <f aca="false">J41*E41</f>
        <v>424623.189865555</v>
      </c>
      <c r="L41" s="99" t="n">
        <f aca="false">J41+K41</f>
        <v>6201809.44653978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14.4</v>
      </c>
      <c r="N41" s="99" t="n">
        <f aca="false">IF($M41="-",0,J41/$M41)</f>
        <v>401193.490046821</v>
      </c>
      <c r="O41" s="99" t="n">
        <f aca="false">IF(D41&gt;$B$4,0,IF(D41&lt;$B$3,0,$B$8*(1+$B$10)^(C41-1)))</f>
        <v>180872.594958259</v>
      </c>
      <c r="P41" s="99" t="n">
        <f aca="false">MAX(N41,O41)</f>
        <v>401193.490046821</v>
      </c>
      <c r="Q41" s="99" t="n">
        <f aca="false">MAX(0,L41-P41)</f>
        <v>5800615.95649296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5800615.95649296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88</v>
      </c>
      <c r="E42" s="97" t="n">
        <f aca="false">HLOOKUP($B$6,'RetireUp Market Returns'!A:CT,(1+$B$7+C42),FALSE())</f>
        <v>-0.0672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5800615.95649296</v>
      </c>
      <c r="K42" s="99" t="n">
        <f aca="false">J42*E42</f>
        <v>-389801.392276327</v>
      </c>
      <c r="L42" s="99" t="n">
        <f aca="false">J42+K42</f>
        <v>5410814.56421663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13.7</v>
      </c>
      <c r="N42" s="99" t="n">
        <f aca="false">IF($M42="-",0,J42/$M42)</f>
        <v>423402.62456153</v>
      </c>
      <c r="O42" s="99" t="n">
        <f aca="false">IF(D42&gt;$B$4,0,IF(D42&lt;$B$3,0,$B$8*(1+$B$10)^(C42-1)))</f>
        <v>185394.409832215</v>
      </c>
      <c r="P42" s="99" t="n">
        <f aca="false">MAX(N42,O42)</f>
        <v>423402.62456153</v>
      </c>
      <c r="Q42" s="99" t="n">
        <f aca="false">MAX(0,L42-P42)</f>
        <v>4987411.9396551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4987411.9396551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89</v>
      </c>
      <c r="E43" s="97" t="n">
        <f aca="false">HLOOKUP($B$6,'RetireUp Market Returns'!A:CT,(1+$B$7+C43),FALSE())</f>
        <v>-0.0535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4987411.9396551</v>
      </c>
      <c r="K43" s="99" t="n">
        <f aca="false">J43*E43</f>
        <v>-266826.538771548</v>
      </c>
      <c r="L43" s="99" t="n">
        <f aca="false">J43+K43</f>
        <v>4720585.40088355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12.9</v>
      </c>
      <c r="N43" s="99" t="n">
        <f aca="false">IF($M43="-",0,J43/$M43)</f>
        <v>386621.080593419</v>
      </c>
      <c r="O43" s="99" t="n">
        <f aca="false">IF(D43&gt;$B$4,0,IF(D43&lt;$B$3,0,$B$8*(1+$B$10)^(C43-1)))</f>
        <v>190029.270078021</v>
      </c>
      <c r="P43" s="99" t="n">
        <f aca="false">MAX(N43,O43)</f>
        <v>386621.080593419</v>
      </c>
      <c r="Q43" s="99" t="n">
        <f aca="false">MAX(0,L43-P43)</f>
        <v>4333964.32029013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4333964.32029013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90</v>
      </c>
      <c r="E44" s="97" t="n">
        <f aca="false">HLOOKUP($B$6,'RetireUp Market Returns'!A:CT,(1+$B$7+C44),FALSE())</f>
        <v>0.044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4333964.32029013</v>
      </c>
      <c r="K44" s="99" t="n">
        <f aca="false">J44*E44</f>
        <v>190694.430092766</v>
      </c>
      <c r="L44" s="99" t="n">
        <f aca="false">J44+K44</f>
        <v>4524658.7503829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12.2</v>
      </c>
      <c r="N44" s="99" t="n">
        <f aca="false">IF($M44="-",0,J44/$M44)</f>
        <v>355242.977072962</v>
      </c>
      <c r="O44" s="99" t="n">
        <f aca="false">IF(D44&gt;$B$4,0,IF(D44&lt;$B$3,0,$B$8*(1+$B$10)^(C44-1)))</f>
        <v>194780.001829971</v>
      </c>
      <c r="P44" s="99" t="n">
        <f aca="false">MAX(N44,O44)</f>
        <v>355242.977072962</v>
      </c>
      <c r="Q44" s="99" t="n">
        <f aca="false">MAX(0,L44-P44)</f>
        <v>4169415.77330994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4169415.77330994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0.1015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4169415.77330994</v>
      </c>
      <c r="K45" s="99" t="n">
        <f aca="false">J45*E45</f>
        <v>423195.700990959</v>
      </c>
      <c r="L45" s="99" t="n">
        <f aca="false">J45+K45</f>
        <v>4592611.4743009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4592611.4743009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4592611.4743009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-0.2074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4592611.4743009</v>
      </c>
      <c r="K46" s="99" t="n">
        <f aca="false">J46*E46</f>
        <v>-952507.619770006</v>
      </c>
      <c r="L46" s="99" t="n">
        <f aca="false">J46+K46</f>
        <v>3640103.85453089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3640103.85453089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3640103.85453089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0.0682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3640103.85453089</v>
      </c>
      <c r="K47" s="99" t="n">
        <f aca="false">J47*E47</f>
        <v>248255.082879007</v>
      </c>
      <c r="L47" s="99" t="n">
        <f aca="false">J47+K47</f>
        <v>3888358.9374099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3888358.9374099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3888358.9374099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0.011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3888358.9374099</v>
      </c>
      <c r="K48" s="99" t="n">
        <f aca="false">J48*E48</f>
        <v>42771.9483115089</v>
      </c>
      <c r="L48" s="99" t="n">
        <f aca="false">J48+K48</f>
        <v>3931130.88572141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3931130.88572141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3931130.88572141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0.2434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3931130.88572141</v>
      </c>
      <c r="K49" s="99" t="n">
        <f aca="false">J49*E49</f>
        <v>956837.25758459</v>
      </c>
      <c r="L49" s="99" t="n">
        <f aca="false">J49+K49</f>
        <v>4887968.143306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4887968.143306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4887968.143306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0.1419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4887968.143306</v>
      </c>
      <c r="K50" s="99" t="n">
        <f aca="false">J50*E50</f>
        <v>693602.679535121</v>
      </c>
      <c r="L50" s="99" t="n">
        <f aca="false">J50+K50</f>
        <v>5581570.82284112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5581570.82284112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5581570.82284112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0.1661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5581570.82284112</v>
      </c>
      <c r="K51" s="99" t="n">
        <f aca="false">J51*E51</f>
        <v>927098.91367391</v>
      </c>
      <c r="L51" s="99" t="n">
        <f aca="false">J51+K51</f>
        <v>6508669.73651503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6508669.73651503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6508669.73651503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0.0725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6508669.73651503</v>
      </c>
      <c r="K52" s="99" t="n">
        <f aca="false">J52*E52</f>
        <v>471878.555897339</v>
      </c>
      <c r="L52" s="99" t="n">
        <f aca="false">J52+K52</f>
        <v>6980548.29241237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6980548.29241237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6980548.29241237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0.0929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6980548.29241237</v>
      </c>
      <c r="K53" s="99" t="n">
        <f aca="false">J53*E53</f>
        <v>648492.936365109</v>
      </c>
      <c r="L53" s="99" t="n">
        <f aca="false">J53+K53</f>
        <v>7629041.22877748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7629041.22877748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7629041.22877748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-0.0434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7629041.22877748</v>
      </c>
      <c r="K54" s="99" t="n">
        <f aca="false">J54*E54</f>
        <v>-331100.389328942</v>
      </c>
      <c r="L54" s="99" t="n">
        <f aca="false">J54+K54</f>
        <v>7297940.83944853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7297940.83944853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7297940.83944853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18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63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401k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401k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30000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36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170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401k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63</v>
      </c>
      <c r="E17" s="97" t="n">
        <f aca="false">HLOOKUP($B$6,'RetireUp Market Returns'!A:CT,(1+$B$7+C17),FALSE())</f>
        <v>-0.0467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-93400</v>
      </c>
      <c r="L17" s="99" t="n">
        <f aca="false">J17+K17</f>
        <v>1906600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1906600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30000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43500</v>
      </c>
      <c r="W17" s="99" t="n">
        <f aca="false">MIN(R17,T17)</f>
        <v>22500</v>
      </c>
      <c r="X17" s="99" t="n">
        <f aca="false">MIN(U17,R17-W17)</f>
        <v>2500</v>
      </c>
      <c r="Y17" s="99" t="n">
        <f aca="false">MIN(S17,V17)</f>
        <v>30000</v>
      </c>
      <c r="Z17" s="99" t="n">
        <f aca="false">W17+X17+Y17</f>
        <v>55000</v>
      </c>
      <c r="AA17" s="100" t="n">
        <f aca="false">Q17+Z17</f>
        <v>1961600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64</v>
      </c>
      <c r="E18" s="97" t="n">
        <f aca="false">HLOOKUP($B$6,'RetireUp Market Returns'!A:CT,(1+$B$7+C18),FALSE())</f>
        <v>-0.0708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1961600</v>
      </c>
      <c r="K18" s="99" t="n">
        <f aca="false">J18*E18</f>
        <v>-138881.28</v>
      </c>
      <c r="L18" s="99" t="n">
        <f aca="false">J18+K18</f>
        <v>1822718.72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1822718.72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30000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44587.5</v>
      </c>
      <c r="W18" s="99" t="n">
        <f aca="false">MIN(R18,T18)</f>
        <v>23062.5</v>
      </c>
      <c r="X18" s="99" t="n">
        <f aca="false">MIN(U18,R18-W18)</f>
        <v>1937.5</v>
      </c>
      <c r="Y18" s="99" t="n">
        <f aca="false">MIN(S18,V18)</f>
        <v>30000</v>
      </c>
      <c r="Z18" s="99" t="n">
        <f aca="false">W18+X18+Y18</f>
        <v>55000</v>
      </c>
      <c r="AA18" s="100" t="n">
        <f aca="false">Q18+W18+X18+Y18</f>
        <v>1877718.72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65</v>
      </c>
      <c r="E19" s="97" t="n">
        <f aca="false">HLOOKUP($B$6,'RetireUp Market Returns'!A:CT,(1+$B$7+C19),FALSE())</f>
        <v>-0.1348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1877718.72</v>
      </c>
      <c r="K19" s="99" t="n">
        <f aca="false">J19*E19</f>
        <v>-253116.483456</v>
      </c>
      <c r="L19" s="99" t="n">
        <f aca="false">J19+K19</f>
        <v>1624602.236544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1624602.236544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30000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45702.1875</v>
      </c>
      <c r="W19" s="99" t="n">
        <f aca="false">MIN(R19,T19)</f>
        <v>23639.0625</v>
      </c>
      <c r="X19" s="99" t="n">
        <f aca="false">MIN(U19,R19-W19)</f>
        <v>1360.9375</v>
      </c>
      <c r="Y19" s="99" t="n">
        <f aca="false">MIN(S19,V19)</f>
        <v>30000</v>
      </c>
      <c r="Z19" s="99" t="n">
        <f aca="false">W19+X19+Y19</f>
        <v>55000</v>
      </c>
      <c r="AA19" s="100" t="n">
        <f aca="false">Q19+W19+X19+Y19</f>
        <v>1679602.236544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66</v>
      </c>
      <c r="E20" s="97" t="n">
        <f aca="false">HLOOKUP($B$6,'RetireUp Market Returns'!A:CT,(1+$B$7+C20),FALSE())</f>
        <v>0.0758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1679602.236544</v>
      </c>
      <c r="K20" s="99" t="n">
        <f aca="false">J20*E20</f>
        <v>127313.849530035</v>
      </c>
      <c r="L20" s="99" t="n">
        <f aca="false">J20+K20</f>
        <v>1806916.08607404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1806916.08607404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30000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46844.7421875</v>
      </c>
      <c r="W20" s="99" t="n">
        <f aca="false">MIN(R20,T20)</f>
        <v>24230.0390625</v>
      </c>
      <c r="X20" s="99" t="n">
        <f aca="false">MIN(U20,R20-W20)</f>
        <v>769.960937500007</v>
      </c>
      <c r="Y20" s="99" t="n">
        <f aca="false">MIN(S20,V20)</f>
        <v>30000</v>
      </c>
      <c r="Z20" s="99" t="n">
        <f aca="false">W20+X20+Y20</f>
        <v>55000</v>
      </c>
      <c r="AA20" s="100" t="n">
        <f aca="false">Q20+W20+X20+Y20</f>
        <v>1861916.08607404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67</v>
      </c>
      <c r="E21" s="97" t="n">
        <f aca="false">HLOOKUP($B$6,'RetireUp Market Returns'!A:CT,(1+$B$7+C21),FALSE())</f>
        <v>0.0433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1861916.08607404</v>
      </c>
      <c r="K21" s="99" t="n">
        <f aca="false">J21*E21</f>
        <v>80620.9665270057</v>
      </c>
      <c r="L21" s="99" t="n">
        <f aca="false">J21+K21</f>
        <v>1942537.05260104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1942537.05260104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25000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30000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48015.8607421875</v>
      </c>
      <c r="W21" s="99" t="n">
        <f aca="false">MIN(R21,T21)</f>
        <v>24835.7900390625</v>
      </c>
      <c r="X21" s="99" t="n">
        <f aca="false">MIN(U21,R21-W21)</f>
        <v>164.209960937511</v>
      </c>
      <c r="Y21" s="99" t="n">
        <f aca="false">MIN(S21,V21)</f>
        <v>30000</v>
      </c>
      <c r="Z21" s="99" t="n">
        <f aca="false">W21+X21+Y21</f>
        <v>55000</v>
      </c>
      <c r="AA21" s="100" t="n">
        <f aca="false">Q21+W21+X21+Y21</f>
        <v>1997537.05260104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68</v>
      </c>
      <c r="E22" s="97" t="n">
        <f aca="false">HLOOKUP($B$6,'RetireUp Market Returns'!A:CT,(1+$B$7+C22),FALSE())</f>
        <v>0.1008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1997537.05260104</v>
      </c>
      <c r="K22" s="99" t="n">
        <f aca="false">J22*E22</f>
        <v>201351.734902185</v>
      </c>
      <c r="L22" s="99" t="n">
        <f aca="false">J22+K22</f>
        <v>2198888.78750323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2198888.78750323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25000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30000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49672.9420507812</v>
      </c>
      <c r="W22" s="99" t="n">
        <f aca="false">MIN(R22,T22)</f>
        <v>25000</v>
      </c>
      <c r="X22" s="99" t="n">
        <f aca="false">MIN(U22,R22-W22)</f>
        <v>0</v>
      </c>
      <c r="Y22" s="99" t="n">
        <f aca="false">MIN(S22,V22)</f>
        <v>30000</v>
      </c>
      <c r="Z22" s="99" t="n">
        <f aca="false">W22+X22+Y22</f>
        <v>55000</v>
      </c>
      <c r="AA22" s="100" t="n">
        <f aca="false">Q22+W22+X22+Y22</f>
        <v>2253888.78750323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69</v>
      </c>
      <c r="E23" s="97" t="n">
        <f aca="false">HLOOKUP($B$6,'RetireUp Market Returns'!A:CT,(1+$B$7+C23),FALSE())</f>
        <v>0.0842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2253888.78750323</v>
      </c>
      <c r="K23" s="99" t="n">
        <f aca="false">J23*E23</f>
        <v>189777.435907772</v>
      </c>
      <c r="L23" s="99" t="n">
        <f aca="false">J23+K23</f>
        <v>2443666.223411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2443666.223411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25000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30000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51539.7656020507</v>
      </c>
      <c r="W23" s="99" t="n">
        <f aca="false">MIN(R23,T23)</f>
        <v>25000</v>
      </c>
      <c r="X23" s="99" t="n">
        <f aca="false">MIN(U23,R23-W23)</f>
        <v>0</v>
      </c>
      <c r="Y23" s="99" t="n">
        <f aca="false">MIN(S23,V23)</f>
        <v>30000</v>
      </c>
      <c r="Z23" s="99" t="n">
        <f aca="false">W23+X23+Y23</f>
        <v>55000</v>
      </c>
      <c r="AA23" s="100" t="n">
        <f aca="false">Q23+W23+X23+Y23</f>
        <v>2498666.223411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70</v>
      </c>
      <c r="E24" s="97" t="n">
        <f aca="false">HLOOKUP($B$6,'RetireUp Market Returns'!A:CT,(1+$B$7+C24),FALSE())</f>
        <v>0.0817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2498666.223411</v>
      </c>
      <c r="K24" s="99" t="n">
        <f aca="false">J24*E24</f>
        <v>204141.030452678</v>
      </c>
      <c r="L24" s="99" t="n">
        <f aca="false">J24+K24</f>
        <v>2702807.25386368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2702807.25386368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25000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30000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53453.259742102</v>
      </c>
      <c r="W24" s="99" t="n">
        <f aca="false">MIN(R24,T24)</f>
        <v>25000</v>
      </c>
      <c r="X24" s="99" t="n">
        <f aca="false">MIN(U24,R24-W24)</f>
        <v>0</v>
      </c>
      <c r="Y24" s="99" t="n">
        <f aca="false">MIN(S24,V24)</f>
        <v>30000</v>
      </c>
      <c r="Z24" s="99" t="n">
        <f aca="false">W24+X24+Y24</f>
        <v>55000</v>
      </c>
      <c r="AA24" s="100" t="n">
        <f aca="false">Q24+W24+X24+Y24</f>
        <v>2757807.25386368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71</v>
      </c>
      <c r="E25" s="97" t="n">
        <f aca="false">HLOOKUP($B$6,'RetireUp Market Returns'!A:CT,(1+$B$7+C25),FALSE())</f>
        <v>-0.2108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2757807.25386368</v>
      </c>
      <c r="K25" s="99" t="n">
        <f aca="false">J25*E25</f>
        <v>-581345.769114463</v>
      </c>
      <c r="L25" s="99" t="n">
        <f aca="false">J25+K25</f>
        <v>2176461.48474921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2176461.48474921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25000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30000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55414.5912356545</v>
      </c>
      <c r="W25" s="99" t="n">
        <f aca="false">MIN(R25,T25)</f>
        <v>25000</v>
      </c>
      <c r="X25" s="99" t="n">
        <f aca="false">MIN(U25,R25-W25)</f>
        <v>0</v>
      </c>
      <c r="Y25" s="99" t="n">
        <f aca="false">MIN(S25,V25)</f>
        <v>30000</v>
      </c>
      <c r="Z25" s="99" t="n">
        <f aca="false">W25+X25+Y25</f>
        <v>55000</v>
      </c>
      <c r="AA25" s="100" t="n">
        <f aca="false">Q25+W25+X25+Y25</f>
        <v>2231461.48474921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72</v>
      </c>
      <c r="E26" s="97" t="n">
        <f aca="false">HLOOKUP($B$6,'RetireUp Market Returns'!A:CT,(1+$B$7+C26),FALSE())</f>
        <v>0.11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2231461.48474921</v>
      </c>
      <c r="K26" s="99" t="n">
        <f aca="false">J26*E26</f>
        <v>245460.763322413</v>
      </c>
      <c r="L26" s="99" t="n">
        <f aca="false">J26+K26</f>
        <v>2476922.24807163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0</v>
      </c>
      <c r="P26" s="99" t="n">
        <f aca="false">MAX(N26,O26)</f>
        <v>0</v>
      </c>
      <c r="Q26" s="99" t="n">
        <f aca="false">MAX(0,L26-P26)</f>
        <v>2476922.24807163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25000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30000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57424.9560165459</v>
      </c>
      <c r="W26" s="99" t="n">
        <f aca="false">MIN(R26,T26)</f>
        <v>25000</v>
      </c>
      <c r="X26" s="99" t="n">
        <f aca="false">MIN(U26,R26-W26)</f>
        <v>0</v>
      </c>
      <c r="Y26" s="99" t="n">
        <f aca="false">MIN(S26,V26)</f>
        <v>30000</v>
      </c>
      <c r="Z26" s="99" t="n">
        <f aca="false">W26+X26+Y26</f>
        <v>55000</v>
      </c>
      <c r="AA26" s="100" t="n">
        <f aca="false">Q26+W26+X26+Y26</f>
        <v>2531922.24807163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73</v>
      </c>
      <c r="E27" s="97" t="n">
        <f aca="false">HLOOKUP($B$6,'RetireUp Market Returns'!A:CT,(1+$B$7+C27),FALSE())</f>
        <v>0.0433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2531922.24807163</v>
      </c>
      <c r="K27" s="99" t="n">
        <f aca="false">J27*E27</f>
        <v>109632.233341501</v>
      </c>
      <c r="L27" s="99" t="n">
        <f aca="false">J27+K27</f>
        <v>2641554.48141313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0</v>
      </c>
      <c r="P27" s="99" t="n">
        <f aca="false">MAX(N27,O27)</f>
        <v>0</v>
      </c>
      <c r="Q27" s="99" t="n">
        <f aca="false">MAX(0,L27-P27)</f>
        <v>2641554.48141313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25000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30000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59485.5799169595</v>
      </c>
      <c r="W27" s="99" t="n">
        <f aca="false">MIN(R27,T27)</f>
        <v>25000</v>
      </c>
      <c r="X27" s="99" t="n">
        <f aca="false">MIN(U27,R27-W27)</f>
        <v>0</v>
      </c>
      <c r="Y27" s="99" t="n">
        <f aca="false">MIN(S27,V27)</f>
        <v>30000</v>
      </c>
      <c r="Z27" s="99" t="n">
        <f aca="false">W27+X27+Y27</f>
        <v>55000</v>
      </c>
      <c r="AA27" s="100" t="n">
        <f aca="false">Q27+W27+X27+Y27</f>
        <v>2696554.48141313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74</v>
      </c>
      <c r="E28" s="97" t="n">
        <f aca="false">HLOOKUP($B$6,'RetireUp Market Returns'!A:CT,(1+$B$7+C28),FALSE())</f>
        <v>0.0372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2696554.48141313</v>
      </c>
      <c r="K28" s="99" t="n">
        <f aca="false">J28*E28</f>
        <v>100311.826708568</v>
      </c>
      <c r="L28" s="99" t="n">
        <f aca="false">J28+K28</f>
        <v>2796866.3081217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0</v>
      </c>
      <c r="P28" s="99" t="n">
        <f aca="false">MAX(N28,O28)</f>
        <v>0</v>
      </c>
      <c r="Q28" s="99" t="n">
        <f aca="false">MAX(0,L28-P28)</f>
        <v>2796866.3081217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25000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30000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61597.7194148835</v>
      </c>
      <c r="W28" s="99" t="n">
        <f aca="false">MIN(R28,T28)</f>
        <v>25000</v>
      </c>
      <c r="X28" s="99" t="n">
        <f aca="false">MIN(U28,R28-W28)</f>
        <v>0</v>
      </c>
      <c r="Y28" s="99" t="n">
        <f aca="false">MIN(S28,V28)</f>
        <v>30000</v>
      </c>
      <c r="Z28" s="99" t="n">
        <f aca="false">W28+X28+Y28</f>
        <v>55000</v>
      </c>
      <c r="AA28" s="100" t="n">
        <f aca="false">Q28+W28+X28+Y28</f>
        <v>2851866.3081217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75</v>
      </c>
      <c r="E29" s="97" t="n">
        <f aca="false">HLOOKUP($B$6,'RetireUp Market Returns'!A:CT,(1+$B$7+C29),FALSE())</f>
        <v>0.1006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2851866.3081217</v>
      </c>
      <c r="K29" s="99" t="n">
        <f aca="false">J29*E29</f>
        <v>286897.750597043</v>
      </c>
      <c r="L29" s="99" t="n">
        <f aca="false">J29+K29</f>
        <v>3138764.05871874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24.6</v>
      </c>
      <c r="N29" s="99" t="n">
        <f aca="false">IF($M29="-",0,J29/$M29)</f>
        <v>115929.524720394</v>
      </c>
      <c r="O29" s="99" t="n">
        <f aca="false">IF(D29&gt;$B$4,0,IF(D29&lt;$B$3,0,$B$8*(1+$B$10)^(C29-1)))</f>
        <v>0</v>
      </c>
      <c r="P29" s="99" t="n">
        <f aca="false">MAX(N29,O29)</f>
        <v>115929.524720394</v>
      </c>
      <c r="Q29" s="99" t="n">
        <f aca="false">MAX(0,L29-P29)</f>
        <v>3022834.53399834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25000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30000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63762.6624002556</v>
      </c>
      <c r="W29" s="99" t="n">
        <f aca="false">MIN(R29,T29)</f>
        <v>25000</v>
      </c>
      <c r="X29" s="99" t="n">
        <f aca="false">MIN(U29,R29-W29)</f>
        <v>0</v>
      </c>
      <c r="Y29" s="99" t="n">
        <f aca="false">MIN(S29,V29)</f>
        <v>30000</v>
      </c>
      <c r="Z29" s="99" t="n">
        <f aca="false">W29+X29+Y29</f>
        <v>55000</v>
      </c>
      <c r="AA29" s="100" t="n">
        <f aca="false">Q29+W29+X29+Y29</f>
        <v>3077834.53399834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76</v>
      </c>
      <c r="E30" s="97" t="n">
        <f aca="false">HLOOKUP($B$6,'RetireUp Market Returns'!A:CT,(1+$B$7+C30),FALSE())</f>
        <v>0.0192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3077834.53399834</v>
      </c>
      <c r="K30" s="99" t="n">
        <f aca="false">J30*E30</f>
        <v>59094.4230527682</v>
      </c>
      <c r="L30" s="99" t="n">
        <f aca="false">J30+K30</f>
        <v>3136928.95705111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23.7</v>
      </c>
      <c r="N30" s="99" t="n">
        <f aca="false">IF($M30="-",0,J30/$M30)</f>
        <v>129866.436033685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2999077.85256587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2999077.85256587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77</v>
      </c>
      <c r="E31" s="97" t="n">
        <f aca="false">HLOOKUP($B$6,'RetireUp Market Returns'!A:CT,(1+$B$7+C31),FALSE())</f>
        <v>0.0542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2999077.85256587</v>
      </c>
      <c r="K31" s="99" t="n">
        <f aca="false">J31*E31</f>
        <v>162550.01960907</v>
      </c>
      <c r="L31" s="99" t="n">
        <f aca="false">J31+K31</f>
        <v>3161627.87217494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22.9</v>
      </c>
      <c r="N31" s="99" t="n">
        <f aca="false">IF($M31="-",0,J31/$M31)</f>
        <v>130964.098365322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3020330.49007756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3020330.49007756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78</v>
      </c>
      <c r="E32" s="97" t="n">
        <f aca="false">HLOOKUP($B$6,'RetireUp Market Returns'!A:CT,(1+$B$7+C32),FALSE())</f>
        <v>0.1128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3020330.49007756</v>
      </c>
      <c r="K32" s="99" t="n">
        <f aca="false">J32*E32</f>
        <v>340693.279280749</v>
      </c>
      <c r="L32" s="99" t="n">
        <f aca="false">J32+K32</f>
        <v>3361023.76935831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22</v>
      </c>
      <c r="N32" s="99" t="n">
        <f aca="false">IF($M32="-",0,J32/$M32)</f>
        <v>137287.74954898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3216193.9527085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3216193.9527085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79</v>
      </c>
      <c r="E33" s="97" t="n">
        <f aca="false">HLOOKUP($B$6,'RetireUp Market Returns'!A:CT,(1+$B$7+C33),FALSE())</f>
        <v>0.0742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3216193.9527085</v>
      </c>
      <c r="K33" s="99" t="n">
        <f aca="false">J33*E33</f>
        <v>238641.591290971</v>
      </c>
      <c r="L33" s="99" t="n">
        <f aca="false">J33+K33</f>
        <v>3454835.54399947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21.1</v>
      </c>
      <c r="N33" s="99" t="n">
        <f aca="false">IF($M33="-",0,J33/$M33)</f>
        <v>152426.253682867</v>
      </c>
      <c r="O33" s="99" t="n">
        <f aca="false">IF(D33&gt;$B$4,0,IF(D33&lt;$B$3,0,$B$8*(1+$B$10)^(C33-1)))</f>
        <v>148450.562066056</v>
      </c>
      <c r="P33" s="99" t="n">
        <f aca="false">MAX(N33,O33)</f>
        <v>152426.253682867</v>
      </c>
      <c r="Q33" s="99" t="n">
        <f aca="false">MAX(0,L33-P33)</f>
        <v>3302409.2903166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3302409.2903166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80</v>
      </c>
      <c r="E34" s="97" t="n">
        <f aca="false">HLOOKUP($B$6,'RetireUp Market Returns'!A:CT,(1+$B$7+C34),FALSE())</f>
        <v>0.1183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3302409.2903166</v>
      </c>
      <c r="K34" s="99" t="n">
        <f aca="false">J34*E34</f>
        <v>390675.019044454</v>
      </c>
      <c r="L34" s="99" t="n">
        <f aca="false">J34+K34</f>
        <v>3693084.30936106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20.2</v>
      </c>
      <c r="N34" s="99" t="n">
        <f aca="false">IF($M34="-",0,J34/$M34)</f>
        <v>163485.608431515</v>
      </c>
      <c r="O34" s="99" t="n">
        <f aca="false">IF(D34&gt;$B$4,0,IF(D34&lt;$B$3,0,$B$8*(1+$B$10)^(C34-1)))</f>
        <v>152161.826117708</v>
      </c>
      <c r="P34" s="99" t="n">
        <f aca="false">MAX(N34,O34)</f>
        <v>163485.608431515</v>
      </c>
      <c r="Q34" s="99" t="n">
        <f aca="false">MAX(0,L34-P34)</f>
        <v>3529598.70092954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3529598.70092954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81</v>
      </c>
      <c r="E35" s="97" t="n">
        <f aca="false">HLOOKUP($B$6,'RetireUp Market Returns'!A:CT,(1+$B$7+C35),FALSE())</f>
        <v>0.0817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3529598.70092954</v>
      </c>
      <c r="K35" s="99" t="n">
        <f aca="false">J35*E35</f>
        <v>288368.213865944</v>
      </c>
      <c r="L35" s="99" t="n">
        <f aca="false">J35+K35</f>
        <v>3817966.91479549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19.4</v>
      </c>
      <c r="N35" s="99" t="n">
        <f aca="false">IF($M35="-",0,J35/$M35)</f>
        <v>181938.077367502</v>
      </c>
      <c r="O35" s="99" t="n">
        <f aca="false">IF(D35&gt;$B$4,0,IF(D35&lt;$B$3,0,$B$8*(1+$B$10)^(C35-1)))</f>
        <v>155965.87177065</v>
      </c>
      <c r="P35" s="99" t="n">
        <f aca="false">MAX(N35,O35)</f>
        <v>181938.077367502</v>
      </c>
      <c r="Q35" s="99" t="n">
        <f aca="false">MAX(0,L35-P35)</f>
        <v>3636028.83742798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3636028.83742798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82</v>
      </c>
      <c r="E36" s="97" t="n">
        <f aca="false">HLOOKUP($B$6,'RetireUp Market Returns'!A:CT,(1+$B$7+C36),FALSE())</f>
        <v>0.1008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3636028.83742798</v>
      </c>
      <c r="K36" s="99" t="n">
        <f aca="false">J36*E36</f>
        <v>366511.706812741</v>
      </c>
      <c r="L36" s="99" t="n">
        <f aca="false">J36+K36</f>
        <v>4002540.54424072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18.5</v>
      </c>
      <c r="N36" s="99" t="n">
        <f aca="false">IF($M36="-",0,J36/$M36)</f>
        <v>196542.099320432</v>
      </c>
      <c r="O36" s="99" t="n">
        <f aca="false">IF(D36&gt;$B$4,0,IF(D36&lt;$B$3,0,$B$8*(1+$B$10)^(C36-1)))</f>
        <v>159865.018564917</v>
      </c>
      <c r="P36" s="99" t="n">
        <f aca="false">MAX(N36,O36)</f>
        <v>196542.099320432</v>
      </c>
      <c r="Q36" s="99" t="n">
        <f aca="false">MAX(0,L36-P36)</f>
        <v>3805998.44492029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3805998.44492029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83</v>
      </c>
      <c r="E37" s="97" t="n">
        <f aca="false">HLOOKUP($B$6,'RetireUp Market Returns'!A:CT,(1+$B$7+C37),FALSE())</f>
        <v>-0.0124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3805998.44492029</v>
      </c>
      <c r="K37" s="99" t="n">
        <f aca="false">J37*E37</f>
        <v>-47194.3807170116</v>
      </c>
      <c r="L37" s="99" t="n">
        <f aca="false">J37+K37</f>
        <v>3758804.06420328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17.7</v>
      </c>
      <c r="N37" s="99" t="n">
        <f aca="false">IF($M37="-",0,J37/$M37)</f>
        <v>215028.16072996</v>
      </c>
      <c r="O37" s="99" t="n">
        <f aca="false">IF(D37&gt;$B$4,0,IF(D37&lt;$B$3,0,$B$8*(1+$B$10)^(C37-1)))</f>
        <v>163861.644029039</v>
      </c>
      <c r="P37" s="99" t="n">
        <f aca="false">MAX(N37,O37)</f>
        <v>215028.16072996</v>
      </c>
      <c r="Q37" s="99" t="n">
        <f aca="false">MAX(0,L37-P37)</f>
        <v>3543775.90347332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3543775.90347332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84</v>
      </c>
      <c r="E38" s="97" t="n">
        <f aca="false">HLOOKUP($B$6,'RetireUp Market Returns'!A:CT,(1+$B$7+C38),FALSE())</f>
        <v>0.1727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3543775.90347332</v>
      </c>
      <c r="K38" s="99" t="n">
        <f aca="false">J38*E38</f>
        <v>612010.098529842</v>
      </c>
      <c r="L38" s="99" t="n">
        <f aca="false">J38+K38</f>
        <v>4155786.00200316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16.8</v>
      </c>
      <c r="N38" s="99" t="n">
        <f aca="false">IF($M38="-",0,J38/$M38)</f>
        <v>210939.041873412</v>
      </c>
      <c r="O38" s="99" t="n">
        <f aca="false">IF(D38&gt;$B$4,0,IF(D38&lt;$B$3,0,$B$8*(1+$B$10)^(C38-1)))</f>
        <v>167958.185129765</v>
      </c>
      <c r="P38" s="99" t="n">
        <f aca="false">MAX(N38,O38)</f>
        <v>210939.041873412</v>
      </c>
      <c r="Q38" s="99" t="n">
        <f aca="false">MAX(0,L38-P38)</f>
        <v>3944846.96012975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3944846.96012975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85</v>
      </c>
      <c r="E39" s="97" t="n">
        <f aca="false">HLOOKUP($B$6,'RetireUp Market Returns'!A:CT,(1+$B$7+C39),FALSE())</f>
        <v>0.0174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3944846.96012975</v>
      </c>
      <c r="K39" s="99" t="n">
        <f aca="false">J39*E39</f>
        <v>68640.3371062577</v>
      </c>
      <c r="L39" s="99" t="n">
        <f aca="false">J39+K39</f>
        <v>4013487.29723601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16</v>
      </c>
      <c r="N39" s="99" t="n">
        <f aca="false">IF($M39="-",0,J39/$M39)</f>
        <v>246552.935008109</v>
      </c>
      <c r="O39" s="99" t="n">
        <f aca="false">IF(D39&gt;$B$4,0,IF(D39&lt;$B$3,0,$B$8*(1+$B$10)^(C39-1)))</f>
        <v>172157.13975801</v>
      </c>
      <c r="P39" s="99" t="n">
        <f aca="false">MAX(N39,O39)</f>
        <v>246552.935008109</v>
      </c>
      <c r="Q39" s="99" t="n">
        <f aca="false">MAX(0,L39-P39)</f>
        <v>3766934.3622279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3766934.3622279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86</v>
      </c>
      <c r="E40" s="97" t="n">
        <f aca="false">HLOOKUP($B$6,'RetireUp Market Returns'!A:CT,(1+$B$7+C40),FALSE())</f>
        <v>0.0542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3766934.3622279</v>
      </c>
      <c r="K40" s="99" t="n">
        <f aca="false">J40*E40</f>
        <v>204167.842432752</v>
      </c>
      <c r="L40" s="99" t="n">
        <f aca="false">J40+K40</f>
        <v>3971102.20466065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15.2</v>
      </c>
      <c r="N40" s="99" t="n">
        <f aca="false">IF($M40="-",0,J40/$M40)</f>
        <v>247824.629093941</v>
      </c>
      <c r="O40" s="99" t="n">
        <f aca="false">IF(D40&gt;$B$4,0,IF(D40&lt;$B$3,0,$B$8*(1+$B$10)^(C40-1)))</f>
        <v>176461.06825196</v>
      </c>
      <c r="P40" s="99" t="n">
        <f aca="false">MAX(N40,O40)</f>
        <v>247824.629093941</v>
      </c>
      <c r="Q40" s="99" t="n">
        <f aca="false">MAX(0,L40-P40)</f>
        <v>3723277.57556671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3723277.57556671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87</v>
      </c>
      <c r="E41" s="97" t="n">
        <f aca="false">HLOOKUP($B$6,'RetireUp Market Returns'!A:CT,(1+$B$7+C41),FALSE())</f>
        <v>0.0525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3723277.57556671</v>
      </c>
      <c r="K41" s="99" t="n">
        <f aca="false">J41*E41</f>
        <v>195472.072717252</v>
      </c>
      <c r="L41" s="99" t="n">
        <f aca="false">J41+K41</f>
        <v>3918749.64828396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14.4</v>
      </c>
      <c r="N41" s="99" t="n">
        <f aca="false">IF($M41="-",0,J41/$M41)</f>
        <v>258560.942747688</v>
      </c>
      <c r="O41" s="99" t="n">
        <f aca="false">IF(D41&gt;$B$4,0,IF(D41&lt;$B$3,0,$B$8*(1+$B$10)^(C41-1)))</f>
        <v>180872.594958259</v>
      </c>
      <c r="P41" s="99" t="n">
        <f aca="false">MAX(N41,O41)</f>
        <v>258560.942747688</v>
      </c>
      <c r="Q41" s="99" t="n">
        <f aca="false">MAX(0,L41-P41)</f>
        <v>3660188.70553627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3660188.70553627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88</v>
      </c>
      <c r="E42" s="97" t="n">
        <f aca="false">HLOOKUP($B$6,'RetireUp Market Returns'!A:CT,(1+$B$7+C42),FALSE())</f>
        <v>-0.048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3660188.70553627</v>
      </c>
      <c r="K42" s="99" t="n">
        <f aca="false">J42*E42</f>
        <v>-175689.057865741</v>
      </c>
      <c r="L42" s="99" t="n">
        <f aca="false">J42+K42</f>
        <v>3484499.64767053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13.7</v>
      </c>
      <c r="N42" s="99" t="n">
        <f aca="false">IF($M42="-",0,J42/$M42)</f>
        <v>267167.058798268</v>
      </c>
      <c r="O42" s="99" t="n">
        <f aca="false">IF(D42&gt;$B$4,0,IF(D42&lt;$B$3,0,$B$8*(1+$B$10)^(C42-1)))</f>
        <v>185394.409832215</v>
      </c>
      <c r="P42" s="99" t="n">
        <f aca="false">MAX(N42,O42)</f>
        <v>267167.058798268</v>
      </c>
      <c r="Q42" s="99" t="n">
        <f aca="false">MAX(0,L42-P42)</f>
        <v>3217332.58887226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3217332.58887226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89</v>
      </c>
      <c r="E43" s="97" t="n">
        <f aca="false">HLOOKUP($B$6,'RetireUp Market Returns'!A:CT,(1+$B$7+C43),FALSE())</f>
        <v>-0.0382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3217332.58887226</v>
      </c>
      <c r="K43" s="99" t="n">
        <f aca="false">J43*E43</f>
        <v>-122902.104894921</v>
      </c>
      <c r="L43" s="99" t="n">
        <f aca="false">J43+K43</f>
        <v>3094430.48397734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12.9</v>
      </c>
      <c r="N43" s="99" t="n">
        <f aca="false">IF($M43="-",0,J43/$M43)</f>
        <v>249405.627044362</v>
      </c>
      <c r="O43" s="99" t="n">
        <f aca="false">IF(D43&gt;$B$4,0,IF(D43&lt;$B$3,0,$B$8*(1+$B$10)^(C43-1)))</f>
        <v>190029.270078021</v>
      </c>
      <c r="P43" s="99" t="n">
        <f aca="false">MAX(N43,O43)</f>
        <v>249405.627044362</v>
      </c>
      <c r="Q43" s="99" t="n">
        <f aca="false">MAX(0,L43-P43)</f>
        <v>2845024.85693298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2845024.85693298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90</v>
      </c>
      <c r="E44" s="97" t="n">
        <f aca="false">HLOOKUP($B$6,'RetireUp Market Returns'!A:CT,(1+$B$7+C44),FALSE())</f>
        <v>0.0314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2845024.85693298</v>
      </c>
      <c r="K44" s="99" t="n">
        <f aca="false">J44*E44</f>
        <v>89333.7805076957</v>
      </c>
      <c r="L44" s="99" t="n">
        <f aca="false">J44+K44</f>
        <v>2934358.63744068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12.2</v>
      </c>
      <c r="N44" s="99" t="n">
        <f aca="false">IF($M44="-",0,J44/$M44)</f>
        <v>233198.758764999</v>
      </c>
      <c r="O44" s="99" t="n">
        <f aca="false">IF(D44&gt;$B$4,0,IF(D44&lt;$B$3,0,$B$8*(1+$B$10)^(C44-1)))</f>
        <v>194780.001829971</v>
      </c>
      <c r="P44" s="99" t="n">
        <f aca="false">MAX(N44,O44)</f>
        <v>233198.758764999</v>
      </c>
      <c r="Q44" s="99" t="n">
        <f aca="false">MAX(0,L44-P44)</f>
        <v>2701159.87867568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2701159.87867568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0.0725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2701159.87867568</v>
      </c>
      <c r="K45" s="99" t="n">
        <f aca="false">J45*E45</f>
        <v>195834.091203987</v>
      </c>
      <c r="L45" s="99" t="n">
        <f aca="false">J45+K45</f>
        <v>2896993.96987967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2896993.96987967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2896993.96987967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-0.1482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2896993.96987967</v>
      </c>
      <c r="K46" s="99" t="n">
        <f aca="false">J46*E46</f>
        <v>-429334.506336167</v>
      </c>
      <c r="L46" s="99" t="n">
        <f aca="false">J46+K46</f>
        <v>2467659.4635435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2467659.4635435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2467659.4635435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0.0488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2467659.4635435</v>
      </c>
      <c r="K47" s="99" t="n">
        <f aca="false">J47*E47</f>
        <v>120421.781820923</v>
      </c>
      <c r="L47" s="99" t="n">
        <f aca="false">J47+K47</f>
        <v>2588081.24536442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2588081.24536442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2588081.24536442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0.0078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2588081.24536442</v>
      </c>
      <c r="K48" s="99" t="n">
        <f aca="false">J48*E48</f>
        <v>20187.0337138425</v>
      </c>
      <c r="L48" s="99" t="n">
        <f aca="false">J48+K48</f>
        <v>2608268.27907827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2608268.27907827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2608268.27907827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0.1738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2608268.27907827</v>
      </c>
      <c r="K49" s="99" t="n">
        <f aca="false">J49*E49</f>
        <v>453317.026903803</v>
      </c>
      <c r="L49" s="99" t="n">
        <f aca="false">J49+K49</f>
        <v>3061585.30598207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3061585.30598207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3061585.30598207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0.1013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3061585.30598207</v>
      </c>
      <c r="K50" s="99" t="n">
        <f aca="false">J50*E50</f>
        <v>310138.591495983</v>
      </c>
      <c r="L50" s="99" t="n">
        <f aca="false">J50+K50</f>
        <v>3371723.89747805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3371723.89747805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3371723.89747805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0.1187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3371723.89747805</v>
      </c>
      <c r="K51" s="99" t="n">
        <f aca="false">J51*E51</f>
        <v>400223.626630645</v>
      </c>
      <c r="L51" s="99" t="n">
        <f aca="false">J51+K51</f>
        <v>3771947.5241087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3771947.5241087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3771947.5241087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0.0517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3771947.5241087</v>
      </c>
      <c r="K52" s="99" t="n">
        <f aca="false">J52*E52</f>
        <v>195009.68699642</v>
      </c>
      <c r="L52" s="99" t="n">
        <f aca="false">J52+K52</f>
        <v>3966957.21110512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3966957.21110512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3966957.21110512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0.0663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3966957.21110512</v>
      </c>
      <c r="K53" s="99" t="n">
        <f aca="false">J53*E53</f>
        <v>263009.263096269</v>
      </c>
      <c r="L53" s="99" t="n">
        <f aca="false">J53+K53</f>
        <v>4229966.47420138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4229966.47420138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4229966.47420138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-0.031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4229966.47420138</v>
      </c>
      <c r="K54" s="99" t="n">
        <f aca="false">J54*E54</f>
        <v>-131128.960700243</v>
      </c>
      <c r="L54" s="99" t="n">
        <f aca="false">J54+K54</f>
        <v>4098837.51350114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4098837.51350114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4098837.51350114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19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48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Maximum Allowable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457b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457b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6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6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Maximum Allowable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0.04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22500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77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457b with Maximum Allowable / Maximum Allowable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48</v>
      </c>
      <c r="E17" s="97" t="n">
        <f aca="false">HLOOKUP($B$6,'RetireUp Market Returns'!A:CT,(1+$B$7+C17),FALSE())</f>
        <v>0.0729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145800</v>
      </c>
      <c r="L17" s="99" t="n">
        <f aca="false">J17+K17</f>
        <v>2145800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2145800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22500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0</v>
      </c>
      <c r="V17" s="99" t="n">
        <f aca="false">IF($N$3=1,0,$N$6*(1+$B$10)^(C17-1)-W17)</f>
        <v>0</v>
      </c>
      <c r="W17" s="99" t="n">
        <f aca="false">MIN(R17,T17)</f>
        <v>22500</v>
      </c>
      <c r="X17" s="99" t="n">
        <f aca="false">MIN(U17,R17-W17)</f>
        <v>0</v>
      </c>
      <c r="Y17" s="99" t="n">
        <f aca="false">MIN(S17,V17)</f>
        <v>0</v>
      </c>
      <c r="Z17" s="99" t="n">
        <f aca="false">W17+X17+Y17</f>
        <v>22500</v>
      </c>
      <c r="AA17" s="100" t="n">
        <f aca="false">Q17+Z17</f>
        <v>2168300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49</v>
      </c>
      <c r="E18" s="97" t="n">
        <f aca="false">HLOOKUP($B$6,'RetireUp Market Returns'!A:CT,(1+$B$7+C18),FALSE())</f>
        <v>0.0383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2168300</v>
      </c>
      <c r="K18" s="99" t="n">
        <f aca="false">J18*E18</f>
        <v>83045.89</v>
      </c>
      <c r="L18" s="99" t="n">
        <f aca="false">J18+K18</f>
        <v>2251345.89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2251345.89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23062.5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0</v>
      </c>
      <c r="V18" s="99" t="n">
        <f aca="false">IF($N$3=1,0,$N$6*(1+$B$10)^(C18-1)-W18)</f>
        <v>0</v>
      </c>
      <c r="W18" s="99" t="n">
        <f aca="false">MIN(R18,T18)</f>
        <v>23062.5</v>
      </c>
      <c r="X18" s="99" t="n">
        <f aca="false">MIN(U18,R18-W18)</f>
        <v>0</v>
      </c>
      <c r="Y18" s="99" t="n">
        <f aca="false">MIN(S18,V18)</f>
        <v>0</v>
      </c>
      <c r="Z18" s="99" t="n">
        <f aca="false">W18+X18+Y18</f>
        <v>23062.5</v>
      </c>
      <c r="AA18" s="100" t="n">
        <f aca="false">Q18+W18+X18+Y18</f>
        <v>2274408.39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50</v>
      </c>
      <c r="E19" s="97" t="n">
        <f aca="false">HLOOKUP($B$6,'RetireUp Market Returns'!A:CT,(1+$B$7+C19),FALSE())</f>
        <v>0.0171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2274408.39</v>
      </c>
      <c r="K19" s="99" t="n">
        <f aca="false">J19*E19</f>
        <v>38892.383469</v>
      </c>
      <c r="L19" s="99" t="n">
        <f aca="false">J19+K19</f>
        <v>2313300.773469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2313300.773469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31518.75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0</v>
      </c>
      <c r="W19" s="99" t="n">
        <f aca="false">MIN(R19,T19)</f>
        <v>23639.0625</v>
      </c>
      <c r="X19" s="99" t="n">
        <f aca="false">MIN(U19,R19-W19)</f>
        <v>7879.6875</v>
      </c>
      <c r="Y19" s="99" t="n">
        <f aca="false">MIN(S19,V19)</f>
        <v>0</v>
      </c>
      <c r="Z19" s="99" t="n">
        <f aca="false">W19+X19+Y19</f>
        <v>31518.75</v>
      </c>
      <c r="AA19" s="100" t="n">
        <f aca="false">Q19+W19+X19+Y19</f>
        <v>2344819.523469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51</v>
      </c>
      <c r="E20" s="97" t="n">
        <f aca="false">HLOOKUP($B$6,'RetireUp Market Returns'!A:CT,(1+$B$7+C20),FALSE())</f>
        <v>0.088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2344819.523469</v>
      </c>
      <c r="K20" s="99" t="n">
        <f aca="false">J20*E20</f>
        <v>206344.118065272</v>
      </c>
      <c r="L20" s="99" t="n">
        <f aca="false">J20+K20</f>
        <v>2551163.64153427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2551163.64153427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32306.71875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0</v>
      </c>
      <c r="W20" s="99" t="n">
        <f aca="false">MIN(R20,T20)</f>
        <v>24230.0390625</v>
      </c>
      <c r="X20" s="99" t="n">
        <f aca="false">MIN(U20,R20-W20)</f>
        <v>8076.6796875</v>
      </c>
      <c r="Y20" s="99" t="n">
        <f aca="false">MIN(S20,V20)</f>
        <v>0</v>
      </c>
      <c r="Z20" s="99" t="n">
        <f aca="false">W20+X20+Y20</f>
        <v>32306.71875</v>
      </c>
      <c r="AA20" s="100" t="n">
        <f aca="false">Q20+W20+X20+Y20</f>
        <v>2583470.36028427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52</v>
      </c>
      <c r="E21" s="97" t="n">
        <f aca="false">HLOOKUP($B$6,'RetireUp Market Returns'!A:CT,(1+$B$7+C21),FALSE())</f>
        <v>0.0641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2583470.36028427</v>
      </c>
      <c r="K21" s="99" t="n">
        <f aca="false">J21*E21</f>
        <v>165600.450094222</v>
      </c>
      <c r="L21" s="99" t="n">
        <f aca="false">J21+K21</f>
        <v>2749070.81037849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2749070.81037849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33114.38671875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0</v>
      </c>
      <c r="W21" s="99" t="n">
        <f aca="false">MIN(R21,T21)</f>
        <v>24835.7900390625</v>
      </c>
      <c r="X21" s="99" t="n">
        <f aca="false">MIN(U21,R21-W21)</f>
        <v>8278.5966796875</v>
      </c>
      <c r="Y21" s="99" t="n">
        <f aca="false">MIN(S21,V21)</f>
        <v>0</v>
      </c>
      <c r="Z21" s="99" t="n">
        <f aca="false">W21+X21+Y21</f>
        <v>33114.38671875</v>
      </c>
      <c r="AA21" s="100" t="n">
        <f aca="false">Q21+W21+X21+Y21</f>
        <v>2782185.19709724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53</v>
      </c>
      <c r="E22" s="97" t="n">
        <f aca="false">HLOOKUP($B$6,'RetireUp Market Returns'!A:CT,(1+$B$7+C22),FALSE())</f>
        <v>0.0654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2782185.19709724</v>
      </c>
      <c r="K22" s="99" t="n">
        <f aca="false">J22*E22</f>
        <v>181954.91189016</v>
      </c>
      <c r="L22" s="99" t="n">
        <f aca="false">J22+K22</f>
        <v>2964140.1089874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2964140.1089874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33942.2463867187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0</v>
      </c>
      <c r="W22" s="99" t="n">
        <f aca="false">MIN(R22,T22)</f>
        <v>25456.684790039</v>
      </c>
      <c r="X22" s="99" t="n">
        <f aca="false">MIN(U22,R22-W22)</f>
        <v>8485.56159667968</v>
      </c>
      <c r="Y22" s="99" t="n">
        <f aca="false">MIN(S22,V22)</f>
        <v>0</v>
      </c>
      <c r="Z22" s="99" t="n">
        <f aca="false">W22+X22+Y22</f>
        <v>33942.2463867187</v>
      </c>
      <c r="AA22" s="100" t="n">
        <f aca="false">Q22+W22+X22+Y22</f>
        <v>2998082.35537412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54</v>
      </c>
      <c r="E23" s="97" t="n">
        <f aca="false">HLOOKUP($B$6,'RetireUp Market Returns'!A:CT,(1+$B$7+C23),FALSE())</f>
        <v>0.0807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2998082.35537412</v>
      </c>
      <c r="K23" s="99" t="n">
        <f aca="false">J23*E23</f>
        <v>241945.246078692</v>
      </c>
      <c r="L23" s="99" t="n">
        <f aca="false">J23+K23</f>
        <v>3240027.60145281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3240027.60145281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34790.8025463867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0</v>
      </c>
      <c r="W23" s="99" t="n">
        <f aca="false">MIN(R23,T23)</f>
        <v>26093.10190979</v>
      </c>
      <c r="X23" s="99" t="n">
        <f aca="false">MIN(U23,R23-W23)</f>
        <v>8697.70063659668</v>
      </c>
      <c r="Y23" s="99" t="n">
        <f aca="false">MIN(S23,V23)</f>
        <v>0</v>
      </c>
      <c r="Z23" s="99" t="n">
        <f aca="false">W23+X23+Y23</f>
        <v>34790.8025463867</v>
      </c>
      <c r="AA23" s="100" t="n">
        <f aca="false">Q23+W23+X23+Y23</f>
        <v>3274818.4039992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55</v>
      </c>
      <c r="E24" s="97" t="n">
        <f aca="false">HLOOKUP($B$6,'RetireUp Market Returns'!A:CT,(1+$B$7+C24),FALSE())</f>
        <v>-0.0393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3274818.4039992</v>
      </c>
      <c r="K24" s="99" t="n">
        <f aca="false">J24*E24</f>
        <v>-128700.363277169</v>
      </c>
      <c r="L24" s="99" t="n">
        <f aca="false">J24+K24</f>
        <v>3146118.04072203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3146118.04072203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35660.5726100464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0</v>
      </c>
      <c r="W24" s="99" t="n">
        <f aca="false">MIN(R24,T24)</f>
        <v>26745.4294575348</v>
      </c>
      <c r="X24" s="99" t="n">
        <f aca="false">MIN(U24,R24-W24)</f>
        <v>8915.14315251159</v>
      </c>
      <c r="Y24" s="99" t="n">
        <f aca="false">MIN(S24,V24)</f>
        <v>0</v>
      </c>
      <c r="Z24" s="99" t="n">
        <f aca="false">W24+X24+Y24</f>
        <v>35660.5726100464</v>
      </c>
      <c r="AA24" s="100" t="n">
        <f aca="false">Q24+W24+X24+Y24</f>
        <v>3181778.61333208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56</v>
      </c>
      <c r="E25" s="97" t="n">
        <f aca="false">HLOOKUP($B$6,'RetireUp Market Returns'!A:CT,(1+$B$7+C25),FALSE())</f>
        <v>0.0098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3181778.61333208</v>
      </c>
      <c r="K25" s="99" t="n">
        <f aca="false">J25*E25</f>
        <v>31181.4304106544</v>
      </c>
      <c r="L25" s="99" t="n">
        <f aca="false">J25+K25</f>
        <v>3212960.04374273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3212960.04374273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36552.0869252975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0</v>
      </c>
      <c r="W25" s="99" t="n">
        <f aca="false">MIN(R25,T25)</f>
        <v>27414.0651939731</v>
      </c>
      <c r="X25" s="99" t="n">
        <f aca="false">MIN(U25,R25-W25)</f>
        <v>9138.02173132438</v>
      </c>
      <c r="Y25" s="99" t="n">
        <f aca="false">MIN(S25,V25)</f>
        <v>0</v>
      </c>
      <c r="Z25" s="99" t="n">
        <f aca="false">W25+X25+Y25</f>
        <v>36552.0869252975</v>
      </c>
      <c r="AA25" s="100" t="n">
        <f aca="false">Q25+W25+X25+Y25</f>
        <v>3249512.13066803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57</v>
      </c>
      <c r="E26" s="97" t="n">
        <f aca="false">HLOOKUP($B$6,'RetireUp Market Returns'!A:CT,(1+$B$7+C26),FALSE())</f>
        <v>0.0513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3249512.13066803</v>
      </c>
      <c r="K26" s="99" t="n">
        <f aca="false">J26*E26</f>
        <v>166699.97230327</v>
      </c>
      <c r="L26" s="99" t="n">
        <f aca="false">J26+K26</f>
        <v>3416212.1029713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0</v>
      </c>
      <c r="P26" s="99" t="n">
        <f aca="false">MAX(N26,O26)</f>
        <v>0</v>
      </c>
      <c r="Q26" s="99" t="n">
        <f aca="false">MAX(0,L26-P26)</f>
        <v>3416212.1029713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37465.88909843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0</v>
      </c>
      <c r="W26" s="99" t="n">
        <f aca="false">MIN(R26,T26)</f>
        <v>28099.4168238225</v>
      </c>
      <c r="X26" s="99" t="n">
        <f aca="false">MIN(U26,R26-W26)</f>
        <v>9366.47227460749</v>
      </c>
      <c r="Y26" s="99" t="n">
        <f aca="false">MIN(S26,V26)</f>
        <v>0</v>
      </c>
      <c r="Z26" s="99" t="n">
        <f aca="false">W26+X26+Y26</f>
        <v>37465.88909843</v>
      </c>
      <c r="AA26" s="100" t="n">
        <f aca="false">Q26+W26+X26+Y26</f>
        <v>3453677.99206973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58</v>
      </c>
      <c r="E27" s="97" t="n">
        <f aca="false">HLOOKUP($B$6,'RetireUp Market Returns'!A:CT,(1+$B$7+C27),FALSE())</f>
        <v>0.0857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3453677.99206973</v>
      </c>
      <c r="K27" s="99" t="n">
        <f aca="false">J27*E27</f>
        <v>295980.203920376</v>
      </c>
      <c r="L27" s="99" t="n">
        <f aca="false">J27+K27</f>
        <v>3749658.19599011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0</v>
      </c>
      <c r="P27" s="99" t="n">
        <f aca="false">MAX(N27,O27)</f>
        <v>0</v>
      </c>
      <c r="Q27" s="99" t="n">
        <f aca="false">MAX(0,L27-P27)</f>
        <v>3749658.19599011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38402.5363258907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0</v>
      </c>
      <c r="W27" s="99" t="n">
        <f aca="false">MIN(R27,T27)</f>
        <v>28801.902244418</v>
      </c>
      <c r="X27" s="99" t="n">
        <f aca="false">MIN(U27,R27-W27)</f>
        <v>9600.63408147268</v>
      </c>
      <c r="Y27" s="99" t="n">
        <f aca="false">MIN(S27,V27)</f>
        <v>0</v>
      </c>
      <c r="Z27" s="99" t="n">
        <f aca="false">W27+X27+Y27</f>
        <v>38402.5363258907</v>
      </c>
      <c r="AA27" s="100" t="n">
        <f aca="false">Q27+W27+X27+Y27</f>
        <v>3788060.732316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59</v>
      </c>
      <c r="E28" s="97" t="n">
        <f aca="false">HLOOKUP($B$6,'RetireUp Market Returns'!A:CT,(1+$B$7+C28),FALSE())</f>
        <v>0.0521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3788060.732316</v>
      </c>
      <c r="K28" s="99" t="n">
        <f aca="false">J28*E28</f>
        <v>197357.964153663</v>
      </c>
      <c r="L28" s="99" t="n">
        <f aca="false">J28+K28</f>
        <v>3985418.69646966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0</v>
      </c>
      <c r="P28" s="99" t="n">
        <f aca="false">MAX(N28,O28)</f>
        <v>0</v>
      </c>
      <c r="Q28" s="99" t="n">
        <f aca="false">MAX(0,L28-P28)</f>
        <v>3985418.69646966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39362.599734038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0</v>
      </c>
      <c r="W28" s="99" t="n">
        <f aca="false">MIN(R28,T28)</f>
        <v>29521.9498005285</v>
      </c>
      <c r="X28" s="99" t="n">
        <f aca="false">MIN(U28,R28-W28)</f>
        <v>9840.64993350949</v>
      </c>
      <c r="Y28" s="99" t="n">
        <f aca="false">MIN(S28,V28)</f>
        <v>0</v>
      </c>
      <c r="Z28" s="99" t="n">
        <f aca="false">W28+X28+Y28</f>
        <v>39362.599734038</v>
      </c>
      <c r="AA28" s="100" t="n">
        <f aca="false">Q28+W28+X28+Y28</f>
        <v>4024781.2962037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60</v>
      </c>
      <c r="E29" s="97" t="n">
        <f aca="false">HLOOKUP($B$6,'RetireUp Market Returns'!A:CT,(1+$B$7+C29),FALSE())</f>
        <v>0.064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4024781.2962037</v>
      </c>
      <c r="K29" s="99" t="n">
        <f aca="false">J29*E29</f>
        <v>257586.002957037</v>
      </c>
      <c r="L29" s="99" t="n">
        <f aca="false">J29+K29</f>
        <v>4282367.29916074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0</v>
      </c>
      <c r="P29" s="99" t="n">
        <f aca="false">MAX(N29,O29)</f>
        <v>0</v>
      </c>
      <c r="Q29" s="99" t="n">
        <f aca="false">MAX(0,L29-P29)</f>
        <v>4282367.29916074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40346.6647273889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0</v>
      </c>
      <c r="W29" s="99" t="n">
        <f aca="false">MIN(R29,T29)</f>
        <v>30259.9985455417</v>
      </c>
      <c r="X29" s="99" t="n">
        <f aca="false">MIN(U29,R29-W29)</f>
        <v>10086.6661818472</v>
      </c>
      <c r="Y29" s="99" t="n">
        <f aca="false">MIN(S29,V29)</f>
        <v>0</v>
      </c>
      <c r="Z29" s="99" t="n">
        <f aca="false">W29+X29+Y29</f>
        <v>40346.6647273889</v>
      </c>
      <c r="AA29" s="100" t="n">
        <f aca="false">Q29+W29+X29+Y29</f>
        <v>4322713.96388812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61</v>
      </c>
      <c r="E30" s="97" t="n">
        <f aca="false">HLOOKUP($B$6,'RetireUp Market Returns'!A:CT,(1+$B$7+C30),FALSE())</f>
        <v>0.0249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4322713.96388812</v>
      </c>
      <c r="K30" s="99" t="n">
        <f aca="false">J30*E30</f>
        <v>107635.577700814</v>
      </c>
      <c r="L30" s="99" t="n">
        <f aca="false">J30+K30</f>
        <v>4430349.54158894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0</v>
      </c>
      <c r="P30" s="99" t="n">
        <f aca="false">MAX(N30,O30)</f>
        <v>0</v>
      </c>
      <c r="Q30" s="99" t="n">
        <f aca="false">MAX(0,L30-P30)</f>
        <v>4430349.54158894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41355.3313455736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0</v>
      </c>
      <c r="W30" s="99" t="n">
        <f aca="false">MIN(R30,T30)</f>
        <v>31016.4985091802</v>
      </c>
      <c r="X30" s="99" t="n">
        <f aca="false">MIN(U30,R30-W30)</f>
        <v>10338.8328363934</v>
      </c>
      <c r="Y30" s="99" t="n">
        <f aca="false">MIN(S30,V30)</f>
        <v>0</v>
      </c>
      <c r="Z30" s="99" t="n">
        <f aca="false">W30+X30+Y30</f>
        <v>41355.3313455736</v>
      </c>
      <c r="AA30" s="100" t="n">
        <f aca="false">Q30+W30+X30+Y30</f>
        <v>4471704.87293451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62</v>
      </c>
      <c r="E31" s="97" t="n">
        <f aca="false">HLOOKUP($B$6,'RetireUp Market Returns'!A:CT,(1+$B$7+C31),FALSE())</f>
        <v>0.0451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4471704.87293451</v>
      </c>
      <c r="K31" s="99" t="n">
        <f aca="false">J31*E31</f>
        <v>201673.889769346</v>
      </c>
      <c r="L31" s="99" t="n">
        <f aca="false">J31+K31</f>
        <v>4673378.76270386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0</v>
      </c>
      <c r="P31" s="99" t="n">
        <f aca="false">MAX(N31,O31)</f>
        <v>0</v>
      </c>
      <c r="Q31" s="99" t="n">
        <f aca="false">MAX(0,L31-P31)</f>
        <v>4673378.76270386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42389.214629213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0</v>
      </c>
      <c r="W31" s="99" t="n">
        <f aca="false">MIN(R31,T31)</f>
        <v>31791.9109719097</v>
      </c>
      <c r="X31" s="99" t="n">
        <f aca="false">MIN(U31,R31-W31)</f>
        <v>10597.3036573032</v>
      </c>
      <c r="Y31" s="99" t="n">
        <f aca="false">MIN(S31,V31)</f>
        <v>0</v>
      </c>
      <c r="Z31" s="99" t="n">
        <f aca="false">W31+X31+Y31</f>
        <v>42389.214629213</v>
      </c>
      <c r="AA31" s="100" t="n">
        <f aca="false">Q31+W31+X31+Y31</f>
        <v>4715767.97733307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63</v>
      </c>
      <c r="E32" s="97" t="n">
        <f aca="false">HLOOKUP($B$6,'RetireUp Market Returns'!A:CT,(1+$B$7+C32),FALSE())</f>
        <v>0.0217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4715767.97733307</v>
      </c>
      <c r="K32" s="99" t="n">
        <f aca="false">J32*E32</f>
        <v>102332.165108128</v>
      </c>
      <c r="L32" s="99" t="n">
        <f aca="false">J32+K32</f>
        <v>4818100.1424412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0</v>
      </c>
      <c r="P32" s="99" t="n">
        <f aca="false">MAX(N32,O32)</f>
        <v>0</v>
      </c>
      <c r="Q32" s="99" t="n">
        <f aca="false">MAX(0,L32-P32)</f>
        <v>4818100.1424412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43448.9449949433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0</v>
      </c>
      <c r="W32" s="99" t="n">
        <f aca="false">MIN(R32,T32)</f>
        <v>32586.7087462075</v>
      </c>
      <c r="X32" s="99" t="n">
        <f aca="false">MIN(U32,R32-W32)</f>
        <v>10862.2362487358</v>
      </c>
      <c r="Y32" s="99" t="n">
        <f aca="false">MIN(S32,V32)</f>
        <v>0</v>
      </c>
      <c r="Z32" s="99" t="n">
        <f aca="false">W32+X32+Y32</f>
        <v>43448.9449949433</v>
      </c>
      <c r="AA32" s="100" t="n">
        <f aca="false">Q32+W32+X32+Y32</f>
        <v>4861549.08743614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64</v>
      </c>
      <c r="E33" s="97" t="n">
        <f aca="false">HLOOKUP($B$6,'RetireUp Market Returns'!A:CT,(1+$B$7+C33),FALSE())</f>
        <v>0.1318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4861549.08743614</v>
      </c>
      <c r="K33" s="99" t="n">
        <f aca="false">J33*E33</f>
        <v>640752.169724084</v>
      </c>
      <c r="L33" s="99" t="n">
        <f aca="false">J33+K33</f>
        <v>5502301.25716023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0</v>
      </c>
      <c r="P33" s="99" t="n">
        <f aca="false">MAX(N33,O33)</f>
        <v>0</v>
      </c>
      <c r="Q33" s="99" t="n">
        <f aca="false">MAX(0,L33-P33)</f>
        <v>5502301.25716023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44535.1686198169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0</v>
      </c>
      <c r="W33" s="99" t="n">
        <f aca="false">MIN(R33,T33)</f>
        <v>33401.3764648627</v>
      </c>
      <c r="X33" s="99" t="n">
        <f aca="false">MIN(U33,R33-W33)</f>
        <v>11133.7921549542</v>
      </c>
      <c r="Y33" s="99" t="n">
        <f aca="false">MIN(S33,V33)</f>
        <v>0</v>
      </c>
      <c r="Z33" s="99" t="n">
        <f aca="false">W33+X33+Y33</f>
        <v>44535.1686198169</v>
      </c>
      <c r="AA33" s="100" t="n">
        <f aca="false">Q33+W33+X33+Y33</f>
        <v>5546836.42578004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65</v>
      </c>
      <c r="E34" s="97" t="n">
        <f aca="false">HLOOKUP($B$6,'RetireUp Market Returns'!A:CT,(1+$B$7+C34),FALSE())</f>
        <v>-0.054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5546836.42578004</v>
      </c>
      <c r="K34" s="99" t="n">
        <f aca="false">J34*E34</f>
        <v>-299529.166992122</v>
      </c>
      <c r="L34" s="99" t="n">
        <f aca="false">J34+K34</f>
        <v>5247307.25878792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5095145.43267021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34236.4108764842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5095145.43267021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66</v>
      </c>
      <c r="E35" s="97" t="n">
        <f aca="false">HLOOKUP($B$6,'RetireUp Market Returns'!A:CT,(1+$B$7+C35),FALSE())</f>
        <v>0.1062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5095145.43267021</v>
      </c>
      <c r="K35" s="99" t="n">
        <f aca="false">J35*E35</f>
        <v>541104.444949577</v>
      </c>
      <c r="L35" s="99" t="n">
        <f aca="false">J35+K35</f>
        <v>5636249.87761979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5480284.00584914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35092.3211483963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5480284.00584914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67</v>
      </c>
      <c r="E36" s="97" t="n">
        <f aca="false">HLOOKUP($B$6,'RetireUp Market Returns'!A:CT,(1+$B$7+C36),FALSE())</f>
        <v>0.0367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5480284.00584914</v>
      </c>
      <c r="K36" s="99" t="n">
        <f aca="false">J36*E36</f>
        <v>201126.423014663</v>
      </c>
      <c r="L36" s="99" t="n">
        <f aca="false">J36+K36</f>
        <v>5681410.4288638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5521545.41029889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35969.6291771062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5521545.41029889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68</v>
      </c>
      <c r="E37" s="97" t="n">
        <f aca="false">HLOOKUP($B$6,'RetireUp Market Returns'!A:CT,(1+$B$7+C37),FALSE())</f>
        <v>0.0723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5521545.41029889</v>
      </c>
      <c r="K37" s="99" t="n">
        <f aca="false">J37*E37</f>
        <v>399207.733164609</v>
      </c>
      <c r="L37" s="99" t="n">
        <f aca="false">J37+K37</f>
        <v>5920753.1434635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5756891.49943446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36868.8699065339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5756891.49943446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69</v>
      </c>
      <c r="E38" s="97" t="n">
        <f aca="false">HLOOKUP($B$6,'RetireUp Market Returns'!A:CT,(1+$B$7+C38),FALSE())</f>
        <v>0.0542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5756891.49943446</v>
      </c>
      <c r="K38" s="99" t="n">
        <f aca="false">J38*E38</f>
        <v>312023.519269348</v>
      </c>
      <c r="L38" s="99" t="n">
        <f aca="false">J38+K38</f>
        <v>6068915.0187038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5900956.83357404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37790.5916541972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5900956.83357404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70</v>
      </c>
      <c r="E39" s="97" t="n">
        <f aca="false">HLOOKUP($B$6,'RetireUp Market Returns'!A:CT,(1+$B$7+C39),FALSE())</f>
        <v>0.0427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5900956.83357404</v>
      </c>
      <c r="K39" s="99" t="n">
        <f aca="false">J39*E39</f>
        <v>251970.856793611</v>
      </c>
      <c r="L39" s="99" t="n">
        <f aca="false">J39+K39</f>
        <v>6152927.69036765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5980770.55060964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38735.3564455521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5980770.55060964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71</v>
      </c>
      <c r="E40" s="97" t="n">
        <f aca="false">HLOOKUP($B$6,'RetireUp Market Returns'!A:CT,(1+$B$7+C40),FALSE())</f>
        <v>0.0593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5980770.55060964</v>
      </c>
      <c r="K40" s="99" t="n">
        <f aca="false">J40*E40</f>
        <v>354659.693651152</v>
      </c>
      <c r="L40" s="99" t="n">
        <f aca="false">J40+K40</f>
        <v>6335430.24426079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6158969.17600883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39703.7403566909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6158969.17600883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72</v>
      </c>
      <c r="E41" s="97" t="n">
        <f aca="false">HLOOKUP($B$6,'RetireUp Market Returns'!A:CT,(1+$B$7+C41),FALSE())</f>
        <v>0.052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6158969.17600883</v>
      </c>
      <c r="K41" s="99" t="n">
        <f aca="false">J41*E41</f>
        <v>320266.397152459</v>
      </c>
      <c r="L41" s="99" t="n">
        <f aca="false">J41+K41</f>
        <v>6479235.57316129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6298362.97820303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40696.3338656082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6298362.97820303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73</v>
      </c>
      <c r="E42" s="97" t="n">
        <f aca="false">HLOOKUP($B$6,'RetireUp Market Returns'!A:CT,(1+$B$7+C42),FALSE())</f>
        <v>-0.028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6298362.97820303</v>
      </c>
      <c r="K42" s="99" t="n">
        <f aca="false">J42*E42</f>
        <v>-176354.163389685</v>
      </c>
      <c r="L42" s="99" t="n">
        <f aca="false">J42+K42</f>
        <v>6122008.81481335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5936614.40498113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41713.7422122484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5936614.40498113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74</v>
      </c>
      <c r="E43" s="97" t="n">
        <f aca="false">HLOOKUP($B$6,'RetireUp Market Returns'!A:CT,(1+$B$7+C43),FALSE())</f>
        <v>0.064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5936614.40498113</v>
      </c>
      <c r="K43" s="99" t="n">
        <f aca="false">J43*E43</f>
        <v>379943.321918793</v>
      </c>
      <c r="L43" s="99" t="n">
        <f aca="false">J43+K43</f>
        <v>6316557.72689993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6126528.4568219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42756.5857675546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6126528.4568219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75</v>
      </c>
      <c r="E44" s="97" t="n">
        <f aca="false">HLOOKUP($B$6,'RetireUp Market Returns'!A:CT,(1+$B$7+C44),FALSE())</f>
        <v>0.0433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6126528.4568219</v>
      </c>
      <c r="K44" s="99" t="n">
        <f aca="false">J44*E44</f>
        <v>265278.682180388</v>
      </c>
      <c r="L44" s="99" t="n">
        <f aca="false">J44+K44</f>
        <v>6391807.13900229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24.6</v>
      </c>
      <c r="N44" s="99" t="n">
        <f aca="false">IF($M44="-",0,J44/$M44)</f>
        <v>249045.872228533</v>
      </c>
      <c r="O44" s="99" t="n">
        <f aca="false">IF(D44&gt;$B$4,0,IF(D44&lt;$B$3,0,$B$8*(1+$B$10)^(C44-1)))</f>
        <v>194780.001829971</v>
      </c>
      <c r="P44" s="99" t="n">
        <f aca="false">MAX(N44,O44)</f>
        <v>249045.872228533</v>
      </c>
      <c r="Q44" s="99" t="n">
        <f aca="false">MAX(0,L44-P44)</f>
        <v>6142761.26677376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43825.5004117435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6142761.26677376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76</v>
      </c>
      <c r="E45" s="97" t="n">
        <f aca="false">HLOOKUP($B$6,'RetireUp Market Returns'!A:CT,(1+$B$7+C45),FALSE())</f>
        <v>0.0633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6142761.26677376</v>
      </c>
      <c r="K45" s="99" t="n">
        <f aca="false">J45*E45</f>
        <v>388836.788186779</v>
      </c>
      <c r="L45" s="99" t="n">
        <f aca="false">J45+K45</f>
        <v>6531598.05496054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23.7</v>
      </c>
      <c r="N45" s="99" t="n">
        <f aca="false">IF($M45="-",0,J45/$M45)</f>
        <v>259188.239104378</v>
      </c>
      <c r="O45" s="99" t="n">
        <f aca="false">IF(D45&gt;$B$4,0,IF(D45&lt;$B$3,0,$B$8*(1+$B$10)^(C45-1)))</f>
        <v>199649.50187572</v>
      </c>
      <c r="P45" s="99" t="n">
        <f aca="false">MAX(N45,O45)</f>
        <v>259188.239104378</v>
      </c>
      <c r="Q45" s="99" t="n">
        <f aca="false">MAX(0,L45-P45)</f>
        <v>6272409.81585616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44921.1379220371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6272409.81585616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77</v>
      </c>
      <c r="E46" s="97" t="n">
        <f aca="false">HLOOKUP($B$6,'RetireUp Market Returns'!A:CT,(1+$B$7+C46),FALSE())</f>
        <v>0.0301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6272409.81585616</v>
      </c>
      <c r="K46" s="99" t="n">
        <f aca="false">J46*E46</f>
        <v>188799.53545727</v>
      </c>
      <c r="L46" s="99" t="n">
        <f aca="false">J46+K46</f>
        <v>6461209.35131343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22.9</v>
      </c>
      <c r="N46" s="99" t="n">
        <f aca="false">IF($M46="-",0,J46/$M46)</f>
        <v>273904.358771011</v>
      </c>
      <c r="O46" s="99" t="n">
        <f aca="false">IF(D46&gt;$B$4,0,IF(D46&lt;$B$3,0,$B$8*(1+$B$10)^(C46-1)))</f>
        <v>204640.739422613</v>
      </c>
      <c r="P46" s="99" t="n">
        <f aca="false">MAX(N46,O46)</f>
        <v>273904.358771011</v>
      </c>
      <c r="Q46" s="99" t="n">
        <f aca="false">MAX(0,L46-P46)</f>
        <v>6187304.99254242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46044.166370088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6187304.99254242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n">
        <f aca="false">IF(D46="-","-",IF(D46+1&gt;B$4,"-",D46+1))</f>
        <v>78</v>
      </c>
      <c r="E47" s="97" t="n">
        <f aca="false">HLOOKUP($B$6,'RetireUp Market Returns'!A:CT,(1+$B$7+C47),FALSE())</f>
        <v>0.0735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6187304.99254242</v>
      </c>
      <c r="K47" s="99" t="n">
        <f aca="false">J47*E47</f>
        <v>454766.916951868</v>
      </c>
      <c r="L47" s="99" t="n">
        <f aca="false">J47+K47</f>
        <v>6642071.90949429</v>
      </c>
      <c r="M47" s="101" t="n">
        <f aca="false">IF(D47="-","-",IF($F$4="Roth","-",IF($E$3="Health Savings Account","-",IF(AND(A47=2033,D47=74),VLOOKUP(D47,Tables!G:H,2,FALSE()),IF(AND(A47&gt;2032,D47&lt;75),"-",IF(D47&lt;73,"-",VLOOKUP(D47,Tables!G:H,2,FALSE())))))))</f>
        <v>22</v>
      </c>
      <c r="N47" s="99" t="n">
        <f aca="false">IF($M47="-",0,J47/$M47)</f>
        <v>281241.136024655</v>
      </c>
      <c r="O47" s="99" t="n">
        <f aca="false">IF(D47&gt;$B$4,0,IF(D47&lt;$B$3,0,$B$8*(1+$B$10)^(C47-1)))</f>
        <v>209756.757908179</v>
      </c>
      <c r="P47" s="99" t="n">
        <f aca="false">MAX(N47,O47)</f>
        <v>281241.136024655</v>
      </c>
      <c r="Q47" s="99" t="n">
        <f aca="false">MAX(0,L47-P47)</f>
        <v>6360830.77346963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47195.2705293402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6360830.77346963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n">
        <f aca="false">IF(D47="-","-",IF(D47+1&gt;B$4,"-",D47+1))</f>
        <v>79</v>
      </c>
      <c r="E48" s="97" t="n">
        <f aca="false">HLOOKUP($B$6,'RetireUp Market Returns'!A:CT,(1+$B$7+C48),FALSE())</f>
        <v>0.0269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6360830.77346963</v>
      </c>
      <c r="K48" s="99" t="n">
        <f aca="false">J48*E48</f>
        <v>171106.347806333</v>
      </c>
      <c r="L48" s="99" t="n">
        <f aca="false">J48+K48</f>
        <v>6531937.12127597</v>
      </c>
      <c r="M48" s="101" t="n">
        <f aca="false">IF(D48="-","-",IF($F$4="Roth","-",IF($E$3="Health Savings Account","-",IF(AND(A48=2033,D48=74),VLOOKUP(D48,Tables!G:H,2,FALSE()),IF(AND(A48&gt;2032,D48&lt;75),"-",IF(D48&lt;73,"-",VLOOKUP(D48,Tables!G:H,2,FALSE())))))))</f>
        <v>21.1</v>
      </c>
      <c r="N48" s="99" t="n">
        <f aca="false">IF($M48="-",0,J48/$M48)</f>
        <v>301461.174098087</v>
      </c>
      <c r="O48" s="99" t="n">
        <f aca="false">IF(D48&gt;$B$4,0,IF(D48&lt;$B$3,0,$B$8*(1+$B$10)^(C48-1)))</f>
        <v>215000.676855883</v>
      </c>
      <c r="P48" s="99" t="n">
        <f aca="false">MAX(N48,O48)</f>
        <v>301461.174098087</v>
      </c>
      <c r="Q48" s="99" t="n">
        <f aca="false">MAX(0,L48-P48)</f>
        <v>6230475.94717788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48375.1522925737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6230475.94717788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n">
        <f aca="false">IF(D48="-","-",IF(D48+1&gt;B$4,"-",D48+1))</f>
        <v>80</v>
      </c>
      <c r="E49" s="97" t="n">
        <f aca="false">HLOOKUP($B$6,'RetireUp Market Returns'!A:CT,(1+$B$7+C49),FALSE())</f>
        <v>0.036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6230475.94717788</v>
      </c>
      <c r="K49" s="99" t="n">
        <f aca="false">J49*E49</f>
        <v>224297.134098404</v>
      </c>
      <c r="L49" s="99" t="n">
        <f aca="false">J49+K49</f>
        <v>6454773.08127628</v>
      </c>
      <c r="M49" s="101" t="n">
        <f aca="false">IF(D49="-","-",IF($F$4="Roth","-",IF($E$3="Health Savings Account","-",IF(AND(A49=2033,D49=74),VLOOKUP(D49,Tables!G:H,2,FALSE()),IF(AND(A49&gt;2032,D49&lt;75),"-",IF(D49&lt;73,"-",VLOOKUP(D49,Tables!G:H,2,FALSE())))))))</f>
        <v>20.2</v>
      </c>
      <c r="N49" s="99" t="n">
        <f aca="false">IF($M49="-",0,J49/$M49)</f>
        <v>308439.403325638</v>
      </c>
      <c r="O49" s="99" t="n">
        <f aca="false">IF(D49&gt;$B$4,0,IF(D49&lt;$B$3,0,$B$8*(1+$B$10)^(C49-1)))</f>
        <v>220375.69377728</v>
      </c>
      <c r="P49" s="99" t="n">
        <f aca="false">MAX(N49,O49)</f>
        <v>308439.403325638</v>
      </c>
      <c r="Q49" s="99" t="n">
        <f aca="false">MAX(0,L49-P49)</f>
        <v>6146333.67795065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49584.531099888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6146333.67795065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n">
        <f aca="false">IF(D49="-","-",IF(D49+1&gt;B$4,"-",D49+1))</f>
        <v>81</v>
      </c>
      <c r="E50" s="97" t="n">
        <f aca="false">HLOOKUP($B$6,'RetireUp Market Returns'!A:CT,(1+$B$7+C50),FALSE())</f>
        <v>0.088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6146333.67795065</v>
      </c>
      <c r="K50" s="99" t="n">
        <f aca="false">J50*E50</f>
        <v>540877.363659657</v>
      </c>
      <c r="L50" s="99" t="n">
        <f aca="false">J50+K50</f>
        <v>6687211.0416103</v>
      </c>
      <c r="M50" s="101" t="n">
        <f aca="false">IF(D50="-","-",IF($F$4="Roth","-",IF($E$3="Health Savings Account","-",IF(AND(A50=2033,D50=74),VLOOKUP(D50,Tables!G:H,2,FALSE()),IF(AND(A50&gt;2032,D50&lt;75),"-",IF(D50&lt;73,"-",VLOOKUP(D50,Tables!G:H,2,FALSE())))))))</f>
        <v>19.4</v>
      </c>
      <c r="N50" s="99" t="n">
        <f aca="false">IF($M50="-",0,J50/$M50)</f>
        <v>316821.323605703</v>
      </c>
      <c r="O50" s="99" t="n">
        <f aca="false">IF(D50&gt;$B$4,0,IF(D50&lt;$B$3,0,$B$8*(1+$B$10)^(C50-1)))</f>
        <v>225885.086121712</v>
      </c>
      <c r="P50" s="99" t="n">
        <f aca="false">MAX(N50,O50)</f>
        <v>316821.323605703</v>
      </c>
      <c r="Q50" s="99" t="n">
        <f aca="false">MAX(0,L50-P50)</f>
        <v>6370389.7180046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50824.1443773852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6370389.7180046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n">
        <f aca="false">IF(D50="-","-",IF(D50+1&gt;B$4,"-",D50+1))</f>
        <v>82</v>
      </c>
      <c r="E51" s="97" t="n">
        <f aca="false">HLOOKUP($B$6,'RetireUp Market Returns'!A:CT,(1+$B$7+C51),FALSE())</f>
        <v>0.07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6370389.7180046</v>
      </c>
      <c r="K51" s="99" t="n">
        <f aca="false">J51*E51</f>
        <v>445927.280260322</v>
      </c>
      <c r="L51" s="99" t="n">
        <f aca="false">J51+K51</f>
        <v>6816316.99826492</v>
      </c>
      <c r="M51" s="101" t="n">
        <f aca="false">IF(D51="-","-",IF($F$4="Roth","-",IF($E$3="Health Savings Account","-",IF(AND(A51=2033,D51=74),VLOOKUP(D51,Tables!G:H,2,FALSE()),IF(AND(A51&gt;2032,D51&lt;75),"-",IF(D51&lt;73,"-",VLOOKUP(D51,Tables!G:H,2,FALSE())))))))</f>
        <v>18.5</v>
      </c>
      <c r="N51" s="99" t="n">
        <f aca="false">IF($M51="-",0,J51/$M51)</f>
        <v>344345.390162411</v>
      </c>
      <c r="O51" s="99" t="n">
        <f aca="false">IF(D51&gt;$B$4,0,IF(D51&lt;$B$3,0,$B$8*(1+$B$10)^(C51-1)))</f>
        <v>231532.213274755</v>
      </c>
      <c r="P51" s="99" t="n">
        <f aca="false">MAX(N51,O51)</f>
        <v>344345.390162411</v>
      </c>
      <c r="Q51" s="99" t="n">
        <f aca="false">MAX(0,L51-P51)</f>
        <v>6471971.60810251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52094.7479868198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6471971.60810251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n">
        <f aca="false">IF(D51="-","-",IF(D51+1&gt;B$4,"-",D51+1))</f>
        <v>83</v>
      </c>
      <c r="E52" s="97" t="n">
        <f aca="false">HLOOKUP($B$6,'RetireUp Market Returns'!A:CT,(1+$B$7+C52),FALSE())</f>
        <v>-0.0373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6471971.60810251</v>
      </c>
      <c r="K52" s="99" t="n">
        <f aca="false">J52*E52</f>
        <v>-241404.540982224</v>
      </c>
      <c r="L52" s="99" t="n">
        <f aca="false">J52+K52</f>
        <v>6230567.06712029</v>
      </c>
      <c r="M52" s="101" t="n">
        <f aca="false">IF(D52="-","-",IF($F$4="Roth","-",IF($E$3="Health Savings Account","-",IF(AND(A52=2033,D52=74),VLOOKUP(D52,Tables!G:H,2,FALSE()),IF(AND(A52&gt;2032,D52&lt;75),"-",IF(D52&lt;73,"-",VLOOKUP(D52,Tables!G:H,2,FALSE())))))))</f>
        <v>17.7</v>
      </c>
      <c r="N52" s="99" t="n">
        <f aca="false">IF($M52="-",0,J52/$M52)</f>
        <v>365648.113452119</v>
      </c>
      <c r="O52" s="99" t="n">
        <f aca="false">IF(D52&gt;$B$4,0,IF(D52&lt;$B$3,0,$B$8*(1+$B$10)^(C52-1)))</f>
        <v>237320.518606624</v>
      </c>
      <c r="P52" s="99" t="n">
        <f aca="false">MAX(N52,O52)</f>
        <v>365648.113452119</v>
      </c>
      <c r="Q52" s="99" t="n">
        <f aca="false">MAX(0,L52-P52)</f>
        <v>5864918.95366817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53397.1166864903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5864918.95366817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n">
        <f aca="false">IF(D52="-","-",IF(D52+1&gt;B$4,"-",D52+1))</f>
        <v>84</v>
      </c>
      <c r="E53" s="97" t="n">
        <f aca="false">HLOOKUP($B$6,'RetireUp Market Returns'!A:CT,(1+$B$7+C53),FALSE())</f>
        <v>-0.0567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5864918.95366817</v>
      </c>
      <c r="K53" s="99" t="n">
        <f aca="false">J53*E53</f>
        <v>-332540.904672985</v>
      </c>
      <c r="L53" s="99" t="n">
        <f aca="false">J53+K53</f>
        <v>5532378.04899518</v>
      </c>
      <c r="M53" s="101" t="n">
        <f aca="false">IF(D53="-","-",IF($F$4="Roth","-",IF($E$3="Health Savings Account","-",IF(AND(A53=2033,D53=74),VLOOKUP(D53,Tables!G:H,2,FALSE()),IF(AND(A53&gt;2032,D53&lt;75),"-",IF(D53&lt;73,"-",VLOOKUP(D53,Tables!G:H,2,FALSE())))))))</f>
        <v>16.8</v>
      </c>
      <c r="N53" s="99" t="n">
        <f aca="false">IF($M53="-",0,J53/$M53)</f>
        <v>349102.318670724</v>
      </c>
      <c r="O53" s="99" t="n">
        <f aca="false">IF(D53&gt;$B$4,0,IF(D53&lt;$B$3,0,$B$8*(1+$B$10)^(C53-1)))</f>
        <v>243253.531571789</v>
      </c>
      <c r="P53" s="99" t="n">
        <f aca="false">MAX(N53,O53)</f>
        <v>349102.318670724</v>
      </c>
      <c r="Q53" s="99" t="n">
        <f aca="false">MAX(0,L53-P53)</f>
        <v>5183275.73032446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54732.0446036526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5183275.73032446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n">
        <f aca="false">IF(D53="-","-",IF(D53+1&gt;B$4,"-",D53+1))</f>
        <v>85</v>
      </c>
      <c r="E54" s="97" t="n">
        <f aca="false">HLOOKUP($B$6,'RetireUp Market Returns'!A:CT,(1+$B$7+C54),FALSE())</f>
        <v>-0.1079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5183275.73032446</v>
      </c>
      <c r="K54" s="99" t="n">
        <f aca="false">J54*E54</f>
        <v>-559275.451302009</v>
      </c>
      <c r="L54" s="99" t="n">
        <f aca="false">J54+K54</f>
        <v>4624000.27902245</v>
      </c>
      <c r="M54" s="101" t="n">
        <f aca="false">IF(D54="-","-",IF($F$4="Roth","-",IF($E$3="Health Savings Account","-",IF(AND(A54=2033,D54=74),VLOOKUP(D54,Tables!G:H,2,FALSE()),IF(AND(A54&gt;2032,D54&lt;75),"-",IF(D54&lt;73,"-",VLOOKUP(D54,Tables!G:H,2,FALSE())))))))</f>
        <v>16</v>
      </c>
      <c r="N54" s="99" t="n">
        <f aca="false">IF($M54="-",0,J54/$M54)</f>
        <v>323954.733145279</v>
      </c>
      <c r="O54" s="99" t="n">
        <f aca="false">IF(D54&gt;$B$4,0,IF(D54&lt;$B$3,0,$B$8*(1+$B$10)^(C54-1)))</f>
        <v>249334.869861084</v>
      </c>
      <c r="P54" s="99" t="n">
        <f aca="false">MAX(N54,O54)</f>
        <v>323954.733145279</v>
      </c>
      <c r="Q54" s="99" t="n">
        <f aca="false">MAX(0,L54-P54)</f>
        <v>4300045.54587717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56100.3457187439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4300045.54587717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6">
      <formula>0</formula>
    </cfRule>
  </conditionalFormatting>
  <dataValidations count="4"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63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Maximum Allowable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401k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401k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0.05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36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171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401k with % of Salary / Maximum Allowable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63</v>
      </c>
      <c r="E17" s="97" t="n">
        <f aca="false">HLOOKUP($B$6,'RetireUp Market Returns'!A:CT,(1+$B$7+C17),FALSE())</f>
        <v>-0.0467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-93400</v>
      </c>
      <c r="L17" s="99" t="n">
        <f aca="false">J17+K17</f>
        <v>1906600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1906600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61000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61000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61000</v>
      </c>
      <c r="Z17" s="99" t="n">
        <f aca="false">W17+X17+Y17</f>
        <v>66000</v>
      </c>
      <c r="AA17" s="100" t="n">
        <f aca="false">Q17+Z17</f>
        <v>1972600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64</v>
      </c>
      <c r="E18" s="97" t="n">
        <f aca="false">HLOOKUP($B$6,'RetireUp Market Returns'!A:CT,(1+$B$7+C18),FALSE())</f>
        <v>-0.0708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1972600</v>
      </c>
      <c r="K18" s="99" t="n">
        <f aca="false">J18*E18</f>
        <v>-139660.08</v>
      </c>
      <c r="L18" s="99" t="n">
        <f aca="false">J18+K18</f>
        <v>1832939.92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1832939.92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62550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62550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62550</v>
      </c>
      <c r="Z18" s="99" t="n">
        <f aca="false">W18+X18+Y18</f>
        <v>67650</v>
      </c>
      <c r="AA18" s="100" t="n">
        <f aca="false">Q18+W18+X18+Y18</f>
        <v>1900589.92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65</v>
      </c>
      <c r="E19" s="97" t="n">
        <f aca="false">HLOOKUP($B$6,'RetireUp Market Returns'!A:CT,(1+$B$7+C19),FALSE())</f>
        <v>-0.1348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1900589.92</v>
      </c>
      <c r="K19" s="99" t="n">
        <f aca="false">J19*E19</f>
        <v>-256199.521216</v>
      </c>
      <c r="L19" s="99" t="n">
        <f aca="false">J19+K19</f>
        <v>1644390.398784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1644390.398784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64139.25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64139.25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64139.25</v>
      </c>
      <c r="Z19" s="99" t="n">
        <f aca="false">W19+X19+Y19</f>
        <v>69341.25</v>
      </c>
      <c r="AA19" s="100" t="n">
        <f aca="false">Q19+W19+X19+Y19</f>
        <v>1713731.648784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66</v>
      </c>
      <c r="E20" s="97" t="n">
        <f aca="false">HLOOKUP($B$6,'RetireUp Market Returns'!A:CT,(1+$B$7+C20),FALSE())</f>
        <v>0.0758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1713731.648784</v>
      </c>
      <c r="K20" s="99" t="n">
        <f aca="false">J20*E20</f>
        <v>129900.858977827</v>
      </c>
      <c r="L20" s="99" t="n">
        <f aca="false">J20+K20</f>
        <v>1843632.50776183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1843632.50776183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65768.74125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65768.74125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65768.74125</v>
      </c>
      <c r="Z20" s="99" t="n">
        <f aca="false">W20+X20+Y20</f>
        <v>71074.78125</v>
      </c>
      <c r="AA20" s="100" t="n">
        <f aca="false">Q20+W20+X20+Y20</f>
        <v>1914707.28901183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67</v>
      </c>
      <c r="E21" s="97" t="n">
        <f aca="false">HLOOKUP($B$6,'RetireUp Market Returns'!A:CT,(1+$B$7+C21),FALSE())</f>
        <v>0.0433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1914707.28901183</v>
      </c>
      <c r="K21" s="99" t="n">
        <f aca="false">J21*E21</f>
        <v>82906.8256142121</v>
      </c>
      <c r="L21" s="99" t="n">
        <f aca="false">J21+K21</f>
        <v>1997614.11462604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1997614.11462604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5412.1608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67439.48998125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67439.48998125</v>
      </c>
      <c r="W21" s="99" t="n">
        <f aca="false">MIN(R21,T21)</f>
        <v>5412.1608</v>
      </c>
      <c r="X21" s="99" t="n">
        <f aca="false">MIN(U21,R21-W21)</f>
        <v>0</v>
      </c>
      <c r="Y21" s="99" t="n">
        <f aca="false">MIN(S21,V21)</f>
        <v>67439.48998125</v>
      </c>
      <c r="Z21" s="99" t="n">
        <f aca="false">W21+X21+Y21</f>
        <v>72851.65078125</v>
      </c>
      <c r="AA21" s="100" t="n">
        <f aca="false">Q21+W21+X21+Y21</f>
        <v>2070465.76540729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68</v>
      </c>
      <c r="E22" s="97" t="n">
        <f aca="false">HLOOKUP($B$6,'RetireUp Market Returns'!A:CT,(1+$B$7+C22),FALSE())</f>
        <v>0.1008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2070465.76540729</v>
      </c>
      <c r="K22" s="99" t="n">
        <f aca="false">J22*E22</f>
        <v>208702.949153055</v>
      </c>
      <c r="L22" s="99" t="n">
        <f aca="false">J22+K22</f>
        <v>2279168.71456034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2279168.71456034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5520.404016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69152.5380347812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69152.5380347812</v>
      </c>
      <c r="W22" s="99" t="n">
        <f aca="false">MIN(R22,T22)</f>
        <v>5520.404016</v>
      </c>
      <c r="X22" s="99" t="n">
        <f aca="false">MIN(U22,R22-W22)</f>
        <v>0</v>
      </c>
      <c r="Y22" s="99" t="n">
        <f aca="false">MIN(S22,V22)</f>
        <v>69152.5380347812</v>
      </c>
      <c r="Z22" s="99" t="n">
        <f aca="false">W22+X22+Y22</f>
        <v>74672.9420507812</v>
      </c>
      <c r="AA22" s="100" t="n">
        <f aca="false">Q22+W22+X22+Y22</f>
        <v>2353841.65661113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69</v>
      </c>
      <c r="E23" s="97" t="n">
        <f aca="false">HLOOKUP($B$6,'RetireUp Market Returns'!A:CT,(1+$B$7+C23),FALSE())</f>
        <v>0.0842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2353841.65661113</v>
      </c>
      <c r="K23" s="99" t="n">
        <f aca="false">J23*E23</f>
        <v>198193.467486657</v>
      </c>
      <c r="L23" s="99" t="n">
        <f aca="false">J23+K23</f>
        <v>2552035.12409778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2552035.12409778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5630.81209632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70908.9535057307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70908.9535057307</v>
      </c>
      <c r="W23" s="99" t="n">
        <f aca="false">MIN(R23,T23)</f>
        <v>5630.81209632</v>
      </c>
      <c r="X23" s="99" t="n">
        <f aca="false">MIN(U23,R23-W23)</f>
        <v>0</v>
      </c>
      <c r="Y23" s="99" t="n">
        <f aca="false">MIN(S23,V23)</f>
        <v>70908.9535057307</v>
      </c>
      <c r="Z23" s="99" t="n">
        <f aca="false">W23+X23+Y23</f>
        <v>76539.7656020507</v>
      </c>
      <c r="AA23" s="100" t="n">
        <f aca="false">Q23+W23+X23+Y23</f>
        <v>2628574.88969983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70</v>
      </c>
      <c r="E24" s="97" t="n">
        <f aca="false">HLOOKUP($B$6,'RetireUp Market Returns'!A:CT,(1+$B$7+C24),FALSE())</f>
        <v>0.0817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2628574.88969983</v>
      </c>
      <c r="K24" s="99" t="n">
        <f aca="false">J24*E24</f>
        <v>214754.568488476</v>
      </c>
      <c r="L24" s="99" t="n">
        <f aca="false">J24+K24</f>
        <v>2843329.45818831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2843329.45818831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5743.4283382464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72709.8314038556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72709.8314038556</v>
      </c>
      <c r="W24" s="99" t="n">
        <f aca="false">MIN(R24,T24)</f>
        <v>5743.4283382464</v>
      </c>
      <c r="X24" s="99" t="n">
        <f aca="false">MIN(U24,R24-W24)</f>
        <v>0</v>
      </c>
      <c r="Y24" s="99" t="n">
        <f aca="false">MIN(S24,V24)</f>
        <v>72709.8314038556</v>
      </c>
      <c r="Z24" s="99" t="n">
        <f aca="false">W24+X24+Y24</f>
        <v>78453.259742102</v>
      </c>
      <c r="AA24" s="100" t="n">
        <f aca="false">Q24+W24+X24+Y24</f>
        <v>2921782.71793041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71</v>
      </c>
      <c r="E25" s="97" t="n">
        <f aca="false">HLOOKUP($B$6,'RetireUp Market Returns'!A:CT,(1+$B$7+C25),FALSE())</f>
        <v>-0.2108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2921782.71793041</v>
      </c>
      <c r="K25" s="99" t="n">
        <f aca="false">J25*E25</f>
        <v>-615911.796939731</v>
      </c>
      <c r="L25" s="99" t="n">
        <f aca="false">J25+K25</f>
        <v>2305870.92099068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2305870.92099068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5858.29690501133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74556.2943306432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74556.2943306432</v>
      </c>
      <c r="W25" s="99" t="n">
        <f aca="false">MIN(R25,T25)</f>
        <v>5858.29690501133</v>
      </c>
      <c r="X25" s="99" t="n">
        <f aca="false">MIN(U25,R25-W25)</f>
        <v>0</v>
      </c>
      <c r="Y25" s="99" t="n">
        <f aca="false">MIN(S25,V25)</f>
        <v>74556.2943306432</v>
      </c>
      <c r="Z25" s="99" t="n">
        <f aca="false">W25+X25+Y25</f>
        <v>80414.5912356545</v>
      </c>
      <c r="AA25" s="100" t="n">
        <f aca="false">Q25+W25+X25+Y25</f>
        <v>2386285.51222633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72</v>
      </c>
      <c r="E26" s="97" t="n">
        <f aca="false">HLOOKUP($B$6,'RetireUp Market Returns'!A:CT,(1+$B$7+C26),FALSE())</f>
        <v>0.11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2386285.51222633</v>
      </c>
      <c r="K26" s="99" t="n">
        <f aca="false">J26*E26</f>
        <v>262491.406344897</v>
      </c>
      <c r="L26" s="99" t="n">
        <f aca="false">J26+K26</f>
        <v>2648776.91857123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0</v>
      </c>
      <c r="P26" s="99" t="n">
        <f aca="false">MAX(N26,O26)</f>
        <v>0</v>
      </c>
      <c r="Q26" s="99" t="n">
        <f aca="false">MAX(0,L26-P26)</f>
        <v>2648776.91857123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5975.46284311156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76449.4931734343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76449.4931734343</v>
      </c>
      <c r="W26" s="99" t="n">
        <f aca="false">MIN(R26,T26)</f>
        <v>5975.46284311156</v>
      </c>
      <c r="X26" s="99" t="n">
        <f aca="false">MIN(U26,R26-W26)</f>
        <v>0</v>
      </c>
      <c r="Y26" s="99" t="n">
        <f aca="false">MIN(S26,V26)</f>
        <v>76449.4931734343</v>
      </c>
      <c r="Z26" s="99" t="n">
        <f aca="false">W26+X26+Y26</f>
        <v>82424.9560165459</v>
      </c>
      <c r="AA26" s="100" t="n">
        <f aca="false">Q26+W26+X26+Y26</f>
        <v>2731201.87458778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73</v>
      </c>
      <c r="E27" s="97" t="n">
        <f aca="false">HLOOKUP($B$6,'RetireUp Market Returns'!A:CT,(1+$B$7+C27),FALSE())</f>
        <v>0.0433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2731201.87458778</v>
      </c>
      <c r="K27" s="99" t="n">
        <f aca="false">J27*E27</f>
        <v>118261.041169651</v>
      </c>
      <c r="L27" s="99" t="n">
        <f aca="false">J27+K27</f>
        <v>2849462.91575743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0</v>
      </c>
      <c r="P27" s="99" t="n">
        <f aca="false">MAX(N27,O27)</f>
        <v>0</v>
      </c>
      <c r="Q27" s="99" t="n">
        <f aca="false">MAX(0,L27-P27)</f>
        <v>2849462.91575743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6094.97209997379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78390.6078169858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78390.6078169858</v>
      </c>
      <c r="W27" s="99" t="n">
        <f aca="false">MIN(R27,T27)</f>
        <v>6094.97209997379</v>
      </c>
      <c r="X27" s="99" t="n">
        <f aca="false">MIN(U27,R27-W27)</f>
        <v>0</v>
      </c>
      <c r="Y27" s="99" t="n">
        <f aca="false">MIN(S27,V27)</f>
        <v>78390.6078169858</v>
      </c>
      <c r="Z27" s="99" t="n">
        <f aca="false">W27+X27+Y27</f>
        <v>84485.5799169596</v>
      </c>
      <c r="AA27" s="100" t="n">
        <f aca="false">Q27+W27+X27+Y27</f>
        <v>2933948.49567439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74</v>
      </c>
      <c r="E28" s="97" t="n">
        <f aca="false">HLOOKUP($B$6,'RetireUp Market Returns'!A:CT,(1+$B$7+C28),FALSE())</f>
        <v>0.0372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2933948.49567439</v>
      </c>
      <c r="K28" s="99" t="n">
        <f aca="false">J28*E28</f>
        <v>109142.884039087</v>
      </c>
      <c r="L28" s="99" t="n">
        <f aca="false">J28+K28</f>
        <v>3043091.37971348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0</v>
      </c>
      <c r="P28" s="99" t="n">
        <f aca="false">MAX(N28,O28)</f>
        <v>0</v>
      </c>
      <c r="Q28" s="99" t="n">
        <f aca="false">MAX(0,L28-P28)</f>
        <v>3043091.37971348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6216.87154197326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80380.8478729103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80380.8478729103</v>
      </c>
      <c r="W28" s="99" t="n">
        <f aca="false">MIN(R28,T28)</f>
        <v>6216.87154197326</v>
      </c>
      <c r="X28" s="99" t="n">
        <f aca="false">MIN(U28,R28-W28)</f>
        <v>0</v>
      </c>
      <c r="Y28" s="99" t="n">
        <f aca="false">MIN(S28,V28)</f>
        <v>80380.8478729103</v>
      </c>
      <c r="Z28" s="99" t="n">
        <f aca="false">W28+X28+Y28</f>
        <v>86597.7194148835</v>
      </c>
      <c r="AA28" s="100" t="n">
        <f aca="false">Q28+W28+X28+Y28</f>
        <v>3129689.09912836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75</v>
      </c>
      <c r="E29" s="97" t="n">
        <f aca="false">HLOOKUP($B$6,'RetireUp Market Returns'!A:CT,(1+$B$7+C29),FALSE())</f>
        <v>0.1006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3129689.09912836</v>
      </c>
      <c r="K29" s="99" t="n">
        <f aca="false">J29*E29</f>
        <v>314846.723372313</v>
      </c>
      <c r="L29" s="99" t="n">
        <f aca="false">J29+K29</f>
        <v>3444535.82250067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24.6</v>
      </c>
      <c r="N29" s="99" t="n">
        <f aca="false">IF($M29="-",0,J29/$M29)</f>
        <v>127223.134110909</v>
      </c>
      <c r="O29" s="99" t="n">
        <f aca="false">IF(D29&gt;$B$4,0,IF(D29&lt;$B$3,0,$B$8*(1+$B$10)^(C29-1)))</f>
        <v>0</v>
      </c>
      <c r="P29" s="99" t="n">
        <f aca="false">MAX(N29,O29)</f>
        <v>127223.134110909</v>
      </c>
      <c r="Q29" s="99" t="n">
        <f aca="false">MAX(0,L29-P29)</f>
        <v>3317312.68838976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6341.20897281273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82421.4534274429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82421.4534274429</v>
      </c>
      <c r="W29" s="99" t="n">
        <f aca="false">MIN(R29,T29)</f>
        <v>6341.20897281273</v>
      </c>
      <c r="X29" s="99" t="n">
        <f aca="false">MIN(U29,R29-W29)</f>
        <v>0</v>
      </c>
      <c r="Y29" s="99" t="n">
        <f aca="false">MIN(S29,V29)</f>
        <v>82421.4534274429</v>
      </c>
      <c r="Z29" s="99" t="n">
        <f aca="false">W29+X29+Y29</f>
        <v>88762.6624002556</v>
      </c>
      <c r="AA29" s="100" t="n">
        <f aca="false">Q29+W29+X29+Y29</f>
        <v>3406075.35079002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76</v>
      </c>
      <c r="E30" s="97" t="n">
        <f aca="false">HLOOKUP($B$6,'RetireUp Market Returns'!A:CT,(1+$B$7+C30),FALSE())</f>
        <v>0.0192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3406075.35079002</v>
      </c>
      <c r="K30" s="99" t="n">
        <f aca="false">J30*E30</f>
        <v>65396.6467351683</v>
      </c>
      <c r="L30" s="99" t="n">
        <f aca="false">J30+K30</f>
        <v>3471471.99752519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23.7</v>
      </c>
      <c r="N30" s="99" t="n">
        <f aca="false">IF($M30="-",0,J30/$M30)</f>
        <v>143716.259527005</v>
      </c>
      <c r="O30" s="99" t="n">
        <f aca="false">IF(D30&gt;$B$4,0,IF(D30&lt;$B$3,0,$B$8*(1+$B$10)^(C30-1)))</f>
        <v>137851.104485245</v>
      </c>
      <c r="P30" s="99" t="n">
        <f aca="false">MAX(N30,O30)</f>
        <v>143716.259527005</v>
      </c>
      <c r="Q30" s="99" t="n">
        <f aca="false">MAX(0,L30-P30)</f>
        <v>3327755.73799818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3327755.73799818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77</v>
      </c>
      <c r="E31" s="97" t="n">
        <f aca="false">HLOOKUP($B$6,'RetireUp Market Returns'!A:CT,(1+$B$7+C31),FALSE())</f>
        <v>0.0542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3327755.73799818</v>
      </c>
      <c r="K31" s="99" t="n">
        <f aca="false">J31*E31</f>
        <v>180364.360999501</v>
      </c>
      <c r="L31" s="99" t="n">
        <f aca="false">J31+K31</f>
        <v>3508120.09899768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22.9</v>
      </c>
      <c r="N31" s="99" t="n">
        <f aca="false">IF($M31="-",0,J31/$M31)</f>
        <v>145316.844454069</v>
      </c>
      <c r="O31" s="99" t="n">
        <f aca="false">IF(D31&gt;$B$4,0,IF(D31&lt;$B$3,0,$B$8*(1+$B$10)^(C31-1)))</f>
        <v>141297.382097377</v>
      </c>
      <c r="P31" s="99" t="n">
        <f aca="false">MAX(N31,O31)</f>
        <v>145316.844454069</v>
      </c>
      <c r="Q31" s="99" t="n">
        <f aca="false">MAX(0,L31-P31)</f>
        <v>3362803.25454361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3362803.25454361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78</v>
      </c>
      <c r="E32" s="97" t="n">
        <f aca="false">HLOOKUP($B$6,'RetireUp Market Returns'!A:CT,(1+$B$7+C32),FALSE())</f>
        <v>0.1128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3362803.25454361</v>
      </c>
      <c r="K32" s="99" t="n">
        <f aca="false">J32*E32</f>
        <v>379324.20711252</v>
      </c>
      <c r="L32" s="99" t="n">
        <f aca="false">J32+K32</f>
        <v>3742127.46165613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22</v>
      </c>
      <c r="N32" s="99" t="n">
        <f aca="false">IF($M32="-",0,J32/$M32)</f>
        <v>152854.693388346</v>
      </c>
      <c r="O32" s="99" t="n">
        <f aca="false">IF(D32&gt;$B$4,0,IF(D32&lt;$B$3,0,$B$8*(1+$B$10)^(C32-1)))</f>
        <v>144829.816649811</v>
      </c>
      <c r="P32" s="99" t="n">
        <f aca="false">MAX(N32,O32)</f>
        <v>152854.693388346</v>
      </c>
      <c r="Q32" s="99" t="n">
        <f aca="false">MAX(0,L32-P32)</f>
        <v>3589272.76826779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3589272.76826779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79</v>
      </c>
      <c r="E33" s="97" t="n">
        <f aca="false">HLOOKUP($B$6,'RetireUp Market Returns'!A:CT,(1+$B$7+C33),FALSE())</f>
        <v>0.0742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3589272.76826779</v>
      </c>
      <c r="K33" s="99" t="n">
        <f aca="false">J33*E33</f>
        <v>266324.03940547</v>
      </c>
      <c r="L33" s="99" t="n">
        <f aca="false">J33+K33</f>
        <v>3855596.80767326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21.1</v>
      </c>
      <c r="N33" s="99" t="n">
        <f aca="false">IF($M33="-",0,J33/$M33)</f>
        <v>170107.714135914</v>
      </c>
      <c r="O33" s="99" t="n">
        <f aca="false">IF(D33&gt;$B$4,0,IF(D33&lt;$B$3,0,$B$8*(1+$B$10)^(C33-1)))</f>
        <v>148450.562066056</v>
      </c>
      <c r="P33" s="99" t="n">
        <f aca="false">MAX(N33,O33)</f>
        <v>170107.714135914</v>
      </c>
      <c r="Q33" s="99" t="n">
        <f aca="false">MAX(0,L33-P33)</f>
        <v>3685489.09353734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3685489.09353734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80</v>
      </c>
      <c r="E34" s="97" t="n">
        <f aca="false">HLOOKUP($B$6,'RetireUp Market Returns'!A:CT,(1+$B$7+C34),FALSE())</f>
        <v>0.1183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3685489.09353734</v>
      </c>
      <c r="K34" s="99" t="n">
        <f aca="false">J34*E34</f>
        <v>435993.359765468</v>
      </c>
      <c r="L34" s="99" t="n">
        <f aca="false">J34+K34</f>
        <v>4121482.45330281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20.2</v>
      </c>
      <c r="N34" s="99" t="n">
        <f aca="false">IF($M34="-",0,J34/$M34)</f>
        <v>182449.955125611</v>
      </c>
      <c r="O34" s="99" t="n">
        <f aca="false">IF(D34&gt;$B$4,0,IF(D34&lt;$B$3,0,$B$8*(1+$B$10)^(C34-1)))</f>
        <v>152161.826117708</v>
      </c>
      <c r="P34" s="99" t="n">
        <f aca="false">MAX(N34,O34)</f>
        <v>182449.955125611</v>
      </c>
      <c r="Q34" s="99" t="n">
        <f aca="false">MAX(0,L34-P34)</f>
        <v>3939032.4981772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3939032.4981772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81</v>
      </c>
      <c r="E35" s="97" t="n">
        <f aca="false">HLOOKUP($B$6,'RetireUp Market Returns'!A:CT,(1+$B$7+C35),FALSE())</f>
        <v>0.0817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3939032.4981772</v>
      </c>
      <c r="K35" s="99" t="n">
        <f aca="false">J35*E35</f>
        <v>321818.955101077</v>
      </c>
      <c r="L35" s="99" t="n">
        <f aca="false">J35+K35</f>
        <v>4260851.45327828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19.4</v>
      </c>
      <c r="N35" s="99" t="n">
        <f aca="false">IF($M35="-",0,J35/$M35)</f>
        <v>203042.912277175</v>
      </c>
      <c r="O35" s="99" t="n">
        <f aca="false">IF(D35&gt;$B$4,0,IF(D35&lt;$B$3,0,$B$8*(1+$B$10)^(C35-1)))</f>
        <v>155965.87177065</v>
      </c>
      <c r="P35" s="99" t="n">
        <f aca="false">MAX(N35,O35)</f>
        <v>203042.912277175</v>
      </c>
      <c r="Q35" s="99" t="n">
        <f aca="false">MAX(0,L35-P35)</f>
        <v>4057808.5410011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4057808.5410011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82</v>
      </c>
      <c r="E36" s="97" t="n">
        <f aca="false">HLOOKUP($B$6,'RetireUp Market Returns'!A:CT,(1+$B$7+C36),FALSE())</f>
        <v>0.1008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4057808.5410011</v>
      </c>
      <c r="K36" s="99" t="n">
        <f aca="false">J36*E36</f>
        <v>409027.100932911</v>
      </c>
      <c r="L36" s="99" t="n">
        <f aca="false">J36+K36</f>
        <v>4466835.64193401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18.5</v>
      </c>
      <c r="N36" s="99" t="n">
        <f aca="false">IF($M36="-",0,J36/$M36)</f>
        <v>219341.002216276</v>
      </c>
      <c r="O36" s="99" t="n">
        <f aca="false">IF(D36&gt;$B$4,0,IF(D36&lt;$B$3,0,$B$8*(1+$B$10)^(C36-1)))</f>
        <v>159865.018564917</v>
      </c>
      <c r="P36" s="99" t="n">
        <f aca="false">MAX(N36,O36)</f>
        <v>219341.002216276</v>
      </c>
      <c r="Q36" s="99" t="n">
        <f aca="false">MAX(0,L36-P36)</f>
        <v>4247494.63971774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4247494.63971774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83</v>
      </c>
      <c r="E37" s="97" t="n">
        <f aca="false">HLOOKUP($B$6,'RetireUp Market Returns'!A:CT,(1+$B$7+C37),FALSE())</f>
        <v>-0.0124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4247494.63971774</v>
      </c>
      <c r="K37" s="99" t="n">
        <f aca="false">J37*E37</f>
        <v>-52668.9335324999</v>
      </c>
      <c r="L37" s="99" t="n">
        <f aca="false">J37+K37</f>
        <v>4194825.70618524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17.7</v>
      </c>
      <c r="N37" s="99" t="n">
        <f aca="false">IF($M37="-",0,J37/$M37)</f>
        <v>239971.448571624</v>
      </c>
      <c r="O37" s="99" t="n">
        <f aca="false">IF(D37&gt;$B$4,0,IF(D37&lt;$B$3,0,$B$8*(1+$B$10)^(C37-1)))</f>
        <v>163861.644029039</v>
      </c>
      <c r="P37" s="99" t="n">
        <f aca="false">MAX(N37,O37)</f>
        <v>239971.448571624</v>
      </c>
      <c r="Q37" s="99" t="n">
        <f aca="false">MAX(0,L37-P37)</f>
        <v>3954854.25761361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3954854.25761361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84</v>
      </c>
      <c r="E38" s="97" t="n">
        <f aca="false">HLOOKUP($B$6,'RetireUp Market Returns'!A:CT,(1+$B$7+C38),FALSE())</f>
        <v>0.1727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3954854.25761361</v>
      </c>
      <c r="K38" s="99" t="n">
        <f aca="false">J38*E38</f>
        <v>683003.330289871</v>
      </c>
      <c r="L38" s="99" t="n">
        <f aca="false">J38+K38</f>
        <v>4637857.58790348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16.8</v>
      </c>
      <c r="N38" s="99" t="n">
        <f aca="false">IF($M38="-",0,J38/$M38)</f>
        <v>235407.99152462</v>
      </c>
      <c r="O38" s="99" t="n">
        <f aca="false">IF(D38&gt;$B$4,0,IF(D38&lt;$B$3,0,$B$8*(1+$B$10)^(C38-1)))</f>
        <v>167958.185129765</v>
      </c>
      <c r="P38" s="99" t="n">
        <f aca="false">MAX(N38,O38)</f>
        <v>235407.99152462</v>
      </c>
      <c r="Q38" s="99" t="n">
        <f aca="false">MAX(0,L38-P38)</f>
        <v>4402449.59637886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4402449.59637886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85</v>
      </c>
      <c r="E39" s="97" t="n">
        <f aca="false">HLOOKUP($B$6,'RetireUp Market Returns'!A:CT,(1+$B$7+C39),FALSE())</f>
        <v>0.0174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4402449.59637886</v>
      </c>
      <c r="K39" s="99" t="n">
        <f aca="false">J39*E39</f>
        <v>76602.6229769922</v>
      </c>
      <c r="L39" s="99" t="n">
        <f aca="false">J39+K39</f>
        <v>4479052.21935586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16</v>
      </c>
      <c r="N39" s="99" t="n">
        <f aca="false">IF($M39="-",0,J39/$M39)</f>
        <v>275153.099773679</v>
      </c>
      <c r="O39" s="99" t="n">
        <f aca="false">IF(D39&gt;$B$4,0,IF(D39&lt;$B$3,0,$B$8*(1+$B$10)^(C39-1)))</f>
        <v>172157.13975801</v>
      </c>
      <c r="P39" s="99" t="n">
        <f aca="false">MAX(N39,O39)</f>
        <v>275153.099773679</v>
      </c>
      <c r="Q39" s="99" t="n">
        <f aca="false">MAX(0,L39-P39)</f>
        <v>4203899.11958218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4203899.11958218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86</v>
      </c>
      <c r="E40" s="97" t="n">
        <f aca="false">HLOOKUP($B$6,'RetireUp Market Returns'!A:CT,(1+$B$7+C40),FALSE())</f>
        <v>0.0542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4203899.11958218</v>
      </c>
      <c r="K40" s="99" t="n">
        <f aca="false">J40*E40</f>
        <v>227851.332281354</v>
      </c>
      <c r="L40" s="99" t="n">
        <f aca="false">J40+K40</f>
        <v>4431750.45186353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15.2</v>
      </c>
      <c r="N40" s="99" t="n">
        <f aca="false">IF($M40="-",0,J40/$M40)</f>
        <v>276572.310498828</v>
      </c>
      <c r="O40" s="99" t="n">
        <f aca="false">IF(D40&gt;$B$4,0,IF(D40&lt;$B$3,0,$B$8*(1+$B$10)^(C40-1)))</f>
        <v>176461.06825196</v>
      </c>
      <c r="P40" s="99" t="n">
        <f aca="false">MAX(N40,O40)</f>
        <v>276572.310498828</v>
      </c>
      <c r="Q40" s="99" t="n">
        <f aca="false">MAX(0,L40-P40)</f>
        <v>4155178.1413647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4155178.1413647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87</v>
      </c>
      <c r="E41" s="97" t="n">
        <f aca="false">HLOOKUP($B$6,'RetireUp Market Returns'!A:CT,(1+$B$7+C41),FALSE())</f>
        <v>0.0525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4155178.1413647</v>
      </c>
      <c r="K41" s="99" t="n">
        <f aca="false">J41*E41</f>
        <v>218146.852421647</v>
      </c>
      <c r="L41" s="99" t="n">
        <f aca="false">J41+K41</f>
        <v>4373324.99378635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14.4</v>
      </c>
      <c r="N41" s="99" t="n">
        <f aca="false">IF($M41="-",0,J41/$M41)</f>
        <v>288554.037594771</v>
      </c>
      <c r="O41" s="99" t="n">
        <f aca="false">IF(D41&gt;$B$4,0,IF(D41&lt;$B$3,0,$B$8*(1+$B$10)^(C41-1)))</f>
        <v>180872.594958259</v>
      </c>
      <c r="P41" s="99" t="n">
        <f aca="false">MAX(N41,O41)</f>
        <v>288554.037594771</v>
      </c>
      <c r="Q41" s="99" t="n">
        <f aca="false">MAX(0,L41-P41)</f>
        <v>4084770.95619158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4084770.95619158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88</v>
      </c>
      <c r="E42" s="97" t="n">
        <f aca="false">HLOOKUP($B$6,'RetireUp Market Returns'!A:CT,(1+$B$7+C42),FALSE())</f>
        <v>-0.048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4084770.95619158</v>
      </c>
      <c r="K42" s="99" t="n">
        <f aca="false">J42*E42</f>
        <v>-196069.005897196</v>
      </c>
      <c r="L42" s="99" t="n">
        <f aca="false">J42+K42</f>
        <v>3888701.95029438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13.7</v>
      </c>
      <c r="N42" s="99" t="n">
        <f aca="false">IF($M42="-",0,J42/$M42)</f>
        <v>298158.46395559</v>
      </c>
      <c r="O42" s="99" t="n">
        <f aca="false">IF(D42&gt;$B$4,0,IF(D42&lt;$B$3,0,$B$8*(1+$B$10)^(C42-1)))</f>
        <v>185394.409832215</v>
      </c>
      <c r="P42" s="99" t="n">
        <f aca="false">MAX(N42,O42)</f>
        <v>298158.46395559</v>
      </c>
      <c r="Q42" s="99" t="n">
        <f aca="false">MAX(0,L42-P42)</f>
        <v>3590543.48633879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3590543.48633879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89</v>
      </c>
      <c r="E43" s="97" t="n">
        <f aca="false">HLOOKUP($B$6,'RetireUp Market Returns'!A:CT,(1+$B$7+C43),FALSE())</f>
        <v>-0.0382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3590543.48633879</v>
      </c>
      <c r="K43" s="99" t="n">
        <f aca="false">J43*E43</f>
        <v>-137158.761178142</v>
      </c>
      <c r="L43" s="99" t="n">
        <f aca="false">J43+K43</f>
        <v>3453384.72516065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12.9</v>
      </c>
      <c r="N43" s="99" t="n">
        <f aca="false">IF($M43="-",0,J43/$M43)</f>
        <v>278336.704367348</v>
      </c>
      <c r="O43" s="99" t="n">
        <f aca="false">IF(D43&gt;$B$4,0,IF(D43&lt;$B$3,0,$B$8*(1+$B$10)^(C43-1)))</f>
        <v>190029.270078021</v>
      </c>
      <c r="P43" s="99" t="n">
        <f aca="false">MAX(N43,O43)</f>
        <v>278336.704367348</v>
      </c>
      <c r="Q43" s="99" t="n">
        <f aca="false">MAX(0,L43-P43)</f>
        <v>3175048.0207933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3175048.0207933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90</v>
      </c>
      <c r="E44" s="97" t="n">
        <f aca="false">HLOOKUP($B$6,'RetireUp Market Returns'!A:CT,(1+$B$7+C44),FALSE())</f>
        <v>0.0314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3175048.0207933</v>
      </c>
      <c r="K44" s="99" t="n">
        <f aca="false">J44*E44</f>
        <v>99696.5078529098</v>
      </c>
      <c r="L44" s="99" t="n">
        <f aca="false">J44+K44</f>
        <v>3274744.52864621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12.2</v>
      </c>
      <c r="N44" s="99" t="n">
        <f aca="false">IF($M44="-",0,J44/$M44)</f>
        <v>260249.837769943</v>
      </c>
      <c r="O44" s="99" t="n">
        <f aca="false">IF(D44&gt;$B$4,0,IF(D44&lt;$B$3,0,$B$8*(1+$B$10)^(C44-1)))</f>
        <v>194780.001829971</v>
      </c>
      <c r="P44" s="99" t="n">
        <f aca="false">MAX(N44,O44)</f>
        <v>260249.837769943</v>
      </c>
      <c r="Q44" s="99" t="n">
        <f aca="false">MAX(0,L44-P44)</f>
        <v>3014494.69087627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3014494.69087627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0.0725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3014494.69087627</v>
      </c>
      <c r="K45" s="99" t="n">
        <f aca="false">J45*E45</f>
        <v>218550.86508853</v>
      </c>
      <c r="L45" s="99" t="n">
        <f aca="false">J45+K45</f>
        <v>3233045.5559648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3233045.5559648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3233045.5559648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-0.1482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3233045.5559648</v>
      </c>
      <c r="K46" s="99" t="n">
        <f aca="false">J46*E46</f>
        <v>-479137.351393983</v>
      </c>
      <c r="L46" s="99" t="n">
        <f aca="false">J46+K46</f>
        <v>2753908.20457082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2753908.20457082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2753908.20457082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0.0488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2753908.20457082</v>
      </c>
      <c r="K47" s="99" t="n">
        <f aca="false">J47*E47</f>
        <v>134390.720383056</v>
      </c>
      <c r="L47" s="99" t="n">
        <f aca="false">J47+K47</f>
        <v>2888298.92495387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2888298.92495387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2888298.92495387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0.0078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2888298.92495387</v>
      </c>
      <c r="K48" s="99" t="n">
        <f aca="false">J48*E48</f>
        <v>22528.7316146402</v>
      </c>
      <c r="L48" s="99" t="n">
        <f aca="false">J48+K48</f>
        <v>2910827.65656851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2910827.65656851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2910827.65656851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0.1738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2910827.65656851</v>
      </c>
      <c r="K49" s="99" t="n">
        <f aca="false">J49*E49</f>
        <v>505901.846711608</v>
      </c>
      <c r="L49" s="99" t="n">
        <f aca="false">J49+K49</f>
        <v>3416729.50328012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3416729.50328012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3416729.50328012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0.1013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3416729.50328012</v>
      </c>
      <c r="K50" s="99" t="n">
        <f aca="false">J50*E50</f>
        <v>346114.698682276</v>
      </c>
      <c r="L50" s="99" t="n">
        <f aca="false">J50+K50</f>
        <v>3762844.2019624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3762844.2019624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3762844.2019624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0.1187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3762844.2019624</v>
      </c>
      <c r="K51" s="99" t="n">
        <f aca="false">J51*E51</f>
        <v>446649.606772937</v>
      </c>
      <c r="L51" s="99" t="n">
        <f aca="false">J51+K51</f>
        <v>4209493.80873533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4209493.80873533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4209493.80873533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0.0517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4209493.80873533</v>
      </c>
      <c r="K52" s="99" t="n">
        <f aca="false">J52*E52</f>
        <v>217630.829911617</v>
      </c>
      <c r="L52" s="99" t="n">
        <f aca="false">J52+K52</f>
        <v>4427124.63864695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4427124.63864695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4427124.63864695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0.0663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4427124.63864695</v>
      </c>
      <c r="K53" s="99" t="n">
        <f aca="false">J53*E53</f>
        <v>293518.363542293</v>
      </c>
      <c r="L53" s="99" t="n">
        <f aca="false">J53+K53</f>
        <v>4720643.00218924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4720643.00218924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4720643.00218924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-0.031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4720643.00218924</v>
      </c>
      <c r="K54" s="99" t="n">
        <f aca="false">J54*E54</f>
        <v>-146339.933067867</v>
      </c>
      <c r="L54" s="99" t="n">
        <f aca="false">J54+K54</f>
        <v>4574303.06912138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4574303.06912138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4574303.06912138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20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63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Match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401k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401k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1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0.08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36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172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401k with % of Salary / Match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63</v>
      </c>
      <c r="E17" s="97" t="n">
        <f aca="false">HLOOKUP($B$6,'RetireUp Market Returns'!A:CT,(1+$B$7+C17),FALSE())</f>
        <v>-0.0467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-93400</v>
      </c>
      <c r="L17" s="99" t="n">
        <f aca="false">J17+K17</f>
        <v>1906600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1906600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61000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5000</v>
      </c>
      <c r="Z17" s="99" t="n">
        <f aca="false">W17+X17+Y17</f>
        <v>10000</v>
      </c>
      <c r="AA17" s="100" t="n">
        <f aca="false">Q17+Z17</f>
        <v>1916600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64</v>
      </c>
      <c r="E18" s="97" t="n">
        <f aca="false">HLOOKUP($B$6,'RetireUp Market Returns'!A:CT,(1+$B$7+C18),FALSE())</f>
        <v>-0.0708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1916600</v>
      </c>
      <c r="K18" s="99" t="n">
        <f aca="false">J18*E18</f>
        <v>-135695.28</v>
      </c>
      <c r="L18" s="99" t="n">
        <f aca="false">J18+K18</f>
        <v>1780904.72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1780904.72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62550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5100</v>
      </c>
      <c r="Z18" s="99" t="n">
        <f aca="false">W18+X18+Y18</f>
        <v>10200</v>
      </c>
      <c r="AA18" s="100" t="n">
        <f aca="false">Q18+W18+X18+Y18</f>
        <v>1791104.72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65</v>
      </c>
      <c r="E19" s="97" t="n">
        <f aca="false">HLOOKUP($B$6,'RetireUp Market Returns'!A:CT,(1+$B$7+C19),FALSE())</f>
        <v>-0.1348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1791104.72</v>
      </c>
      <c r="K19" s="99" t="n">
        <f aca="false">J19*E19</f>
        <v>-241440.916256</v>
      </c>
      <c r="L19" s="99" t="n">
        <f aca="false">J19+K19</f>
        <v>1549663.803744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1549663.803744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64139.25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5202</v>
      </c>
      <c r="Z19" s="99" t="n">
        <f aca="false">W19+X19+Y19</f>
        <v>10404</v>
      </c>
      <c r="AA19" s="100" t="n">
        <f aca="false">Q19+W19+X19+Y19</f>
        <v>1560067.803744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66</v>
      </c>
      <c r="E20" s="97" t="n">
        <f aca="false">HLOOKUP($B$6,'RetireUp Market Returns'!A:CT,(1+$B$7+C20),FALSE())</f>
        <v>0.0758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1560067.803744</v>
      </c>
      <c r="K20" s="99" t="n">
        <f aca="false">J20*E20</f>
        <v>118253.139523795</v>
      </c>
      <c r="L20" s="99" t="n">
        <f aca="false">J20+K20</f>
        <v>1678320.9432678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1678320.9432678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65768.74125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5306.04</v>
      </c>
      <c r="Z20" s="99" t="n">
        <f aca="false">W20+X20+Y20</f>
        <v>10612.08</v>
      </c>
      <c r="AA20" s="100" t="n">
        <f aca="false">Q20+W20+X20+Y20</f>
        <v>1688933.0232678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67</v>
      </c>
      <c r="E21" s="97" t="n">
        <f aca="false">HLOOKUP($B$6,'RetireUp Market Returns'!A:CT,(1+$B$7+C21),FALSE())</f>
        <v>0.0433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1688933.0232678</v>
      </c>
      <c r="K21" s="99" t="n">
        <f aca="false">J21*E21</f>
        <v>73130.7999074955</v>
      </c>
      <c r="L21" s="99" t="n">
        <f aca="false">J21+K21</f>
        <v>1762063.82317529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1762063.82317529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5412.1608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5412.1608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67439.48998125</v>
      </c>
      <c r="W21" s="99" t="n">
        <f aca="false">MIN(R21,T21)</f>
        <v>5412.1608</v>
      </c>
      <c r="X21" s="99" t="n">
        <f aca="false">MIN(U21,R21-W21)</f>
        <v>0</v>
      </c>
      <c r="Y21" s="99" t="n">
        <f aca="false">MIN(S21,V21)</f>
        <v>5412.1608</v>
      </c>
      <c r="Z21" s="99" t="n">
        <f aca="false">W21+X21+Y21</f>
        <v>10824.3216</v>
      </c>
      <c r="AA21" s="100" t="n">
        <f aca="false">Q21+W21+X21+Y21</f>
        <v>1772888.14477529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68</v>
      </c>
      <c r="E22" s="97" t="n">
        <f aca="false">HLOOKUP($B$6,'RetireUp Market Returns'!A:CT,(1+$B$7+C22),FALSE())</f>
        <v>0.1008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1772888.14477529</v>
      </c>
      <c r="K22" s="99" t="n">
        <f aca="false">J22*E22</f>
        <v>178707.124993349</v>
      </c>
      <c r="L22" s="99" t="n">
        <f aca="false">J22+K22</f>
        <v>1951595.26976864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1951595.26976864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5520.404016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5520.404016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69152.5380347812</v>
      </c>
      <c r="W22" s="99" t="n">
        <f aca="false">MIN(R22,T22)</f>
        <v>5520.404016</v>
      </c>
      <c r="X22" s="99" t="n">
        <f aca="false">MIN(U22,R22-W22)</f>
        <v>0</v>
      </c>
      <c r="Y22" s="99" t="n">
        <f aca="false">MIN(S22,V22)</f>
        <v>5520.404016</v>
      </c>
      <c r="Z22" s="99" t="n">
        <f aca="false">W22+X22+Y22</f>
        <v>11040.808032</v>
      </c>
      <c r="AA22" s="100" t="n">
        <f aca="false">Q22+W22+X22+Y22</f>
        <v>1962636.07780064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69</v>
      </c>
      <c r="E23" s="97" t="n">
        <f aca="false">HLOOKUP($B$6,'RetireUp Market Returns'!A:CT,(1+$B$7+C23),FALSE())</f>
        <v>0.0842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1962636.07780064</v>
      </c>
      <c r="K23" s="99" t="n">
        <f aca="false">J23*E23</f>
        <v>165253.957750814</v>
      </c>
      <c r="L23" s="99" t="n">
        <f aca="false">J23+K23</f>
        <v>2127890.03555145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2127890.03555145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5630.81209632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5630.81209632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70908.9535057307</v>
      </c>
      <c r="W23" s="99" t="n">
        <f aca="false">MIN(R23,T23)</f>
        <v>5630.81209632</v>
      </c>
      <c r="X23" s="99" t="n">
        <f aca="false">MIN(U23,R23-W23)</f>
        <v>0</v>
      </c>
      <c r="Y23" s="99" t="n">
        <f aca="false">MIN(S23,V23)</f>
        <v>5630.81209632</v>
      </c>
      <c r="Z23" s="99" t="n">
        <f aca="false">W23+X23+Y23</f>
        <v>11261.62419264</v>
      </c>
      <c r="AA23" s="100" t="n">
        <f aca="false">Q23+W23+X23+Y23</f>
        <v>2139151.65974409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70</v>
      </c>
      <c r="E24" s="97" t="n">
        <f aca="false">HLOOKUP($B$6,'RetireUp Market Returns'!A:CT,(1+$B$7+C24),FALSE())</f>
        <v>0.0817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2139151.65974409</v>
      </c>
      <c r="K24" s="99" t="n">
        <f aca="false">J24*E24</f>
        <v>174768.690601092</v>
      </c>
      <c r="L24" s="99" t="n">
        <f aca="false">J24+K24</f>
        <v>2313920.35034519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2313920.35034519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5743.4283382464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5743.4283382464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72709.8314038556</v>
      </c>
      <c r="W24" s="99" t="n">
        <f aca="false">MIN(R24,T24)</f>
        <v>5743.4283382464</v>
      </c>
      <c r="X24" s="99" t="n">
        <f aca="false">MIN(U24,R24-W24)</f>
        <v>0</v>
      </c>
      <c r="Y24" s="99" t="n">
        <f aca="false">MIN(S24,V24)</f>
        <v>5743.4283382464</v>
      </c>
      <c r="Z24" s="99" t="n">
        <f aca="false">W24+X24+Y24</f>
        <v>11486.8566764928</v>
      </c>
      <c r="AA24" s="100" t="n">
        <f aca="false">Q24+W24+X24+Y24</f>
        <v>2325407.20702168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71</v>
      </c>
      <c r="E25" s="97" t="n">
        <f aca="false">HLOOKUP($B$6,'RetireUp Market Returns'!A:CT,(1+$B$7+C25),FALSE())</f>
        <v>-0.2108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2325407.20702168</v>
      </c>
      <c r="K25" s="99" t="n">
        <f aca="false">J25*E25</f>
        <v>-490195.83924017</v>
      </c>
      <c r="L25" s="99" t="n">
        <f aca="false">J25+K25</f>
        <v>1835211.36778151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1835211.36778151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5858.29690501133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5858.29690501133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74556.2943306432</v>
      </c>
      <c r="W25" s="99" t="n">
        <f aca="false">MIN(R25,T25)</f>
        <v>5858.29690501133</v>
      </c>
      <c r="X25" s="99" t="n">
        <f aca="false">MIN(U25,R25-W25)</f>
        <v>0</v>
      </c>
      <c r="Y25" s="99" t="n">
        <f aca="false">MIN(S25,V25)</f>
        <v>5858.29690501133</v>
      </c>
      <c r="Z25" s="99" t="n">
        <f aca="false">W25+X25+Y25</f>
        <v>11716.5938100227</v>
      </c>
      <c r="AA25" s="100" t="n">
        <f aca="false">Q25+W25+X25+Y25</f>
        <v>1846927.96159153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72</v>
      </c>
      <c r="E26" s="97" t="n">
        <f aca="false">HLOOKUP($B$6,'RetireUp Market Returns'!A:CT,(1+$B$7+C26),FALSE())</f>
        <v>0.11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1846927.96159153</v>
      </c>
      <c r="K26" s="99" t="n">
        <f aca="false">J26*E26</f>
        <v>203162.075775068</v>
      </c>
      <c r="L26" s="99" t="n">
        <f aca="false">J26+K26</f>
        <v>2050090.0373666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0</v>
      </c>
      <c r="P26" s="99" t="n">
        <f aca="false">MAX(N26,O26)</f>
        <v>0</v>
      </c>
      <c r="Q26" s="99" t="n">
        <f aca="false">MAX(0,L26-P26)</f>
        <v>2050090.0373666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5975.46284311156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5975.46284311156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76449.4931734343</v>
      </c>
      <c r="W26" s="99" t="n">
        <f aca="false">MIN(R26,T26)</f>
        <v>5975.46284311156</v>
      </c>
      <c r="X26" s="99" t="n">
        <f aca="false">MIN(U26,R26-W26)</f>
        <v>0</v>
      </c>
      <c r="Y26" s="99" t="n">
        <f aca="false">MIN(S26,V26)</f>
        <v>5975.46284311156</v>
      </c>
      <c r="Z26" s="99" t="n">
        <f aca="false">W26+X26+Y26</f>
        <v>11950.9256862231</v>
      </c>
      <c r="AA26" s="100" t="n">
        <f aca="false">Q26+W26+X26+Y26</f>
        <v>2062040.96305282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73</v>
      </c>
      <c r="E27" s="97" t="n">
        <f aca="false">HLOOKUP($B$6,'RetireUp Market Returns'!A:CT,(1+$B$7+C27),FALSE())</f>
        <v>0.0433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2062040.96305282</v>
      </c>
      <c r="K27" s="99" t="n">
        <f aca="false">J27*E27</f>
        <v>89286.3737001872</v>
      </c>
      <c r="L27" s="99" t="n">
        <f aca="false">J27+K27</f>
        <v>2151327.33675301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0</v>
      </c>
      <c r="P27" s="99" t="n">
        <f aca="false">MAX(N27,O27)</f>
        <v>0</v>
      </c>
      <c r="Q27" s="99" t="n">
        <f aca="false">MAX(0,L27-P27)</f>
        <v>2151327.33675301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6094.97209997379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6094.97209997379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78390.6078169858</v>
      </c>
      <c r="W27" s="99" t="n">
        <f aca="false">MIN(R27,T27)</f>
        <v>6094.97209997379</v>
      </c>
      <c r="X27" s="99" t="n">
        <f aca="false">MIN(U27,R27-W27)</f>
        <v>0</v>
      </c>
      <c r="Y27" s="99" t="n">
        <f aca="false">MIN(S27,V27)</f>
        <v>6094.97209997379</v>
      </c>
      <c r="Z27" s="99" t="n">
        <f aca="false">W27+X27+Y27</f>
        <v>12189.9441999476</v>
      </c>
      <c r="AA27" s="100" t="n">
        <f aca="false">Q27+W27+X27+Y27</f>
        <v>2163517.28095296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74</v>
      </c>
      <c r="E28" s="97" t="n">
        <f aca="false">HLOOKUP($B$6,'RetireUp Market Returns'!A:CT,(1+$B$7+C28),FALSE())</f>
        <v>0.0372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2163517.28095296</v>
      </c>
      <c r="K28" s="99" t="n">
        <f aca="false">J28*E28</f>
        <v>80482.84285145</v>
      </c>
      <c r="L28" s="99" t="n">
        <f aca="false">J28+K28</f>
        <v>2244000.12380441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0</v>
      </c>
      <c r="P28" s="99" t="n">
        <f aca="false">MAX(N28,O28)</f>
        <v>0</v>
      </c>
      <c r="Q28" s="99" t="n">
        <f aca="false">MAX(0,L28-P28)</f>
        <v>2244000.12380441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6216.87154197326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6216.87154197326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80380.8478729103</v>
      </c>
      <c r="W28" s="99" t="n">
        <f aca="false">MIN(R28,T28)</f>
        <v>6216.87154197326</v>
      </c>
      <c r="X28" s="99" t="n">
        <f aca="false">MIN(U28,R28-W28)</f>
        <v>0</v>
      </c>
      <c r="Y28" s="99" t="n">
        <f aca="false">MIN(S28,V28)</f>
        <v>6216.87154197326</v>
      </c>
      <c r="Z28" s="99" t="n">
        <f aca="false">W28+X28+Y28</f>
        <v>12433.7430839465</v>
      </c>
      <c r="AA28" s="100" t="n">
        <f aca="false">Q28+W28+X28+Y28</f>
        <v>2256433.86688835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75</v>
      </c>
      <c r="E29" s="97" t="n">
        <f aca="false">HLOOKUP($B$6,'RetireUp Market Returns'!A:CT,(1+$B$7+C29),FALSE())</f>
        <v>0.1006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2256433.86688835</v>
      </c>
      <c r="K29" s="99" t="n">
        <f aca="false">J29*E29</f>
        <v>226997.247008968</v>
      </c>
      <c r="L29" s="99" t="n">
        <f aca="false">J29+K29</f>
        <v>2483431.11389732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24.6</v>
      </c>
      <c r="N29" s="99" t="n">
        <f aca="false">IF($M29="-",0,J29/$M29)</f>
        <v>91724.953938551</v>
      </c>
      <c r="O29" s="99" t="n">
        <f aca="false">IF(D29&gt;$B$4,0,IF(D29&lt;$B$3,0,$B$8*(1+$B$10)^(C29-1)))</f>
        <v>0</v>
      </c>
      <c r="P29" s="99" t="n">
        <f aca="false">MAX(N29,O29)</f>
        <v>91724.953938551</v>
      </c>
      <c r="Q29" s="99" t="n">
        <f aca="false">MAX(0,L29-P29)</f>
        <v>2391706.15995877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6341.20897281273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6341.20897281273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82421.4534274429</v>
      </c>
      <c r="W29" s="99" t="n">
        <f aca="false">MIN(R29,T29)</f>
        <v>6341.20897281273</v>
      </c>
      <c r="X29" s="99" t="n">
        <f aca="false">MIN(U29,R29-W29)</f>
        <v>0</v>
      </c>
      <c r="Y29" s="99" t="n">
        <f aca="false">MIN(S29,V29)</f>
        <v>6341.20897281273</v>
      </c>
      <c r="Z29" s="99" t="n">
        <f aca="false">W29+X29+Y29</f>
        <v>12682.4179456255</v>
      </c>
      <c r="AA29" s="100" t="n">
        <f aca="false">Q29+W29+X29+Y29</f>
        <v>2404388.5779044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76</v>
      </c>
      <c r="E30" s="97" t="n">
        <f aca="false">HLOOKUP($B$6,'RetireUp Market Returns'!A:CT,(1+$B$7+C30),FALSE())</f>
        <v>0.0192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2404388.5779044</v>
      </c>
      <c r="K30" s="99" t="n">
        <f aca="false">J30*E30</f>
        <v>46164.2606957644</v>
      </c>
      <c r="L30" s="99" t="n">
        <f aca="false">J30+K30</f>
        <v>2450552.83860016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23.7</v>
      </c>
      <c r="N30" s="99" t="n">
        <f aca="false">IF($M30="-",0,J30/$M30)</f>
        <v>101450.994848287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2312701.73411492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2312701.73411492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77</v>
      </c>
      <c r="E31" s="97" t="n">
        <f aca="false">HLOOKUP($B$6,'RetireUp Market Returns'!A:CT,(1+$B$7+C31),FALSE())</f>
        <v>0.0542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2312701.73411492</v>
      </c>
      <c r="K31" s="99" t="n">
        <f aca="false">J31*E31</f>
        <v>125348.433989028</v>
      </c>
      <c r="L31" s="99" t="n">
        <f aca="false">J31+K31</f>
        <v>2438050.16810394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22.9</v>
      </c>
      <c r="N31" s="99" t="n">
        <f aca="false">IF($M31="-",0,J31/$M31)</f>
        <v>100991.342101088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2296752.78600657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2296752.78600657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78</v>
      </c>
      <c r="E32" s="97" t="n">
        <f aca="false">HLOOKUP($B$6,'RetireUp Market Returns'!A:CT,(1+$B$7+C32),FALSE())</f>
        <v>0.1128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2296752.78600657</v>
      </c>
      <c r="K32" s="99" t="n">
        <f aca="false">J32*E32</f>
        <v>259073.714261541</v>
      </c>
      <c r="L32" s="99" t="n">
        <f aca="false">J32+K32</f>
        <v>2555826.50026811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22</v>
      </c>
      <c r="N32" s="99" t="n">
        <f aca="false">IF($M32="-",0,J32/$M32)</f>
        <v>104397.853909389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2410996.6836183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2410996.6836183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79</v>
      </c>
      <c r="E33" s="97" t="n">
        <f aca="false">HLOOKUP($B$6,'RetireUp Market Returns'!A:CT,(1+$B$7+C33),FALSE())</f>
        <v>0.0742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2410996.6836183</v>
      </c>
      <c r="K33" s="99" t="n">
        <f aca="false">J33*E33</f>
        <v>178895.953924478</v>
      </c>
      <c r="L33" s="99" t="n">
        <f aca="false">J33+K33</f>
        <v>2589892.63754278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21.1</v>
      </c>
      <c r="N33" s="99" t="n">
        <f aca="false">IF($M33="-",0,J33/$M33)</f>
        <v>114265.245669114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2441442.07547672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2441442.07547672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80</v>
      </c>
      <c r="E34" s="97" t="n">
        <f aca="false">HLOOKUP($B$6,'RetireUp Market Returns'!A:CT,(1+$B$7+C34),FALSE())</f>
        <v>0.1183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2441442.07547672</v>
      </c>
      <c r="K34" s="99" t="n">
        <f aca="false">J34*E34</f>
        <v>288822.597528896</v>
      </c>
      <c r="L34" s="99" t="n">
        <f aca="false">J34+K34</f>
        <v>2730264.67300562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20.2</v>
      </c>
      <c r="N34" s="99" t="n">
        <f aca="false">IF($M34="-",0,J34/$M34)</f>
        <v>120863.469083006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2578102.84688791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2578102.84688791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81</v>
      </c>
      <c r="E35" s="97" t="n">
        <f aca="false">HLOOKUP($B$6,'RetireUp Market Returns'!A:CT,(1+$B$7+C35),FALSE())</f>
        <v>0.0817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2578102.84688791</v>
      </c>
      <c r="K35" s="99" t="n">
        <f aca="false">J35*E35</f>
        <v>210631.002590742</v>
      </c>
      <c r="L35" s="99" t="n">
        <f aca="false">J35+K35</f>
        <v>2788733.84947865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19.4</v>
      </c>
      <c r="N35" s="99" t="n">
        <f aca="false">IF($M35="-",0,J35/$M35)</f>
        <v>132891.899324119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2632767.977708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2632767.977708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82</v>
      </c>
      <c r="E36" s="97" t="n">
        <f aca="false">HLOOKUP($B$6,'RetireUp Market Returns'!A:CT,(1+$B$7+C36),FALSE())</f>
        <v>0.1008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2632767.977708</v>
      </c>
      <c r="K36" s="99" t="n">
        <f aca="false">J36*E36</f>
        <v>265383.012152966</v>
      </c>
      <c r="L36" s="99" t="n">
        <f aca="false">J36+K36</f>
        <v>2898150.98986097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18.5</v>
      </c>
      <c r="N36" s="99" t="n">
        <f aca="false">IF($M36="-",0,J36/$M36)</f>
        <v>142311.782578811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2738285.97129605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2738285.97129605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83</v>
      </c>
      <c r="E37" s="97" t="n">
        <f aca="false">HLOOKUP($B$6,'RetireUp Market Returns'!A:CT,(1+$B$7+C37),FALSE())</f>
        <v>-0.0124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2738285.97129605</v>
      </c>
      <c r="K37" s="99" t="n">
        <f aca="false">J37*E37</f>
        <v>-33954.746044071</v>
      </c>
      <c r="L37" s="99" t="n">
        <f aca="false">J37+K37</f>
        <v>2704331.22525198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17.7</v>
      </c>
      <c r="N37" s="99" t="n">
        <f aca="false">IF($M37="-",0,J37/$M37)</f>
        <v>154705.422107121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2540469.58122294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2540469.58122294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84</v>
      </c>
      <c r="E38" s="97" t="n">
        <f aca="false">HLOOKUP($B$6,'RetireUp Market Returns'!A:CT,(1+$B$7+C38),FALSE())</f>
        <v>0.1727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2540469.58122294</v>
      </c>
      <c r="K38" s="99" t="n">
        <f aca="false">J38*E38</f>
        <v>438739.096677202</v>
      </c>
      <c r="L38" s="99" t="n">
        <f aca="false">J38+K38</f>
        <v>2979208.67790014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16.8</v>
      </c>
      <c r="N38" s="99" t="n">
        <f aca="false">IF($M38="-",0,J38/$M38)</f>
        <v>151218.427453746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2811250.49277038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2811250.49277038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85</v>
      </c>
      <c r="E39" s="97" t="n">
        <f aca="false">HLOOKUP($B$6,'RetireUp Market Returns'!A:CT,(1+$B$7+C39),FALSE())</f>
        <v>0.0174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2811250.49277038</v>
      </c>
      <c r="K39" s="99" t="n">
        <f aca="false">J39*E39</f>
        <v>48915.7585742045</v>
      </c>
      <c r="L39" s="99" t="n">
        <f aca="false">J39+K39</f>
        <v>2860166.25134458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16</v>
      </c>
      <c r="N39" s="99" t="n">
        <f aca="false">IF($M39="-",0,J39/$M39)</f>
        <v>175703.155798148</v>
      </c>
      <c r="O39" s="99" t="n">
        <f aca="false">IF(D39&gt;$B$4,0,IF(D39&lt;$B$3,0,$B$8*(1+$B$10)^(C39-1)))</f>
        <v>172157.13975801</v>
      </c>
      <c r="P39" s="99" t="n">
        <f aca="false">MAX(N39,O39)</f>
        <v>175703.155798148</v>
      </c>
      <c r="Q39" s="99" t="n">
        <f aca="false">MAX(0,L39-P39)</f>
        <v>2684463.09554643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2684463.09554643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86</v>
      </c>
      <c r="E40" s="97" t="n">
        <f aca="false">HLOOKUP($B$6,'RetireUp Market Returns'!A:CT,(1+$B$7+C40),FALSE())</f>
        <v>0.0542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2684463.09554643</v>
      </c>
      <c r="K40" s="99" t="n">
        <f aca="false">J40*E40</f>
        <v>145497.899778617</v>
      </c>
      <c r="L40" s="99" t="n">
        <f aca="false">J40+K40</f>
        <v>2829960.99532505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15.2</v>
      </c>
      <c r="N40" s="99" t="n">
        <f aca="false">IF($M40="-",0,J40/$M40)</f>
        <v>176609.414180686</v>
      </c>
      <c r="O40" s="99" t="n">
        <f aca="false">IF(D40&gt;$B$4,0,IF(D40&lt;$B$3,0,$B$8*(1+$B$10)^(C40-1)))</f>
        <v>176461.06825196</v>
      </c>
      <c r="P40" s="99" t="n">
        <f aca="false">MAX(N40,O40)</f>
        <v>176609.414180686</v>
      </c>
      <c r="Q40" s="99" t="n">
        <f aca="false">MAX(0,L40-P40)</f>
        <v>2653351.58114436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2653351.58114436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87</v>
      </c>
      <c r="E41" s="97" t="n">
        <f aca="false">HLOOKUP($B$6,'RetireUp Market Returns'!A:CT,(1+$B$7+C41),FALSE())</f>
        <v>0.0525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2653351.58114436</v>
      </c>
      <c r="K41" s="99" t="n">
        <f aca="false">J41*E41</f>
        <v>139300.958010079</v>
      </c>
      <c r="L41" s="99" t="n">
        <f aca="false">J41+K41</f>
        <v>2792652.53915444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14.4</v>
      </c>
      <c r="N41" s="99" t="n">
        <f aca="false">IF($M41="-",0,J41/$M41)</f>
        <v>184260.526468358</v>
      </c>
      <c r="O41" s="99" t="n">
        <f aca="false">IF(D41&gt;$B$4,0,IF(D41&lt;$B$3,0,$B$8*(1+$B$10)^(C41-1)))</f>
        <v>180872.594958259</v>
      </c>
      <c r="P41" s="99" t="n">
        <f aca="false">MAX(N41,O41)</f>
        <v>184260.526468358</v>
      </c>
      <c r="Q41" s="99" t="n">
        <f aca="false">MAX(0,L41-P41)</f>
        <v>2608392.01268608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2608392.01268608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88</v>
      </c>
      <c r="E42" s="97" t="n">
        <f aca="false">HLOOKUP($B$6,'RetireUp Market Returns'!A:CT,(1+$B$7+C42),FALSE())</f>
        <v>-0.048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2608392.01268608</v>
      </c>
      <c r="K42" s="99" t="n">
        <f aca="false">J42*E42</f>
        <v>-125202.816608932</v>
      </c>
      <c r="L42" s="99" t="n">
        <f aca="false">J42+K42</f>
        <v>2483189.19607715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13.7</v>
      </c>
      <c r="N42" s="99" t="n">
        <f aca="false">IF($M42="-",0,J42/$M42)</f>
        <v>190393.577568327</v>
      </c>
      <c r="O42" s="99" t="n">
        <f aca="false">IF(D42&gt;$B$4,0,IF(D42&lt;$B$3,0,$B$8*(1+$B$10)^(C42-1)))</f>
        <v>185394.409832215</v>
      </c>
      <c r="P42" s="99" t="n">
        <f aca="false">MAX(N42,O42)</f>
        <v>190393.577568327</v>
      </c>
      <c r="Q42" s="99" t="n">
        <f aca="false">MAX(0,L42-P42)</f>
        <v>2292795.61850882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2292795.61850882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89</v>
      </c>
      <c r="E43" s="97" t="n">
        <f aca="false">HLOOKUP($B$6,'RetireUp Market Returns'!A:CT,(1+$B$7+C43),FALSE())</f>
        <v>-0.0382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2292795.61850882</v>
      </c>
      <c r="K43" s="99" t="n">
        <f aca="false">J43*E43</f>
        <v>-87584.7926270371</v>
      </c>
      <c r="L43" s="99" t="n">
        <f aca="false">J43+K43</f>
        <v>2205210.82588179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12.9</v>
      </c>
      <c r="N43" s="99" t="n">
        <f aca="false">IF($M43="-",0,J43/$M43)</f>
        <v>177736.094458048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2015181.55580377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2015181.55580377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90</v>
      </c>
      <c r="E44" s="97" t="n">
        <f aca="false">HLOOKUP($B$6,'RetireUp Market Returns'!A:CT,(1+$B$7+C44),FALSE())</f>
        <v>0.0314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2015181.55580377</v>
      </c>
      <c r="K44" s="99" t="n">
        <f aca="false">J44*E44</f>
        <v>63276.7008522383</v>
      </c>
      <c r="L44" s="99" t="n">
        <f aca="false">J44+K44</f>
        <v>2078458.256656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12.2</v>
      </c>
      <c r="N44" s="99" t="n">
        <f aca="false">IF($M44="-",0,J44/$M44)</f>
        <v>165178.816049489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1883678.25482603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1883678.25482603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0.0725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1883678.25482603</v>
      </c>
      <c r="K45" s="99" t="n">
        <f aca="false">J45*E45</f>
        <v>136566.673474887</v>
      </c>
      <c r="L45" s="99" t="n">
        <f aca="false">J45+K45</f>
        <v>2020244.92830092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2020244.92830092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2020244.92830092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-0.1482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2020244.92830092</v>
      </c>
      <c r="K46" s="99" t="n">
        <f aca="false">J46*E46</f>
        <v>-299400.298374196</v>
      </c>
      <c r="L46" s="99" t="n">
        <f aca="false">J46+K46</f>
        <v>1720844.62992672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1720844.62992672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1720844.62992672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0.0488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1720844.62992672</v>
      </c>
      <c r="K47" s="99" t="n">
        <f aca="false">J47*E47</f>
        <v>83977.2179404242</v>
      </c>
      <c r="L47" s="99" t="n">
        <f aca="false">J47+K47</f>
        <v>1804821.84786715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1804821.84786715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1804821.84786715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0.0078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1804821.84786715</v>
      </c>
      <c r="K48" s="99" t="n">
        <f aca="false">J48*E48</f>
        <v>14077.6104133638</v>
      </c>
      <c r="L48" s="99" t="n">
        <f aca="false">J48+K48</f>
        <v>1818899.45828051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1818899.45828051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1818899.45828051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0.1738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1818899.45828051</v>
      </c>
      <c r="K49" s="99" t="n">
        <f aca="false">J49*E49</f>
        <v>316124.725849153</v>
      </c>
      <c r="L49" s="99" t="n">
        <f aca="false">J49+K49</f>
        <v>2135024.18412966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2135024.18412966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2135024.18412966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0.1013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2135024.18412966</v>
      </c>
      <c r="K50" s="99" t="n">
        <f aca="false">J50*E50</f>
        <v>216277.949852335</v>
      </c>
      <c r="L50" s="99" t="n">
        <f aca="false">J50+K50</f>
        <v>2351302.133982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2351302.133982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2351302.133982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0.1187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2351302.133982</v>
      </c>
      <c r="K51" s="99" t="n">
        <f aca="false">J51*E51</f>
        <v>279099.563303663</v>
      </c>
      <c r="L51" s="99" t="n">
        <f aca="false">J51+K51</f>
        <v>2630401.69728566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2630401.69728566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2630401.69728566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0.0517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2630401.69728566</v>
      </c>
      <c r="K52" s="99" t="n">
        <f aca="false">J52*E52</f>
        <v>135991.767749669</v>
      </c>
      <c r="L52" s="99" t="n">
        <f aca="false">J52+K52</f>
        <v>2766393.46503533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2766393.46503533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2766393.46503533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0.0663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2766393.46503533</v>
      </c>
      <c r="K53" s="99" t="n">
        <f aca="false">J53*E53</f>
        <v>183411.886731843</v>
      </c>
      <c r="L53" s="99" t="n">
        <f aca="false">J53+K53</f>
        <v>2949805.35176717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2949805.35176717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2949805.35176717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-0.031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2949805.35176717</v>
      </c>
      <c r="K54" s="99" t="n">
        <f aca="false">J54*E54</f>
        <v>-91443.9659047824</v>
      </c>
      <c r="L54" s="99" t="n">
        <f aca="false">J54+K54</f>
        <v>2858361.38586239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2858361.38586239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2858361.38586239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21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65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Maximum Allowable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403b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403b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Maximum Allowable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0.08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173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403b with Maximum Allowable / Maximum Allowable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65</v>
      </c>
      <c r="E17" s="97" t="n">
        <f aca="false">HLOOKUP($B$6,'RetireUp Market Returns'!A:CT,(1+$B$7+C17),FALSE())</f>
        <v>0.1459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291800</v>
      </c>
      <c r="L17" s="99" t="n">
        <f aca="false">J17+K17</f>
        <v>2291800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2291800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30000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43500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43500</v>
      </c>
      <c r="W17" s="99" t="n">
        <f aca="false">MIN(R17,T17)</f>
        <v>22500</v>
      </c>
      <c r="X17" s="99" t="n">
        <f aca="false">MIN(U17,R17-W17)</f>
        <v>7500</v>
      </c>
      <c r="Y17" s="99" t="n">
        <f aca="false">MIN(S17,V17)</f>
        <v>43500</v>
      </c>
      <c r="Z17" s="99" t="n">
        <f aca="false">W17+X17+Y17</f>
        <v>73500</v>
      </c>
      <c r="AA17" s="100" t="n">
        <f aca="false">Q17+Z17</f>
        <v>2365300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66</v>
      </c>
      <c r="E18" s="97" t="n">
        <f aca="false">HLOOKUP($B$6,'RetireUp Market Returns'!A:CT,(1+$B$7+C18),FALSE())</f>
        <v>0.0767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2365300</v>
      </c>
      <c r="K18" s="99" t="n">
        <f aca="false">J18*E18</f>
        <v>181418.51</v>
      </c>
      <c r="L18" s="99" t="n">
        <f aca="false">J18+K18</f>
        <v>2546718.51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2546718.51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30750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44587.5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44587.5</v>
      </c>
      <c r="W18" s="99" t="n">
        <f aca="false">MIN(R18,T18)</f>
        <v>23062.5</v>
      </c>
      <c r="X18" s="99" t="n">
        <f aca="false">MIN(U18,R18-W18)</f>
        <v>7687.5</v>
      </c>
      <c r="Y18" s="99" t="n">
        <f aca="false">MIN(S18,V18)</f>
        <v>44587.5</v>
      </c>
      <c r="Z18" s="99" t="n">
        <f aca="false">W18+X18+Y18</f>
        <v>75337.5</v>
      </c>
      <c r="AA18" s="100" t="n">
        <f aca="false">Q18+W18+X18+Y18</f>
        <v>2622056.01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67</v>
      </c>
      <c r="E19" s="97" t="n">
        <f aca="false">HLOOKUP($B$6,'RetireUp Market Returns'!A:CT,(1+$B$7+C19),FALSE())</f>
        <v>0.0341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2622056.01</v>
      </c>
      <c r="K19" s="99" t="n">
        <f aca="false">J19*E19</f>
        <v>89412.109941</v>
      </c>
      <c r="L19" s="99" t="n">
        <f aca="false">J19+K19</f>
        <v>2711468.119941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2711468.119941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31518.75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45702.1875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45702.1875</v>
      </c>
      <c r="W19" s="99" t="n">
        <f aca="false">MIN(R19,T19)</f>
        <v>23639.0625</v>
      </c>
      <c r="X19" s="99" t="n">
        <f aca="false">MIN(U19,R19-W19)</f>
        <v>7879.6875</v>
      </c>
      <c r="Y19" s="99" t="n">
        <f aca="false">MIN(S19,V19)</f>
        <v>45702.1875</v>
      </c>
      <c r="Z19" s="99" t="n">
        <f aca="false">W19+X19+Y19</f>
        <v>77220.9375</v>
      </c>
      <c r="AA19" s="100" t="n">
        <f aca="false">Q19+W19+X19+Y19</f>
        <v>2788689.057441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68</v>
      </c>
      <c r="E20" s="97" t="n">
        <f aca="false">HLOOKUP($B$6,'RetireUp Market Returns'!A:CT,(1+$B$7+C20),FALSE())</f>
        <v>0.176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2788689.057441</v>
      </c>
      <c r="K20" s="99" t="n">
        <f aca="false">J20*E20</f>
        <v>490809.274109616</v>
      </c>
      <c r="L20" s="99" t="n">
        <f aca="false">J20+K20</f>
        <v>3279498.33155062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3279498.33155062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32306.71875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46844.7421875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46844.7421875</v>
      </c>
      <c r="W20" s="99" t="n">
        <f aca="false">MIN(R20,T20)</f>
        <v>24230.0390625</v>
      </c>
      <c r="X20" s="99" t="n">
        <f aca="false">MIN(U20,R20-W20)</f>
        <v>8076.6796875</v>
      </c>
      <c r="Y20" s="99" t="n">
        <f aca="false">MIN(S20,V20)</f>
        <v>46844.7421875</v>
      </c>
      <c r="Z20" s="99" t="n">
        <f aca="false">W20+X20+Y20</f>
        <v>79151.4609375</v>
      </c>
      <c r="AA20" s="100" t="n">
        <f aca="false">Q20+W20+X20+Y20</f>
        <v>3358649.79248812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69</v>
      </c>
      <c r="E21" s="97" t="n">
        <f aca="false">HLOOKUP($B$6,'RetireUp Market Returns'!A:CT,(1+$B$7+C21),FALSE())</f>
        <v>0.1283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3358649.79248812</v>
      </c>
      <c r="K21" s="99" t="n">
        <f aca="false">J21*E21</f>
        <v>430914.768376225</v>
      </c>
      <c r="L21" s="99" t="n">
        <f aca="false">J21+K21</f>
        <v>3789564.56086434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3789564.56086434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33114.38671875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48015.8607421875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48015.8607421875</v>
      </c>
      <c r="W21" s="99" t="n">
        <f aca="false">MIN(R21,T21)</f>
        <v>24835.7900390625</v>
      </c>
      <c r="X21" s="99" t="n">
        <f aca="false">MIN(U21,R21-W21)</f>
        <v>8278.5966796875</v>
      </c>
      <c r="Y21" s="99" t="n">
        <f aca="false">MIN(S21,V21)</f>
        <v>48015.8607421875</v>
      </c>
      <c r="Z21" s="99" t="n">
        <f aca="false">W21+X21+Y21</f>
        <v>81130.2474609375</v>
      </c>
      <c r="AA21" s="100" t="n">
        <f aca="false">Q21+W21+X21+Y21</f>
        <v>3870694.80832528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70</v>
      </c>
      <c r="E22" s="97" t="n">
        <f aca="false">HLOOKUP($B$6,'RetireUp Market Returns'!A:CT,(1+$B$7+C22),FALSE())</f>
        <v>0.1308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3870694.80832528</v>
      </c>
      <c r="K22" s="99" t="n">
        <f aca="false">J22*E22</f>
        <v>506286.880928947</v>
      </c>
      <c r="L22" s="99" t="n">
        <f aca="false">J22+K22</f>
        <v>4376981.68925423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4376981.68925423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33942.2463867187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49216.2572607422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49216.2572607422</v>
      </c>
      <c r="W22" s="99" t="n">
        <f aca="false">MIN(R22,T22)</f>
        <v>25456.684790039</v>
      </c>
      <c r="X22" s="99" t="n">
        <f aca="false">MIN(U22,R22-W22)</f>
        <v>8485.56159667968</v>
      </c>
      <c r="Y22" s="99" t="n">
        <f aca="false">MIN(S22,V22)</f>
        <v>49216.2572607422</v>
      </c>
      <c r="Z22" s="99" t="n">
        <f aca="false">W22+X22+Y22</f>
        <v>83158.5036474609</v>
      </c>
      <c r="AA22" s="100" t="n">
        <f aca="false">Q22+W22+X22+Y22</f>
        <v>4460140.19290169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71</v>
      </c>
      <c r="E23" s="97" t="n">
        <f aca="false">HLOOKUP($B$6,'RetireUp Market Returns'!A:CT,(1+$B$7+C23),FALSE())</f>
        <v>0.1613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4460140.19290169</v>
      </c>
      <c r="K23" s="99" t="n">
        <f aca="false">J23*E23</f>
        <v>719420.613115042</v>
      </c>
      <c r="L23" s="99" t="n">
        <f aca="false">J23+K23</f>
        <v>5179560.80601673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5179560.80601673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34790.8025463867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50446.6636922607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50446.6636922607</v>
      </c>
      <c r="W23" s="99" t="n">
        <f aca="false">MIN(R23,T23)</f>
        <v>26093.10190979</v>
      </c>
      <c r="X23" s="99" t="n">
        <f aca="false">MIN(U23,R23-W23)</f>
        <v>8697.70063659668</v>
      </c>
      <c r="Y23" s="99" t="n">
        <f aca="false">MIN(S23,V23)</f>
        <v>50446.6636922607</v>
      </c>
      <c r="Z23" s="99" t="n">
        <f aca="false">W23+X23+Y23</f>
        <v>85237.4662386474</v>
      </c>
      <c r="AA23" s="100" t="n">
        <f aca="false">Q23+W23+X23+Y23</f>
        <v>5264798.27225538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72</v>
      </c>
      <c r="E24" s="97" t="n">
        <f aca="false">HLOOKUP($B$6,'RetireUp Market Returns'!A:CT,(1+$B$7+C24),FALSE())</f>
        <v>-0.0787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5264798.27225538</v>
      </c>
      <c r="K24" s="99" t="n">
        <f aca="false">J24*E24</f>
        <v>-414339.624026498</v>
      </c>
      <c r="L24" s="99" t="n">
        <f aca="false">J24+K24</f>
        <v>4850458.64822888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4850458.64822888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35660.5726100464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51707.8302845672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51707.8302845672</v>
      </c>
      <c r="W24" s="99" t="n">
        <f aca="false">MIN(R24,T24)</f>
        <v>26745.4294575348</v>
      </c>
      <c r="X24" s="99" t="n">
        <f aca="false">MIN(U24,R24-W24)</f>
        <v>8915.14315251159</v>
      </c>
      <c r="Y24" s="99" t="n">
        <f aca="false">MIN(S24,V24)</f>
        <v>51707.8302845672</v>
      </c>
      <c r="Z24" s="99" t="n">
        <f aca="false">W24+X24+Y24</f>
        <v>87368.4028946136</v>
      </c>
      <c r="AA24" s="100" t="n">
        <f aca="false">Q24+W24+X24+Y24</f>
        <v>4937827.05112349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73</v>
      </c>
      <c r="E25" s="97" t="n">
        <f aca="false">HLOOKUP($B$6,'RetireUp Market Returns'!A:CT,(1+$B$7+C25),FALSE())</f>
        <v>0.0196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4937827.05112349</v>
      </c>
      <c r="K25" s="99" t="n">
        <f aca="false">J25*E25</f>
        <v>96781.4102020205</v>
      </c>
      <c r="L25" s="99" t="n">
        <f aca="false">J25+K25</f>
        <v>5034608.46132551</v>
      </c>
      <c r="M25" s="101" t="n">
        <f aca="false">IF(D25="-","-",IF($F$4="Roth","-",IF($E$3="Health Savings Account","-",IF(AND(A25=2033,D25=74),VLOOKUP(D25,Tables!G:H,2,FALSE()),IF(AND(A25&gt;2032,D25&lt;75),"-",IF(D25&lt;73,"-",VLOOKUP(D25,Tables!G:H,2,FALSE())))))))</f>
        <v>26.5</v>
      </c>
      <c r="N25" s="99" t="n">
        <f aca="false">IF($M25="-",0,J25/$M25)</f>
        <v>186333.096268811</v>
      </c>
      <c r="O25" s="99" t="n">
        <f aca="false">IF(D25&gt;$B$4,0,IF(D25&lt;$B$3,0,$B$8*(1+$B$10)^(C25-1)))</f>
        <v>0</v>
      </c>
      <c r="P25" s="99" t="n">
        <f aca="false">MAX(N25,O25)</f>
        <v>186333.096268811</v>
      </c>
      <c r="Q25" s="99" t="n">
        <f aca="false">MAX(0,L25-P25)</f>
        <v>4848275.3650567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36552.0869252975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53000.5260416814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53000.5260416814</v>
      </c>
      <c r="W25" s="99" t="n">
        <f aca="false">MIN(R25,T25)</f>
        <v>27414.0651939731</v>
      </c>
      <c r="X25" s="99" t="n">
        <f aca="false">MIN(U25,R25-W25)</f>
        <v>9138.02173132438</v>
      </c>
      <c r="Y25" s="99" t="n">
        <f aca="false">MIN(S25,V25)</f>
        <v>53000.5260416814</v>
      </c>
      <c r="Z25" s="99" t="n">
        <f aca="false">W25+X25+Y25</f>
        <v>89552.6129669789</v>
      </c>
      <c r="AA25" s="100" t="n">
        <f aca="false">Q25+W25+X25+Y25</f>
        <v>4937827.97802368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74</v>
      </c>
      <c r="E26" s="97" t="n">
        <f aca="false">HLOOKUP($B$6,'RetireUp Market Returns'!A:CT,(1+$B$7+C26),FALSE())</f>
        <v>0.1025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4937827.97802368</v>
      </c>
      <c r="K26" s="99" t="n">
        <f aca="false">J26*E26</f>
        <v>506127.367747427</v>
      </c>
      <c r="L26" s="99" t="n">
        <f aca="false">J26+K26</f>
        <v>5443955.34577111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25.5</v>
      </c>
      <c r="N26" s="99" t="n">
        <f aca="false">IF($M26="-",0,J26/$M26)</f>
        <v>193640.312863674</v>
      </c>
      <c r="O26" s="99" t="n">
        <f aca="false">IF(D26&gt;$B$4,0,IF(D26&lt;$B$3,0,$B$8*(1+$B$10)^(C26-1)))</f>
        <v>0</v>
      </c>
      <c r="P26" s="99" t="n">
        <f aca="false">MAX(N26,O26)</f>
        <v>193640.312863674</v>
      </c>
      <c r="Q26" s="99" t="n">
        <f aca="false">MAX(0,L26-P26)</f>
        <v>5250315.03290743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37465.88909843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54325.5391927234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54325.5391927234</v>
      </c>
      <c r="W26" s="99" t="n">
        <f aca="false">MIN(R26,T26)</f>
        <v>28099.4168238225</v>
      </c>
      <c r="X26" s="99" t="n">
        <f aca="false">MIN(U26,R26-W26)</f>
        <v>9366.47227460749</v>
      </c>
      <c r="Y26" s="99" t="n">
        <f aca="false">MIN(S26,V26)</f>
        <v>54325.5391927234</v>
      </c>
      <c r="Z26" s="99" t="n">
        <f aca="false">W26+X26+Y26</f>
        <v>91791.4282911534</v>
      </c>
      <c r="AA26" s="100" t="n">
        <f aca="false">Q26+W26+X26+Y26</f>
        <v>5342106.46119859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75</v>
      </c>
      <c r="E27" s="97" t="n">
        <f aca="false">HLOOKUP($B$6,'RetireUp Market Returns'!A:CT,(1+$B$7+C27),FALSE())</f>
        <v>0.1713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5342106.46119859</v>
      </c>
      <c r="K27" s="99" t="n">
        <f aca="false">J27*E27</f>
        <v>915102.836803318</v>
      </c>
      <c r="L27" s="99" t="n">
        <f aca="false">J27+K27</f>
        <v>6257209.29800191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24.6</v>
      </c>
      <c r="N27" s="99" t="n">
        <f aca="false">IF($M27="-",0,J27/$M27)</f>
        <v>217158.799235715</v>
      </c>
      <c r="O27" s="99" t="n">
        <f aca="false">IF(D27&gt;$B$4,0,IF(D27&lt;$B$3,0,$B$8*(1+$B$10)^(C27-1)))</f>
        <v>0</v>
      </c>
      <c r="P27" s="99" t="n">
        <f aca="false">MAX(N27,O27)</f>
        <v>217158.799235715</v>
      </c>
      <c r="Q27" s="99" t="n">
        <f aca="false">MAX(0,L27-P27)</f>
        <v>6040050.49876619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38402.5363258907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55683.6776725415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55683.6776725415</v>
      </c>
      <c r="W27" s="99" t="n">
        <f aca="false">MIN(R27,T27)</f>
        <v>28801.902244418</v>
      </c>
      <c r="X27" s="99" t="n">
        <f aca="false">MIN(U27,R27-W27)</f>
        <v>9600.63408147268</v>
      </c>
      <c r="Y27" s="99" t="n">
        <f aca="false">MIN(S27,V27)</f>
        <v>55683.6776725415</v>
      </c>
      <c r="Z27" s="99" t="n">
        <f aca="false">W27+X27+Y27</f>
        <v>94086.2139984322</v>
      </c>
      <c r="AA27" s="100" t="n">
        <f aca="false">Q27+W27+X27+Y27</f>
        <v>6134136.71276462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76</v>
      </c>
      <c r="E28" s="97" t="n">
        <f aca="false">HLOOKUP($B$6,'RetireUp Market Returns'!A:CT,(1+$B$7+C28),FALSE())</f>
        <v>0.1041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6134136.71276462</v>
      </c>
      <c r="K28" s="99" t="n">
        <f aca="false">J28*E28</f>
        <v>638563.631798797</v>
      </c>
      <c r="L28" s="99" t="n">
        <f aca="false">J28+K28</f>
        <v>6772700.34456342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23.7</v>
      </c>
      <c r="N28" s="99" t="n">
        <f aca="false">IF($M28="-",0,J28/$M28)</f>
        <v>258824.333871925</v>
      </c>
      <c r="O28" s="99" t="n">
        <f aca="false">IF(D28&gt;$B$4,0,IF(D28&lt;$B$3,0,$B$8*(1+$B$10)^(C28-1)))</f>
        <v>131208.665780127</v>
      </c>
      <c r="P28" s="99" t="n">
        <f aca="false">MAX(N28,O28)</f>
        <v>258824.333871925</v>
      </c>
      <c r="Q28" s="99" t="n">
        <f aca="false">MAX(0,L28-P28)</f>
        <v>6513876.01069149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6513876.01069149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77</v>
      </c>
      <c r="E29" s="97" t="n">
        <f aca="false">HLOOKUP($B$6,'RetireUp Market Returns'!A:CT,(1+$B$7+C29),FALSE())</f>
        <v>0.128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6513876.01069149</v>
      </c>
      <c r="K29" s="99" t="n">
        <f aca="false">J29*E29</f>
        <v>833776.129368511</v>
      </c>
      <c r="L29" s="99" t="n">
        <f aca="false">J29+K29</f>
        <v>7347652.14006001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22.9</v>
      </c>
      <c r="N29" s="99" t="n">
        <f aca="false">IF($M29="-",0,J29/$M29)</f>
        <v>284448.734091332</v>
      </c>
      <c r="O29" s="99" t="n">
        <f aca="false">IF(D29&gt;$B$4,0,IF(D29&lt;$B$3,0,$B$8*(1+$B$10)^(C29-1)))</f>
        <v>134488.88242463</v>
      </c>
      <c r="P29" s="99" t="n">
        <f aca="false">MAX(N29,O29)</f>
        <v>284448.734091332</v>
      </c>
      <c r="Q29" s="99" t="n">
        <f aca="false">MAX(0,L29-P29)</f>
        <v>7063203.40596867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7063203.40596867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78</v>
      </c>
      <c r="E30" s="97" t="n">
        <f aca="false">HLOOKUP($B$6,'RetireUp Market Returns'!A:CT,(1+$B$7+C30),FALSE())</f>
        <v>0.0497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7063203.40596867</v>
      </c>
      <c r="K30" s="99" t="n">
        <f aca="false">J30*E30</f>
        <v>351041.209276643</v>
      </c>
      <c r="L30" s="99" t="n">
        <f aca="false">J30+K30</f>
        <v>7414244.61524532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</v>
      </c>
      <c r="N30" s="99" t="n">
        <f aca="false">IF($M30="-",0,J30/$M30)</f>
        <v>321054.700271303</v>
      </c>
      <c r="O30" s="99" t="n">
        <f aca="false">IF(D30&gt;$B$4,0,IF(D30&lt;$B$3,0,$B$8*(1+$B$10)^(C30-1)))</f>
        <v>137851.104485245</v>
      </c>
      <c r="P30" s="99" t="n">
        <f aca="false">MAX(N30,O30)</f>
        <v>321054.700271303</v>
      </c>
      <c r="Q30" s="99" t="n">
        <f aca="false">MAX(0,L30-P30)</f>
        <v>7093189.91497401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7093189.91497401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79</v>
      </c>
      <c r="E31" s="97" t="n">
        <f aca="false">HLOOKUP($B$6,'RetireUp Market Returns'!A:CT,(1+$B$7+C31),FALSE())</f>
        <v>0.0901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7093189.91497401</v>
      </c>
      <c r="K31" s="99" t="n">
        <f aca="false">J31*E31</f>
        <v>639096.411339159</v>
      </c>
      <c r="L31" s="99" t="n">
        <f aca="false">J31+K31</f>
        <v>7732286.32631317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21.1</v>
      </c>
      <c r="N31" s="99" t="n">
        <f aca="false">IF($M31="-",0,J31/$M31)</f>
        <v>336170.138150427</v>
      </c>
      <c r="O31" s="99" t="n">
        <f aca="false">IF(D31&gt;$B$4,0,IF(D31&lt;$B$3,0,$B$8*(1+$B$10)^(C31-1)))</f>
        <v>141297.382097377</v>
      </c>
      <c r="P31" s="99" t="n">
        <f aca="false">MAX(N31,O31)</f>
        <v>336170.138150427</v>
      </c>
      <c r="Q31" s="99" t="n">
        <f aca="false">MAX(0,L31-P31)</f>
        <v>7396116.18816275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7396116.18816275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80</v>
      </c>
      <c r="E32" s="97" t="n">
        <f aca="false">HLOOKUP($B$6,'RetireUp Market Returns'!A:CT,(1+$B$7+C32),FALSE())</f>
        <v>0.0435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7396116.18816275</v>
      </c>
      <c r="K32" s="99" t="n">
        <f aca="false">J32*E32</f>
        <v>321731.054185079</v>
      </c>
      <c r="L32" s="99" t="n">
        <f aca="false">J32+K32</f>
        <v>7717847.24234783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20.2</v>
      </c>
      <c r="N32" s="99" t="n">
        <f aca="false">IF($M32="-",0,J32/$M32)</f>
        <v>366144.365750631</v>
      </c>
      <c r="O32" s="99" t="n">
        <f aca="false">IF(D32&gt;$B$4,0,IF(D32&lt;$B$3,0,$B$8*(1+$B$10)^(C32-1)))</f>
        <v>144829.816649811</v>
      </c>
      <c r="P32" s="99" t="n">
        <f aca="false">MAX(N32,O32)</f>
        <v>366144.365750631</v>
      </c>
      <c r="Q32" s="99" t="n">
        <f aca="false">MAX(0,L32-P32)</f>
        <v>7351702.87659719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7351702.87659719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81</v>
      </c>
      <c r="E33" s="97" t="n">
        <f aca="false">HLOOKUP($B$6,'RetireUp Market Returns'!A:CT,(1+$B$7+C33),FALSE())</f>
        <v>0.2636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7351702.87659719</v>
      </c>
      <c r="K33" s="99" t="n">
        <f aca="false">J33*E33</f>
        <v>1937908.87827102</v>
      </c>
      <c r="L33" s="99" t="n">
        <f aca="false">J33+K33</f>
        <v>9289611.75486822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19.4</v>
      </c>
      <c r="N33" s="99" t="n">
        <f aca="false">IF($M33="-",0,J33/$M33)</f>
        <v>378953.756525629</v>
      </c>
      <c r="O33" s="99" t="n">
        <f aca="false">IF(D33&gt;$B$4,0,IF(D33&lt;$B$3,0,$B$8*(1+$B$10)^(C33-1)))</f>
        <v>148450.562066056</v>
      </c>
      <c r="P33" s="99" t="n">
        <f aca="false">MAX(N33,O33)</f>
        <v>378953.756525629</v>
      </c>
      <c r="Q33" s="99" t="n">
        <f aca="false">MAX(0,L33-P33)</f>
        <v>8910657.99834259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8910657.99834259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82</v>
      </c>
      <c r="E34" s="97" t="n">
        <f aca="false">HLOOKUP($B$6,'RetireUp Market Returns'!A:CT,(1+$B$7+C34),FALSE())</f>
        <v>-0.108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8910657.99834259</v>
      </c>
      <c r="K34" s="99" t="n">
        <f aca="false">J34*E34</f>
        <v>-962351.063820999</v>
      </c>
      <c r="L34" s="99" t="n">
        <f aca="false">J34+K34</f>
        <v>7948306.93452159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18.5</v>
      </c>
      <c r="N34" s="99" t="n">
        <f aca="false">IF($M34="-",0,J34/$M34)</f>
        <v>481657.189099599</v>
      </c>
      <c r="O34" s="99" t="n">
        <f aca="false">IF(D34&gt;$B$4,0,IF(D34&lt;$B$3,0,$B$8*(1+$B$10)^(C34-1)))</f>
        <v>152161.826117708</v>
      </c>
      <c r="P34" s="99" t="n">
        <f aca="false">MAX(N34,O34)</f>
        <v>481657.189099599</v>
      </c>
      <c r="Q34" s="99" t="n">
        <f aca="false">MAX(0,L34-P34)</f>
        <v>7466649.74542199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7466649.74542199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83</v>
      </c>
      <c r="E35" s="97" t="n">
        <f aca="false">HLOOKUP($B$6,'RetireUp Market Returns'!A:CT,(1+$B$7+C35),FALSE())</f>
        <v>0.2124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7466649.74542199</v>
      </c>
      <c r="K35" s="99" t="n">
        <f aca="false">J35*E35</f>
        <v>1585916.40592763</v>
      </c>
      <c r="L35" s="99" t="n">
        <f aca="false">J35+K35</f>
        <v>9052566.15134962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17.7</v>
      </c>
      <c r="N35" s="99" t="n">
        <f aca="false">IF($M35="-",0,J35/$M35)</f>
        <v>421844.618385423</v>
      </c>
      <c r="O35" s="99" t="n">
        <f aca="false">IF(D35&gt;$B$4,0,IF(D35&lt;$B$3,0,$B$8*(1+$B$10)^(C35-1)))</f>
        <v>155965.87177065</v>
      </c>
      <c r="P35" s="99" t="n">
        <f aca="false">MAX(N35,O35)</f>
        <v>421844.618385423</v>
      </c>
      <c r="Q35" s="99" t="n">
        <f aca="false">MAX(0,L35-P35)</f>
        <v>8630721.5329642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8630721.5329642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84</v>
      </c>
      <c r="E36" s="97" t="n">
        <f aca="false">HLOOKUP($B$6,'RetireUp Market Returns'!A:CT,(1+$B$7+C36),FALSE())</f>
        <v>0.0733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8630721.5329642</v>
      </c>
      <c r="K36" s="99" t="n">
        <f aca="false">J36*E36</f>
        <v>632631.888366276</v>
      </c>
      <c r="L36" s="99" t="n">
        <f aca="false">J36+K36</f>
        <v>9263353.42133047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16.8</v>
      </c>
      <c r="N36" s="99" t="n">
        <f aca="false">IF($M36="-",0,J36/$M36)</f>
        <v>513733.424581202</v>
      </c>
      <c r="O36" s="99" t="n">
        <f aca="false">IF(D36&gt;$B$4,0,IF(D36&lt;$B$3,0,$B$8*(1+$B$10)^(C36-1)))</f>
        <v>159865.018564917</v>
      </c>
      <c r="P36" s="99" t="n">
        <f aca="false">MAX(N36,O36)</f>
        <v>513733.424581202</v>
      </c>
      <c r="Q36" s="99" t="n">
        <f aca="false">MAX(0,L36-P36)</f>
        <v>8749619.99674927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8749619.99674927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85</v>
      </c>
      <c r="E37" s="97" t="n">
        <f aca="false">HLOOKUP($B$6,'RetireUp Market Returns'!A:CT,(1+$B$7+C37),FALSE())</f>
        <v>0.1447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8749619.99674927</v>
      </c>
      <c r="K37" s="99" t="n">
        <f aca="false">J37*E37</f>
        <v>1266070.01352962</v>
      </c>
      <c r="L37" s="99" t="n">
        <f aca="false">J37+K37</f>
        <v>10015690.0102789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</v>
      </c>
      <c r="N37" s="99" t="n">
        <f aca="false">IF($M37="-",0,J37/$M37)</f>
        <v>546851.249796829</v>
      </c>
      <c r="O37" s="99" t="n">
        <f aca="false">IF(D37&gt;$B$4,0,IF(D37&lt;$B$3,0,$B$8*(1+$B$10)^(C37-1)))</f>
        <v>163861.644029039</v>
      </c>
      <c r="P37" s="99" t="n">
        <f aca="false">MAX(N37,O37)</f>
        <v>546851.249796829</v>
      </c>
      <c r="Q37" s="99" t="n">
        <f aca="false">MAX(0,L37-P37)</f>
        <v>9468838.76048206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9468838.76048206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86</v>
      </c>
      <c r="E38" s="97" t="n">
        <f aca="false">HLOOKUP($B$6,'RetireUp Market Returns'!A:CT,(1+$B$7+C38),FALSE())</f>
        <v>0.1084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9468838.76048206</v>
      </c>
      <c r="K38" s="99" t="n">
        <f aca="false">J38*E38</f>
        <v>1026422.12163626</v>
      </c>
      <c r="L38" s="99" t="n">
        <f aca="false">J38+K38</f>
        <v>10495260.8821183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15.2</v>
      </c>
      <c r="N38" s="99" t="n">
        <f aca="false">IF($M38="-",0,J38/$M38)</f>
        <v>622949.918452767</v>
      </c>
      <c r="O38" s="99" t="n">
        <f aca="false">IF(D38&gt;$B$4,0,IF(D38&lt;$B$3,0,$B$8*(1+$B$10)^(C38-1)))</f>
        <v>167958.185129765</v>
      </c>
      <c r="P38" s="99" t="n">
        <f aca="false">MAX(N38,O38)</f>
        <v>622949.918452767</v>
      </c>
      <c r="Q38" s="99" t="n">
        <f aca="false">MAX(0,L38-P38)</f>
        <v>9872310.96366555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9872310.96366555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87</v>
      </c>
      <c r="E39" s="97" t="n">
        <f aca="false">HLOOKUP($B$6,'RetireUp Market Returns'!A:CT,(1+$B$7+C39),FALSE())</f>
        <v>0.0853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9872310.96366555</v>
      </c>
      <c r="K39" s="99" t="n">
        <f aca="false">J39*E39</f>
        <v>842108.125200671</v>
      </c>
      <c r="L39" s="99" t="n">
        <f aca="false">J39+K39</f>
        <v>10714419.0888662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14.4</v>
      </c>
      <c r="N39" s="99" t="n">
        <f aca="false">IF($M39="-",0,J39/$M39)</f>
        <v>685577.150254552</v>
      </c>
      <c r="O39" s="99" t="n">
        <f aca="false">IF(D39&gt;$B$4,0,IF(D39&lt;$B$3,0,$B$8*(1+$B$10)^(C39-1)))</f>
        <v>172157.13975801</v>
      </c>
      <c r="P39" s="99" t="n">
        <f aca="false">MAX(N39,O39)</f>
        <v>685577.150254552</v>
      </c>
      <c r="Q39" s="99" t="n">
        <f aca="false">MAX(0,L39-P39)</f>
        <v>10028841.9386117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10028841.9386117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88</v>
      </c>
      <c r="E40" s="97" t="n">
        <f aca="false">HLOOKUP($B$6,'RetireUp Market Returns'!A:CT,(1+$B$7+C40),FALSE())</f>
        <v>0.1187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10028841.9386117</v>
      </c>
      <c r="K40" s="99" t="n">
        <f aca="false">J40*E40</f>
        <v>1190423.53811321</v>
      </c>
      <c r="L40" s="99" t="n">
        <f aca="false">J40+K40</f>
        <v>11219265.4767249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13.7</v>
      </c>
      <c r="N40" s="99" t="n">
        <f aca="false">IF($M40="-",0,J40/$M40)</f>
        <v>732032.258292823</v>
      </c>
      <c r="O40" s="99" t="n">
        <f aca="false">IF(D40&gt;$B$4,0,IF(D40&lt;$B$3,0,$B$8*(1+$B$10)^(C40-1)))</f>
        <v>176461.06825196</v>
      </c>
      <c r="P40" s="99" t="n">
        <f aca="false">MAX(N40,O40)</f>
        <v>732032.258292823</v>
      </c>
      <c r="Q40" s="99" t="n">
        <f aca="false">MAX(0,L40-P40)</f>
        <v>10487233.2184321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10487233.2184321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89</v>
      </c>
      <c r="E41" s="97" t="n">
        <f aca="false">HLOOKUP($B$6,'RetireUp Market Returns'!A:CT,(1+$B$7+C41),FALSE())</f>
        <v>0.104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10487233.2184321</v>
      </c>
      <c r="K41" s="99" t="n">
        <f aca="false">J41*E41</f>
        <v>1090672.25471693</v>
      </c>
      <c r="L41" s="99" t="n">
        <f aca="false">J41+K41</f>
        <v>11577905.473149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12.9</v>
      </c>
      <c r="N41" s="99" t="n">
        <f aca="false">IF($M41="-",0,J41/$M41)</f>
        <v>812963.815382329</v>
      </c>
      <c r="O41" s="99" t="n">
        <f aca="false">IF(D41&gt;$B$4,0,IF(D41&lt;$B$3,0,$B$8*(1+$B$10)^(C41-1)))</f>
        <v>180872.594958259</v>
      </c>
      <c r="P41" s="99" t="n">
        <f aca="false">MAX(N41,O41)</f>
        <v>812963.815382329</v>
      </c>
      <c r="Q41" s="99" t="n">
        <f aca="false">MAX(0,L41-P41)</f>
        <v>10764941.6577667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10764941.6577667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90</v>
      </c>
      <c r="E42" s="97" t="n">
        <f aca="false">HLOOKUP($B$6,'RetireUp Market Returns'!A:CT,(1+$B$7+C42),FALSE())</f>
        <v>-0.056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10764941.6577667</v>
      </c>
      <c r="K42" s="99" t="n">
        <f aca="false">J42*E42</f>
        <v>-602836.732834933</v>
      </c>
      <c r="L42" s="99" t="n">
        <f aca="false">J42+K42</f>
        <v>10162104.9249317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12.2</v>
      </c>
      <c r="N42" s="99" t="n">
        <f aca="false">IF($M42="-",0,J42/$M42)</f>
        <v>882372.267030054</v>
      </c>
      <c r="O42" s="99" t="n">
        <f aca="false">IF(D42&gt;$B$4,0,IF(D42&lt;$B$3,0,$B$8*(1+$B$10)^(C42-1)))</f>
        <v>185394.409832215</v>
      </c>
      <c r="P42" s="99" t="n">
        <f aca="false">MAX(N42,O42)</f>
        <v>882372.267030054</v>
      </c>
      <c r="Q42" s="99" t="n">
        <f aca="false">MAX(0,L42-P42)</f>
        <v>9279732.65790167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9279732.65790167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str">
        <f aca="false">IF(D42="-","-",IF(D42+1&gt;B$4,"-",D42+1))</f>
        <v>-</v>
      </c>
      <c r="E43" s="97" t="n">
        <f aca="false">HLOOKUP($B$6,'RetireUp Market Returns'!A:CT,(1+$B$7+C43),FALSE())</f>
        <v>0.128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9279732.65790167</v>
      </c>
      <c r="K43" s="99" t="n">
        <f aca="false">J43*E43</f>
        <v>1187805.78021141</v>
      </c>
      <c r="L43" s="99" t="n">
        <f aca="false">J43+K43</f>
        <v>10467538.4381131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0</v>
      </c>
      <c r="P43" s="99" t="n">
        <f aca="false">MAX(N43,O43)</f>
        <v>0</v>
      </c>
      <c r="Q43" s="99" t="n">
        <f aca="false">MAX(0,L43-P43)</f>
        <v>10467538.4381131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10467538.4381131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0.0867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10467538.4381131</v>
      </c>
      <c r="K44" s="99" t="n">
        <f aca="false">J44*E44</f>
        <v>907535.582584404</v>
      </c>
      <c r="L44" s="99" t="n">
        <f aca="false">J44+K44</f>
        <v>11375074.0206975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11375074.0206975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11375074.0206975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0.1265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11375074.0206975</v>
      </c>
      <c r="K45" s="99" t="n">
        <f aca="false">J45*E45</f>
        <v>1438946.86361823</v>
      </c>
      <c r="L45" s="99" t="n">
        <f aca="false">J45+K45</f>
        <v>12814020.8843157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12814020.8843157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12814020.8843157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0.0603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12814020.8843157</v>
      </c>
      <c r="K46" s="99" t="n">
        <f aca="false">J46*E46</f>
        <v>772685.459324238</v>
      </c>
      <c r="L46" s="99" t="n">
        <f aca="false">J46+K46</f>
        <v>13586706.34364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13586706.34364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13586706.34364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0.1471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13586706.34364</v>
      </c>
      <c r="K47" s="99" t="n">
        <f aca="false">J47*E47</f>
        <v>1998604.50314944</v>
      </c>
      <c r="L47" s="99" t="n">
        <f aca="false">J47+K47</f>
        <v>15585310.8467894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15585310.8467894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15585310.8467894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0.0539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15585310.8467894</v>
      </c>
      <c r="K48" s="99" t="n">
        <f aca="false">J48*E48</f>
        <v>840048.254641948</v>
      </c>
      <c r="L48" s="99" t="n">
        <f aca="false">J48+K48</f>
        <v>16425359.1014313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16425359.1014313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16425359.1014313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0.072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16425359.1014313</v>
      </c>
      <c r="K49" s="99" t="n">
        <f aca="false">J49*E49</f>
        <v>1182625.85530306</v>
      </c>
      <c r="L49" s="99" t="n">
        <f aca="false">J49+K49</f>
        <v>17607984.9567344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17607984.9567344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17607984.9567344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0.176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17607984.9567344</v>
      </c>
      <c r="K50" s="99" t="n">
        <f aca="false">J50*E50</f>
        <v>3099005.35238525</v>
      </c>
      <c r="L50" s="99" t="n">
        <f aca="false">J50+K50</f>
        <v>20706990.3091196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20706990.3091196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20706990.3091196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0.14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20706990.3091196</v>
      </c>
      <c r="K51" s="99" t="n">
        <f aca="false">J51*E51</f>
        <v>2898978.64327675</v>
      </c>
      <c r="L51" s="99" t="n">
        <f aca="false">J51+K51</f>
        <v>23605968.9523964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23605968.9523964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23605968.9523964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-0.0747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23605968.9523964</v>
      </c>
      <c r="K52" s="99" t="n">
        <f aca="false">J52*E52</f>
        <v>-1763365.88074401</v>
      </c>
      <c r="L52" s="99" t="n">
        <f aca="false">J52+K52</f>
        <v>21842603.0716524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21842603.0716524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21842603.0716524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-0.1133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21842603.0716524</v>
      </c>
      <c r="K53" s="99" t="n">
        <f aca="false">J53*E53</f>
        <v>-2474766.92801821</v>
      </c>
      <c r="L53" s="99" t="n">
        <f aca="false">J53+K53</f>
        <v>19367836.1436342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19367836.1436342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19367836.1436342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-0.2157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19367836.1436342</v>
      </c>
      <c r="K54" s="99" t="n">
        <f aca="false">J54*E54</f>
        <v>-4177642.25618189</v>
      </c>
      <c r="L54" s="99" t="n">
        <f aca="false">J54+K54</f>
        <v>15190193.8874523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15190193.8874523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15190193.8874523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22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64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Monthly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403b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403b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0.03</v>
      </c>
      <c r="C6" s="57"/>
      <c r="D6" s="64" t="s">
        <v>17</v>
      </c>
      <c r="E6" s="79" t="n">
        <f aca="false">VLOOKUP($A$14,Scenarios!$A:$CE,HLOOKUP(D6,Scenarios!$1:$2,2,FALSE()),FALSE())</f>
        <v>2000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174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403b with Monthly / Monthly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64</v>
      </c>
      <c r="E17" s="97" t="n">
        <f aca="false">HLOOKUP($B$6,'RetireUp Market Returns'!A:CT,(1+$B$7+C17),FALSE())</f>
        <v>0.0547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109400</v>
      </c>
      <c r="L17" s="99" t="n">
        <f aca="false">J17+K17</f>
        <v>2109400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2109400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24000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12000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43500</v>
      </c>
      <c r="W17" s="99" t="n">
        <f aca="false">MIN(R17,T17)</f>
        <v>22500</v>
      </c>
      <c r="X17" s="99" t="n">
        <f aca="false">MIN(U17,R17-W17)</f>
        <v>1500</v>
      </c>
      <c r="Y17" s="99" t="n">
        <f aca="false">MIN(S17,V17)</f>
        <v>12000</v>
      </c>
      <c r="Z17" s="99" t="n">
        <f aca="false">W17+X17+Y17</f>
        <v>36000</v>
      </c>
      <c r="AA17" s="100" t="n">
        <f aca="false">Q17+Z17</f>
        <v>2145400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65</v>
      </c>
      <c r="E18" s="97" t="n">
        <f aca="false">HLOOKUP($B$6,'RetireUp Market Returns'!A:CT,(1+$B$7+C18),FALSE())</f>
        <v>0.0287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2145400</v>
      </c>
      <c r="K18" s="99" t="n">
        <f aca="false">J18*E18</f>
        <v>61572.98</v>
      </c>
      <c r="L18" s="99" t="n">
        <f aca="false">J18+K18</f>
        <v>2206972.98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2206972.98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24000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12000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44587.5</v>
      </c>
      <c r="W18" s="99" t="n">
        <f aca="false">MIN(R18,T18)</f>
        <v>23062.5</v>
      </c>
      <c r="X18" s="99" t="n">
        <f aca="false">MIN(U18,R18-W18)</f>
        <v>937.500000000004</v>
      </c>
      <c r="Y18" s="99" t="n">
        <f aca="false">MIN(S18,V18)</f>
        <v>12000</v>
      </c>
      <c r="Z18" s="99" t="n">
        <f aca="false">W18+X18+Y18</f>
        <v>36000</v>
      </c>
      <c r="AA18" s="100" t="n">
        <f aca="false">Q18+W18+X18+Y18</f>
        <v>2242972.98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66</v>
      </c>
      <c r="E19" s="97" t="n">
        <f aca="false">HLOOKUP($B$6,'RetireUp Market Returns'!A:CT,(1+$B$7+C19),FALSE())</f>
        <v>0.0128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2242972.98</v>
      </c>
      <c r="K19" s="99" t="n">
        <f aca="false">J19*E19</f>
        <v>28710.054144</v>
      </c>
      <c r="L19" s="99" t="n">
        <f aca="false">J19+K19</f>
        <v>2271683.034144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2271683.034144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24000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12000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45702.1875</v>
      </c>
      <c r="W19" s="99" t="n">
        <f aca="false">MIN(R19,T19)</f>
        <v>23639.0625</v>
      </c>
      <c r="X19" s="99" t="n">
        <f aca="false">MIN(U19,R19-W19)</f>
        <v>360.9375</v>
      </c>
      <c r="Y19" s="99" t="n">
        <f aca="false">MIN(S19,V19)</f>
        <v>12000</v>
      </c>
      <c r="Z19" s="99" t="n">
        <f aca="false">W19+X19+Y19</f>
        <v>36000</v>
      </c>
      <c r="AA19" s="100" t="n">
        <f aca="false">Q19+W19+X19+Y19</f>
        <v>2307683.034144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67</v>
      </c>
      <c r="E20" s="97" t="n">
        <f aca="false">HLOOKUP($B$6,'RetireUp Market Returns'!A:CT,(1+$B$7+C20),FALSE())</f>
        <v>0.066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2307683.034144</v>
      </c>
      <c r="K20" s="99" t="n">
        <f aca="false">J20*E20</f>
        <v>152307.080253504</v>
      </c>
      <c r="L20" s="99" t="n">
        <f aca="false">J20+K20</f>
        <v>2459990.1143975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2459990.1143975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24000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12000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47074.78125</v>
      </c>
      <c r="W20" s="99" t="n">
        <f aca="false">MIN(R20,T20)</f>
        <v>24000</v>
      </c>
      <c r="X20" s="99" t="n">
        <f aca="false">MIN(U20,R20-W20)</f>
        <v>0</v>
      </c>
      <c r="Y20" s="99" t="n">
        <f aca="false">MIN(S20,V20)</f>
        <v>12000</v>
      </c>
      <c r="Z20" s="99" t="n">
        <f aca="false">W20+X20+Y20</f>
        <v>36000</v>
      </c>
      <c r="AA20" s="100" t="n">
        <f aca="false">Q20+W20+X20+Y20</f>
        <v>2495990.1143975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68</v>
      </c>
      <c r="E21" s="97" t="n">
        <f aca="false">HLOOKUP($B$6,'RetireUp Market Returns'!A:CT,(1+$B$7+C21),FALSE())</f>
        <v>0.0481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2495990.1143975</v>
      </c>
      <c r="K21" s="99" t="n">
        <f aca="false">J21*E21</f>
        <v>120057.12450252</v>
      </c>
      <c r="L21" s="99" t="n">
        <f aca="false">J21+K21</f>
        <v>2616047.23890002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2616047.23890002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24000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12000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48851.65078125</v>
      </c>
      <c r="W21" s="99" t="n">
        <f aca="false">MIN(R21,T21)</f>
        <v>24000</v>
      </c>
      <c r="X21" s="99" t="n">
        <f aca="false">MIN(U21,R21-W21)</f>
        <v>0</v>
      </c>
      <c r="Y21" s="99" t="n">
        <f aca="false">MIN(S21,V21)</f>
        <v>12000</v>
      </c>
      <c r="Z21" s="99" t="n">
        <f aca="false">W21+X21+Y21</f>
        <v>36000</v>
      </c>
      <c r="AA21" s="100" t="n">
        <f aca="false">Q21+W21+X21+Y21</f>
        <v>2652047.23890002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69</v>
      </c>
      <c r="E22" s="97" t="n">
        <f aca="false">HLOOKUP($B$6,'RetireUp Market Returns'!A:CT,(1+$B$7+C22),FALSE())</f>
        <v>0.0491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2652047.23890002</v>
      </c>
      <c r="K22" s="99" t="n">
        <f aca="false">J22*E22</f>
        <v>130215.519429991</v>
      </c>
      <c r="L22" s="99" t="n">
        <f aca="false">J22+K22</f>
        <v>2782262.75833002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2782262.75833002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24000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12000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50672.9420507812</v>
      </c>
      <c r="W22" s="99" t="n">
        <f aca="false">MIN(R22,T22)</f>
        <v>24000</v>
      </c>
      <c r="X22" s="99" t="n">
        <f aca="false">MIN(U22,R22-W22)</f>
        <v>0</v>
      </c>
      <c r="Y22" s="99" t="n">
        <f aca="false">MIN(S22,V22)</f>
        <v>12000</v>
      </c>
      <c r="Z22" s="99" t="n">
        <f aca="false">W22+X22+Y22</f>
        <v>36000</v>
      </c>
      <c r="AA22" s="100" t="n">
        <f aca="false">Q22+W22+X22+Y22</f>
        <v>2818262.75833002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70</v>
      </c>
      <c r="E23" s="97" t="n">
        <f aca="false">HLOOKUP($B$6,'RetireUp Market Returns'!A:CT,(1+$B$7+C23),FALSE())</f>
        <v>0.0605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2818262.75833002</v>
      </c>
      <c r="K23" s="99" t="n">
        <f aca="false">J23*E23</f>
        <v>170504.896878966</v>
      </c>
      <c r="L23" s="99" t="n">
        <f aca="false">J23+K23</f>
        <v>2988767.65520898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2988767.65520898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24000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12000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52539.7656020507</v>
      </c>
      <c r="W23" s="99" t="n">
        <f aca="false">MIN(R23,T23)</f>
        <v>24000</v>
      </c>
      <c r="X23" s="99" t="n">
        <f aca="false">MIN(U23,R23-W23)</f>
        <v>0</v>
      </c>
      <c r="Y23" s="99" t="n">
        <f aca="false">MIN(S23,V23)</f>
        <v>12000</v>
      </c>
      <c r="Z23" s="99" t="n">
        <f aca="false">W23+X23+Y23</f>
        <v>36000</v>
      </c>
      <c r="AA23" s="100" t="n">
        <f aca="false">Q23+W23+X23+Y23</f>
        <v>3024767.65520898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71</v>
      </c>
      <c r="E24" s="97" t="n">
        <f aca="false">HLOOKUP($B$6,'RetireUp Market Returns'!A:CT,(1+$B$7+C24),FALSE())</f>
        <v>-0.0295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3024767.65520898</v>
      </c>
      <c r="K24" s="99" t="n">
        <f aca="false">J24*E24</f>
        <v>-89230.645828665</v>
      </c>
      <c r="L24" s="99" t="n">
        <f aca="false">J24+K24</f>
        <v>2935537.00938032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2935537.00938032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24000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12000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54453.259742102</v>
      </c>
      <c r="W24" s="99" t="n">
        <f aca="false">MIN(R24,T24)</f>
        <v>24000</v>
      </c>
      <c r="X24" s="99" t="n">
        <f aca="false">MIN(U24,R24-W24)</f>
        <v>0</v>
      </c>
      <c r="Y24" s="99" t="n">
        <f aca="false">MIN(S24,V24)</f>
        <v>12000</v>
      </c>
      <c r="Z24" s="99" t="n">
        <f aca="false">W24+X24+Y24</f>
        <v>36000</v>
      </c>
      <c r="AA24" s="100" t="n">
        <f aca="false">Q24+W24+X24+Y24</f>
        <v>2971537.00938032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72</v>
      </c>
      <c r="E25" s="97" t="n">
        <f aca="false">HLOOKUP($B$6,'RetireUp Market Returns'!A:CT,(1+$B$7+C25),FALSE())</f>
        <v>0.0073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2971537.00938032</v>
      </c>
      <c r="K25" s="99" t="n">
        <f aca="false">J25*E25</f>
        <v>21692.2201684763</v>
      </c>
      <c r="L25" s="99" t="n">
        <f aca="false">J25+K25</f>
        <v>2993229.22954879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2993229.22954879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24000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12000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56414.5912356545</v>
      </c>
      <c r="W25" s="99" t="n">
        <f aca="false">MIN(R25,T25)</f>
        <v>24000</v>
      </c>
      <c r="X25" s="99" t="n">
        <f aca="false">MIN(U25,R25-W25)</f>
        <v>0</v>
      </c>
      <c r="Y25" s="99" t="n">
        <f aca="false">MIN(S25,V25)</f>
        <v>12000</v>
      </c>
      <c r="Z25" s="99" t="n">
        <f aca="false">W25+X25+Y25</f>
        <v>36000</v>
      </c>
      <c r="AA25" s="100" t="n">
        <f aca="false">Q25+W25+X25+Y25</f>
        <v>3029229.22954879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73</v>
      </c>
      <c r="E26" s="97" t="n">
        <f aca="false">HLOOKUP($B$6,'RetireUp Market Returns'!A:CT,(1+$B$7+C26),FALSE())</f>
        <v>0.0385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3029229.22954879</v>
      </c>
      <c r="K26" s="99" t="n">
        <f aca="false">J26*E26</f>
        <v>116625.325337629</v>
      </c>
      <c r="L26" s="99" t="n">
        <f aca="false">J26+K26</f>
        <v>3145854.55488642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26.5</v>
      </c>
      <c r="N26" s="99" t="n">
        <f aca="false">IF($M26="-",0,J26/$M26)</f>
        <v>114310.536964105</v>
      </c>
      <c r="O26" s="99" t="n">
        <f aca="false">IF(D26&gt;$B$4,0,IF(D26&lt;$B$3,0,$B$8*(1+$B$10)^(C26-1)))</f>
        <v>0</v>
      </c>
      <c r="P26" s="99" t="n">
        <f aca="false">MAX(N26,O26)</f>
        <v>114310.536964105</v>
      </c>
      <c r="Q26" s="99" t="n">
        <f aca="false">MAX(0,L26-P26)</f>
        <v>3031544.01792232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24000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12000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58424.9560165459</v>
      </c>
      <c r="W26" s="99" t="n">
        <f aca="false">MIN(R26,T26)</f>
        <v>24000</v>
      </c>
      <c r="X26" s="99" t="n">
        <f aca="false">MIN(U26,R26-W26)</f>
        <v>0</v>
      </c>
      <c r="Y26" s="99" t="n">
        <f aca="false">MIN(S26,V26)</f>
        <v>12000</v>
      </c>
      <c r="Z26" s="99" t="n">
        <f aca="false">W26+X26+Y26</f>
        <v>36000</v>
      </c>
      <c r="AA26" s="100" t="n">
        <f aca="false">Q26+W26+X26+Y26</f>
        <v>3067544.01792232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74</v>
      </c>
      <c r="E27" s="97" t="n">
        <f aca="false">HLOOKUP($B$6,'RetireUp Market Returns'!A:CT,(1+$B$7+C27),FALSE())</f>
        <v>0.0643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3067544.01792232</v>
      </c>
      <c r="K27" s="99" t="n">
        <f aca="false">J27*E27</f>
        <v>197243.080352405</v>
      </c>
      <c r="L27" s="99" t="n">
        <f aca="false">J27+K27</f>
        <v>3264787.09827472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25.5</v>
      </c>
      <c r="N27" s="99" t="n">
        <f aca="false">IF($M27="-",0,J27/$M27)</f>
        <v>120295.843840091</v>
      </c>
      <c r="O27" s="99" t="n">
        <f aca="false">IF(D27&gt;$B$4,0,IF(D27&lt;$B$3,0,$B$8*(1+$B$10)^(C27-1)))</f>
        <v>0</v>
      </c>
      <c r="P27" s="99" t="n">
        <f aca="false">MAX(N27,O27)</f>
        <v>120295.843840091</v>
      </c>
      <c r="Q27" s="99" t="n">
        <f aca="false">MAX(0,L27-P27)</f>
        <v>3144491.25443463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24000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12000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60485.5799169595</v>
      </c>
      <c r="W27" s="99" t="n">
        <f aca="false">MIN(R27,T27)</f>
        <v>24000</v>
      </c>
      <c r="X27" s="99" t="n">
        <f aca="false">MIN(U27,R27-W27)</f>
        <v>0</v>
      </c>
      <c r="Y27" s="99" t="n">
        <f aca="false">MIN(S27,V27)</f>
        <v>12000</v>
      </c>
      <c r="Z27" s="99" t="n">
        <f aca="false">W27+X27+Y27</f>
        <v>36000</v>
      </c>
      <c r="AA27" s="100" t="n">
        <f aca="false">Q27+W27+X27+Y27</f>
        <v>3180491.25443463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75</v>
      </c>
      <c r="E28" s="97" t="n">
        <f aca="false">HLOOKUP($B$6,'RetireUp Market Returns'!A:CT,(1+$B$7+C28),FALSE())</f>
        <v>0.039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3180491.25443463</v>
      </c>
      <c r="K28" s="99" t="n">
        <f aca="false">J28*E28</f>
        <v>124039.158922951</v>
      </c>
      <c r="L28" s="99" t="n">
        <f aca="false">J28+K28</f>
        <v>3304530.41335758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24.6</v>
      </c>
      <c r="N28" s="99" t="n">
        <f aca="false">IF($M28="-",0,J28/$M28)</f>
        <v>129288.262375391</v>
      </c>
      <c r="O28" s="99" t="n">
        <f aca="false">IF(D28&gt;$B$4,0,IF(D28&lt;$B$3,0,$B$8*(1+$B$10)^(C28-1)))</f>
        <v>0</v>
      </c>
      <c r="P28" s="99" t="n">
        <f aca="false">MAX(N28,O28)</f>
        <v>129288.262375391</v>
      </c>
      <c r="Q28" s="99" t="n">
        <f aca="false">MAX(0,L28-P28)</f>
        <v>3175242.15098219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24000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12000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62597.7194148835</v>
      </c>
      <c r="W28" s="99" t="n">
        <f aca="false">MIN(R28,T28)</f>
        <v>24000</v>
      </c>
      <c r="X28" s="99" t="n">
        <f aca="false">MIN(U28,R28-W28)</f>
        <v>0</v>
      </c>
      <c r="Y28" s="99" t="n">
        <f aca="false">MIN(S28,V28)</f>
        <v>12000</v>
      </c>
      <c r="Z28" s="99" t="n">
        <f aca="false">W28+X28+Y28</f>
        <v>36000</v>
      </c>
      <c r="AA28" s="100" t="n">
        <f aca="false">Q28+W28+X28+Y28</f>
        <v>3211242.15098219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76</v>
      </c>
      <c r="E29" s="97" t="n">
        <f aca="false">HLOOKUP($B$6,'RetireUp Market Returns'!A:CT,(1+$B$7+C29),FALSE())</f>
        <v>0.048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3211242.15098219</v>
      </c>
      <c r="K29" s="99" t="n">
        <f aca="false">J29*E29</f>
        <v>154139.623247145</v>
      </c>
      <c r="L29" s="99" t="n">
        <f aca="false">J29+K29</f>
        <v>3365381.77422933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23.7</v>
      </c>
      <c r="N29" s="99" t="n">
        <f aca="false">IF($M29="-",0,J29/$M29)</f>
        <v>135495.449408531</v>
      </c>
      <c r="O29" s="99" t="n">
        <f aca="false">IF(D29&gt;$B$4,0,IF(D29&lt;$B$3,0,$B$8*(1+$B$10)^(C29-1)))</f>
        <v>134488.88242463</v>
      </c>
      <c r="P29" s="99" t="n">
        <f aca="false">MAX(N29,O29)</f>
        <v>135495.449408531</v>
      </c>
      <c r="Q29" s="99" t="n">
        <f aca="false">MAX(0,L29-P29)</f>
        <v>3229886.3248208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3229886.3248208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77</v>
      </c>
      <c r="E30" s="97" t="n">
        <f aca="false">HLOOKUP($B$6,'RetireUp Market Returns'!A:CT,(1+$B$7+C30),FALSE())</f>
        <v>0.0187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3229886.3248208</v>
      </c>
      <c r="K30" s="99" t="n">
        <f aca="false">J30*E30</f>
        <v>60398.874274149</v>
      </c>
      <c r="L30" s="99" t="n">
        <f aca="false">J30+K30</f>
        <v>3290285.19909495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22.9</v>
      </c>
      <c r="N30" s="99" t="n">
        <f aca="false">IF($M30="-",0,J30/$M30)</f>
        <v>141043.070952874</v>
      </c>
      <c r="O30" s="99" t="n">
        <f aca="false">IF(D30&gt;$B$4,0,IF(D30&lt;$B$3,0,$B$8*(1+$B$10)^(C30-1)))</f>
        <v>137851.104485245</v>
      </c>
      <c r="P30" s="99" t="n">
        <f aca="false">MAX(N30,O30)</f>
        <v>141043.070952874</v>
      </c>
      <c r="Q30" s="99" t="n">
        <f aca="false">MAX(0,L30-P30)</f>
        <v>3149242.12814208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3149242.12814208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78</v>
      </c>
      <c r="E31" s="97" t="n">
        <f aca="false">HLOOKUP($B$6,'RetireUp Market Returns'!A:CT,(1+$B$7+C31),FALSE())</f>
        <v>0.0338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3149242.12814208</v>
      </c>
      <c r="K31" s="99" t="n">
        <f aca="false">J31*E31</f>
        <v>106444.383931202</v>
      </c>
      <c r="L31" s="99" t="n">
        <f aca="false">J31+K31</f>
        <v>3255686.51207328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22</v>
      </c>
      <c r="N31" s="99" t="n">
        <f aca="false">IF($M31="-",0,J31/$M31)</f>
        <v>143147.369461004</v>
      </c>
      <c r="O31" s="99" t="n">
        <f aca="false">IF(D31&gt;$B$4,0,IF(D31&lt;$B$3,0,$B$8*(1+$B$10)^(C31-1)))</f>
        <v>141297.382097377</v>
      </c>
      <c r="P31" s="99" t="n">
        <f aca="false">MAX(N31,O31)</f>
        <v>143147.369461004</v>
      </c>
      <c r="Q31" s="99" t="n">
        <f aca="false">MAX(0,L31-P31)</f>
        <v>3112539.14261228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3112539.14261228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79</v>
      </c>
      <c r="E32" s="97" t="n">
        <f aca="false">HLOOKUP($B$6,'RetireUp Market Returns'!A:CT,(1+$B$7+C32),FALSE())</f>
        <v>0.0163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3112539.14261228</v>
      </c>
      <c r="K32" s="99" t="n">
        <f aca="false">J32*E32</f>
        <v>50734.3880245801</v>
      </c>
      <c r="L32" s="99" t="n">
        <f aca="false">J32+K32</f>
        <v>3163273.53063686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21.1</v>
      </c>
      <c r="N32" s="99" t="n">
        <f aca="false">IF($M32="-",0,J32/$M32)</f>
        <v>147513.70344134</v>
      </c>
      <c r="O32" s="99" t="n">
        <f aca="false">IF(D32&gt;$B$4,0,IF(D32&lt;$B$3,0,$B$8*(1+$B$10)^(C32-1)))</f>
        <v>144829.816649811</v>
      </c>
      <c r="P32" s="99" t="n">
        <f aca="false">MAX(N32,O32)</f>
        <v>147513.70344134</v>
      </c>
      <c r="Q32" s="99" t="n">
        <f aca="false">MAX(0,L32-P32)</f>
        <v>3015759.82719552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3015759.82719552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80</v>
      </c>
      <c r="E33" s="97" t="n">
        <f aca="false">HLOOKUP($B$6,'RetireUp Market Returns'!A:CT,(1+$B$7+C33),FALSE())</f>
        <v>0.0988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3015759.82719552</v>
      </c>
      <c r="K33" s="99" t="n">
        <f aca="false">J33*E33</f>
        <v>297957.070926917</v>
      </c>
      <c r="L33" s="99" t="n">
        <f aca="false">J33+K33</f>
        <v>3313716.89812243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20.2</v>
      </c>
      <c r="N33" s="99" t="n">
        <f aca="false">IF($M33="-",0,J33/$M33)</f>
        <v>149295.040950273</v>
      </c>
      <c r="O33" s="99" t="n">
        <f aca="false">IF(D33&gt;$B$4,0,IF(D33&lt;$B$3,0,$B$8*(1+$B$10)^(C33-1)))</f>
        <v>148450.562066056</v>
      </c>
      <c r="P33" s="99" t="n">
        <f aca="false">MAX(N33,O33)</f>
        <v>149295.040950273</v>
      </c>
      <c r="Q33" s="99" t="n">
        <f aca="false">MAX(0,L33-P33)</f>
        <v>3164421.85717216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3164421.85717216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81</v>
      </c>
      <c r="E34" s="97" t="n">
        <f aca="false">HLOOKUP($B$6,'RetireUp Market Returns'!A:CT,(1+$B$7+C34),FALSE())</f>
        <v>-0.0405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3164421.85717216</v>
      </c>
      <c r="K34" s="99" t="n">
        <f aca="false">J34*E34</f>
        <v>-128159.085215473</v>
      </c>
      <c r="L34" s="99" t="n">
        <f aca="false">J34+K34</f>
        <v>3036262.77195669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19.4</v>
      </c>
      <c r="N34" s="99" t="n">
        <f aca="false">IF($M34="-",0,J34/$M34)</f>
        <v>163114.528720215</v>
      </c>
      <c r="O34" s="99" t="n">
        <f aca="false">IF(D34&gt;$B$4,0,IF(D34&lt;$B$3,0,$B$8*(1+$B$10)^(C34-1)))</f>
        <v>152161.826117708</v>
      </c>
      <c r="P34" s="99" t="n">
        <f aca="false">MAX(N34,O34)</f>
        <v>163114.528720215</v>
      </c>
      <c r="Q34" s="99" t="n">
        <f aca="false">MAX(0,L34-P34)</f>
        <v>2873148.24323647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2873148.24323647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82</v>
      </c>
      <c r="E35" s="97" t="n">
        <f aca="false">HLOOKUP($B$6,'RetireUp Market Returns'!A:CT,(1+$B$7+C35),FALSE())</f>
        <v>0.0796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2873148.24323647</v>
      </c>
      <c r="K35" s="99" t="n">
        <f aca="false">J35*E35</f>
        <v>228702.600161623</v>
      </c>
      <c r="L35" s="99" t="n">
        <f aca="false">J35+K35</f>
        <v>3101850.8433981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18.5</v>
      </c>
      <c r="N35" s="99" t="n">
        <f aca="false">IF($M35="-",0,J35/$M35)</f>
        <v>155305.310445215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2945884.97162745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2945884.97162745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83</v>
      </c>
      <c r="E36" s="97" t="n">
        <f aca="false">HLOOKUP($B$6,'RetireUp Market Returns'!A:CT,(1+$B$7+C36),FALSE())</f>
        <v>0.0275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2945884.97162745</v>
      </c>
      <c r="K36" s="99" t="n">
        <f aca="false">J36*E36</f>
        <v>81011.8367197548</v>
      </c>
      <c r="L36" s="99" t="n">
        <f aca="false">J36+K36</f>
        <v>3026896.8083472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17.7</v>
      </c>
      <c r="N36" s="99" t="n">
        <f aca="false">IF($M36="-",0,J36/$M36)</f>
        <v>166434.179187991</v>
      </c>
      <c r="O36" s="99" t="n">
        <f aca="false">IF(D36&gt;$B$4,0,IF(D36&lt;$B$3,0,$B$8*(1+$B$10)^(C36-1)))</f>
        <v>159865.018564917</v>
      </c>
      <c r="P36" s="99" t="n">
        <f aca="false">MAX(N36,O36)</f>
        <v>166434.179187991</v>
      </c>
      <c r="Q36" s="99" t="n">
        <f aca="false">MAX(0,L36-P36)</f>
        <v>2860462.62915921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2860462.62915921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84</v>
      </c>
      <c r="E37" s="97" t="n">
        <f aca="false">HLOOKUP($B$6,'RetireUp Market Returns'!A:CT,(1+$B$7+C37),FALSE())</f>
        <v>0.0542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2860462.62915921</v>
      </c>
      <c r="K37" s="99" t="n">
        <f aca="false">J37*E37</f>
        <v>155037.074500429</v>
      </c>
      <c r="L37" s="99" t="n">
        <f aca="false">J37+K37</f>
        <v>3015499.70365964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16.8</v>
      </c>
      <c r="N37" s="99" t="n">
        <f aca="false">IF($M37="-",0,J37/$M37)</f>
        <v>170265.632688048</v>
      </c>
      <c r="O37" s="99" t="n">
        <f aca="false">IF(D37&gt;$B$4,0,IF(D37&lt;$B$3,0,$B$8*(1+$B$10)^(C37-1)))</f>
        <v>163861.644029039</v>
      </c>
      <c r="P37" s="99" t="n">
        <f aca="false">MAX(N37,O37)</f>
        <v>170265.632688048</v>
      </c>
      <c r="Q37" s="99" t="n">
        <f aca="false">MAX(0,L37-P37)</f>
        <v>2845234.07097159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2845234.07097159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85</v>
      </c>
      <c r="E38" s="97" t="n">
        <f aca="false">HLOOKUP($B$6,'RetireUp Market Returns'!A:CT,(1+$B$7+C38),FALSE())</f>
        <v>0.0406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2845234.07097159</v>
      </c>
      <c r="K38" s="99" t="n">
        <f aca="false">J38*E38</f>
        <v>115516.503281447</v>
      </c>
      <c r="L38" s="99" t="n">
        <f aca="false">J38+K38</f>
        <v>2960750.57425304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16</v>
      </c>
      <c r="N38" s="99" t="n">
        <f aca="false">IF($M38="-",0,J38/$M38)</f>
        <v>177827.129435725</v>
      </c>
      <c r="O38" s="99" t="n">
        <f aca="false">IF(D38&gt;$B$4,0,IF(D38&lt;$B$3,0,$B$8*(1+$B$10)^(C38-1)))</f>
        <v>167958.185129765</v>
      </c>
      <c r="P38" s="99" t="n">
        <f aca="false">MAX(N38,O38)</f>
        <v>177827.129435725</v>
      </c>
      <c r="Q38" s="99" t="n">
        <f aca="false">MAX(0,L38-P38)</f>
        <v>2782923.44481731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2782923.44481731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86</v>
      </c>
      <c r="E39" s="97" t="n">
        <f aca="false">HLOOKUP($B$6,'RetireUp Market Returns'!A:CT,(1+$B$7+C39),FALSE())</f>
        <v>0.032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2782923.44481731</v>
      </c>
      <c r="K39" s="99" t="n">
        <f aca="false">J39*E39</f>
        <v>89053.5502341541</v>
      </c>
      <c r="L39" s="99" t="n">
        <f aca="false">J39+K39</f>
        <v>2871976.99505147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15.2</v>
      </c>
      <c r="N39" s="99" t="n">
        <f aca="false">IF($M39="-",0,J39/$M39)</f>
        <v>183087.068737981</v>
      </c>
      <c r="O39" s="99" t="n">
        <f aca="false">IF(D39&gt;$B$4,0,IF(D39&lt;$B$3,0,$B$8*(1+$B$10)^(C39-1)))</f>
        <v>172157.13975801</v>
      </c>
      <c r="P39" s="99" t="n">
        <f aca="false">MAX(N39,O39)</f>
        <v>183087.068737981</v>
      </c>
      <c r="Q39" s="99" t="n">
        <f aca="false">MAX(0,L39-P39)</f>
        <v>2688889.92631349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2688889.92631349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87</v>
      </c>
      <c r="E40" s="97" t="n">
        <f aca="false">HLOOKUP($B$6,'RetireUp Market Returns'!A:CT,(1+$B$7+C40),FALSE())</f>
        <v>0.0445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2688889.92631349</v>
      </c>
      <c r="K40" s="99" t="n">
        <f aca="false">J40*E40</f>
        <v>119655.60172095</v>
      </c>
      <c r="L40" s="99" t="n">
        <f aca="false">J40+K40</f>
        <v>2808545.52803444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14.4</v>
      </c>
      <c r="N40" s="99" t="n">
        <f aca="false">IF($M40="-",0,J40/$M40)</f>
        <v>186728.467105103</v>
      </c>
      <c r="O40" s="99" t="n">
        <f aca="false">IF(D40&gt;$B$4,0,IF(D40&lt;$B$3,0,$B$8*(1+$B$10)^(C40-1)))</f>
        <v>176461.06825196</v>
      </c>
      <c r="P40" s="99" t="n">
        <f aca="false">MAX(N40,O40)</f>
        <v>186728.467105103</v>
      </c>
      <c r="Q40" s="99" t="n">
        <f aca="false">MAX(0,L40-P40)</f>
        <v>2621817.06092933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2621817.06092933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88</v>
      </c>
      <c r="E41" s="97" t="n">
        <f aca="false">HLOOKUP($B$6,'RetireUp Market Returns'!A:CT,(1+$B$7+C41),FALSE())</f>
        <v>0.039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2621817.06092933</v>
      </c>
      <c r="K41" s="99" t="n">
        <f aca="false">J41*E41</f>
        <v>102250.865376244</v>
      </c>
      <c r="L41" s="99" t="n">
        <f aca="false">J41+K41</f>
        <v>2724067.92630558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13.7</v>
      </c>
      <c r="N41" s="99" t="n">
        <f aca="false">IF($M41="-",0,J41/$M41)</f>
        <v>191373.508097032</v>
      </c>
      <c r="O41" s="99" t="n">
        <f aca="false">IF(D41&gt;$B$4,0,IF(D41&lt;$B$3,0,$B$8*(1+$B$10)^(C41-1)))</f>
        <v>180872.594958259</v>
      </c>
      <c r="P41" s="99" t="n">
        <f aca="false">MAX(N41,O41)</f>
        <v>191373.508097032</v>
      </c>
      <c r="Q41" s="99" t="n">
        <f aca="false">MAX(0,L41-P41)</f>
        <v>2532694.41820855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2532694.41820855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89</v>
      </c>
      <c r="E42" s="97" t="n">
        <f aca="false">HLOOKUP($B$6,'RetireUp Market Returns'!A:CT,(1+$B$7+C42),FALSE())</f>
        <v>-0.021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2532694.41820855</v>
      </c>
      <c r="K42" s="99" t="n">
        <f aca="false">J42*E42</f>
        <v>-53186.5827823795</v>
      </c>
      <c r="L42" s="99" t="n">
        <f aca="false">J42+K42</f>
        <v>2479507.83542617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12.9</v>
      </c>
      <c r="N42" s="99" t="n">
        <f aca="false">IF($M42="-",0,J42/$M42)</f>
        <v>196332.900636321</v>
      </c>
      <c r="O42" s="99" t="n">
        <f aca="false">IF(D42&gt;$B$4,0,IF(D42&lt;$B$3,0,$B$8*(1+$B$10)^(C42-1)))</f>
        <v>185394.409832215</v>
      </c>
      <c r="P42" s="99" t="n">
        <f aca="false">MAX(N42,O42)</f>
        <v>196332.900636321</v>
      </c>
      <c r="Q42" s="99" t="n">
        <f aca="false">MAX(0,L42-P42)</f>
        <v>2283174.93478985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2283174.93478985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90</v>
      </c>
      <c r="E43" s="97" t="n">
        <f aca="false">HLOOKUP($B$6,'RetireUp Market Returns'!A:CT,(1+$B$7+C43),FALSE())</f>
        <v>0.048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2283174.93478985</v>
      </c>
      <c r="K43" s="99" t="n">
        <f aca="false">J43*E43</f>
        <v>109592.396869913</v>
      </c>
      <c r="L43" s="99" t="n">
        <f aca="false">J43+K43</f>
        <v>2392767.33165976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12.2</v>
      </c>
      <c r="N43" s="99" t="n">
        <f aca="false">IF($M43="-",0,J43/$M43)</f>
        <v>187145.486458184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2202738.06158174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2202738.06158174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0.0325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2202738.06158174</v>
      </c>
      <c r="K44" s="99" t="n">
        <f aca="false">J44*E44</f>
        <v>71588.9870014065</v>
      </c>
      <c r="L44" s="99" t="n">
        <f aca="false">J44+K44</f>
        <v>2274327.04858314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2274327.04858314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2274327.04858314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0.0475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2274327.04858314</v>
      </c>
      <c r="K45" s="99" t="n">
        <f aca="false">J45*E45</f>
        <v>108030.534807699</v>
      </c>
      <c r="L45" s="99" t="n">
        <f aca="false">J45+K45</f>
        <v>2382357.58339084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2382357.58339084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2382357.58339084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0.0226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2382357.58339084</v>
      </c>
      <c r="K46" s="99" t="n">
        <f aca="false">J46*E46</f>
        <v>53841.2813846331</v>
      </c>
      <c r="L46" s="99" t="n">
        <f aca="false">J46+K46</f>
        <v>2436198.86477548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2436198.86477548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2436198.86477548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0.0551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2436198.86477548</v>
      </c>
      <c r="K47" s="99" t="n">
        <f aca="false">J47*E47</f>
        <v>134234.557449129</v>
      </c>
      <c r="L47" s="99" t="n">
        <f aca="false">J47+K47</f>
        <v>2570433.4222246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2570433.4222246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2570433.4222246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0.0202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2570433.4222246</v>
      </c>
      <c r="K48" s="99" t="n">
        <f aca="false">J48*E48</f>
        <v>51922.755128937</v>
      </c>
      <c r="L48" s="99" t="n">
        <f aca="false">J48+K48</f>
        <v>2622356.17735354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2622356.17735354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2622356.17735354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0.027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2622356.17735354</v>
      </c>
      <c r="K49" s="99" t="n">
        <f aca="false">J49*E49</f>
        <v>70803.6167885456</v>
      </c>
      <c r="L49" s="99" t="n">
        <f aca="false">J49+K49</f>
        <v>2693159.79414209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2693159.79414209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2693159.79414209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0.066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2693159.79414209</v>
      </c>
      <c r="K50" s="99" t="n">
        <f aca="false">J50*E50</f>
        <v>177748.546413378</v>
      </c>
      <c r="L50" s="99" t="n">
        <f aca="false">J50+K50</f>
        <v>2870908.34055547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2870908.34055547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2870908.34055547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0.0525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2870908.34055547</v>
      </c>
      <c r="K51" s="99" t="n">
        <f aca="false">J51*E51</f>
        <v>150722.687879162</v>
      </c>
      <c r="L51" s="99" t="n">
        <f aca="false">J51+K51</f>
        <v>3021631.02843463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3021631.02843463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3021631.02843463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-0.028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3021631.02843463</v>
      </c>
      <c r="K52" s="99" t="n">
        <f aca="false">J52*E52</f>
        <v>-84605.6687961696</v>
      </c>
      <c r="L52" s="99" t="n">
        <f aca="false">J52+K52</f>
        <v>2937025.35963846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2937025.35963846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2937025.35963846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-0.0425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2937025.35963846</v>
      </c>
      <c r="K53" s="99" t="n">
        <f aca="false">J53*E53</f>
        <v>-124823.577784634</v>
      </c>
      <c r="L53" s="99" t="n">
        <f aca="false">J53+K53</f>
        <v>2812201.78185382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2812201.78185382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2812201.78185382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-0.0809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2812201.78185382</v>
      </c>
      <c r="K54" s="99" t="n">
        <f aca="false">J54*E54</f>
        <v>-227507.124151974</v>
      </c>
      <c r="L54" s="99" t="n">
        <f aca="false">J54+K54</f>
        <v>2584694.65770185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2584694.65770185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2584694.65770185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23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64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403b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403b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30000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0.08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175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403b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64</v>
      </c>
      <c r="E17" s="97" t="n">
        <f aca="false">HLOOKUP($B$6,'RetireUp Market Returns'!A:CT,(1+$B$7+C17),FALSE())</f>
        <v>0.1459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291800</v>
      </c>
      <c r="L17" s="99" t="n">
        <f aca="false">J17+K17</f>
        <v>2291800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2291800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30000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43500</v>
      </c>
      <c r="W17" s="99" t="n">
        <f aca="false">MIN(R17,T17)</f>
        <v>22500</v>
      </c>
      <c r="X17" s="99" t="n">
        <f aca="false">MIN(U17,R17-W17)</f>
        <v>2500</v>
      </c>
      <c r="Y17" s="99" t="n">
        <f aca="false">MIN(S17,V17)</f>
        <v>30000</v>
      </c>
      <c r="Z17" s="99" t="n">
        <f aca="false">W17+X17+Y17</f>
        <v>55000</v>
      </c>
      <c r="AA17" s="100" t="n">
        <f aca="false">Q17+Z17</f>
        <v>2346800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65</v>
      </c>
      <c r="E18" s="97" t="n">
        <f aca="false">HLOOKUP($B$6,'RetireUp Market Returns'!A:CT,(1+$B$7+C18),FALSE())</f>
        <v>0.0767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2346800</v>
      </c>
      <c r="K18" s="99" t="n">
        <f aca="false">J18*E18</f>
        <v>179999.56</v>
      </c>
      <c r="L18" s="99" t="n">
        <f aca="false">J18+K18</f>
        <v>2526799.56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2526799.56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30000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44587.5</v>
      </c>
      <c r="W18" s="99" t="n">
        <f aca="false">MIN(R18,T18)</f>
        <v>23062.5</v>
      </c>
      <c r="X18" s="99" t="n">
        <f aca="false">MIN(U18,R18-W18)</f>
        <v>1937.5</v>
      </c>
      <c r="Y18" s="99" t="n">
        <f aca="false">MIN(S18,V18)</f>
        <v>30000</v>
      </c>
      <c r="Z18" s="99" t="n">
        <f aca="false">W18+X18+Y18</f>
        <v>55000</v>
      </c>
      <c r="AA18" s="100" t="n">
        <f aca="false">Q18+W18+X18+Y18</f>
        <v>2581799.56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66</v>
      </c>
      <c r="E19" s="97" t="n">
        <f aca="false">HLOOKUP($B$6,'RetireUp Market Returns'!A:CT,(1+$B$7+C19),FALSE())</f>
        <v>0.0341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2581799.56</v>
      </c>
      <c r="K19" s="99" t="n">
        <f aca="false">J19*E19</f>
        <v>88039.364996</v>
      </c>
      <c r="L19" s="99" t="n">
        <f aca="false">J19+K19</f>
        <v>2669838.924996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2669838.924996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30000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45702.1875</v>
      </c>
      <c r="W19" s="99" t="n">
        <f aca="false">MIN(R19,T19)</f>
        <v>23639.0625</v>
      </c>
      <c r="X19" s="99" t="n">
        <f aca="false">MIN(U19,R19-W19)</f>
        <v>1360.9375</v>
      </c>
      <c r="Y19" s="99" t="n">
        <f aca="false">MIN(S19,V19)</f>
        <v>30000</v>
      </c>
      <c r="Z19" s="99" t="n">
        <f aca="false">W19+X19+Y19</f>
        <v>55000</v>
      </c>
      <c r="AA19" s="100" t="n">
        <f aca="false">Q19+W19+X19+Y19</f>
        <v>2724838.924996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67</v>
      </c>
      <c r="E20" s="97" t="n">
        <f aca="false">HLOOKUP($B$6,'RetireUp Market Returns'!A:CT,(1+$B$7+C20),FALSE())</f>
        <v>0.176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2724838.924996</v>
      </c>
      <c r="K20" s="99" t="n">
        <f aca="false">J20*E20</f>
        <v>479571.650799296</v>
      </c>
      <c r="L20" s="99" t="n">
        <f aca="false">J20+K20</f>
        <v>3204410.5757953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3204410.5757953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30000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46844.7421875</v>
      </c>
      <c r="W20" s="99" t="n">
        <f aca="false">MIN(R20,T20)</f>
        <v>24230.0390625</v>
      </c>
      <c r="X20" s="99" t="n">
        <f aca="false">MIN(U20,R20-W20)</f>
        <v>769.960937500007</v>
      </c>
      <c r="Y20" s="99" t="n">
        <f aca="false">MIN(S20,V20)</f>
        <v>30000</v>
      </c>
      <c r="Z20" s="99" t="n">
        <f aca="false">W20+X20+Y20</f>
        <v>55000</v>
      </c>
      <c r="AA20" s="100" t="n">
        <f aca="false">Q20+W20+X20+Y20</f>
        <v>3259410.5757953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68</v>
      </c>
      <c r="E21" s="97" t="n">
        <f aca="false">HLOOKUP($B$6,'RetireUp Market Returns'!A:CT,(1+$B$7+C21),FALSE())</f>
        <v>0.1283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3259410.5757953</v>
      </c>
      <c r="K21" s="99" t="n">
        <f aca="false">J21*E21</f>
        <v>418182.376874537</v>
      </c>
      <c r="L21" s="99" t="n">
        <f aca="false">J21+K21</f>
        <v>3677592.95266983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3677592.95266983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25000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30000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48015.8607421875</v>
      </c>
      <c r="W21" s="99" t="n">
        <f aca="false">MIN(R21,T21)</f>
        <v>24835.7900390625</v>
      </c>
      <c r="X21" s="99" t="n">
        <f aca="false">MIN(U21,R21-W21)</f>
        <v>164.209960937511</v>
      </c>
      <c r="Y21" s="99" t="n">
        <f aca="false">MIN(S21,V21)</f>
        <v>30000</v>
      </c>
      <c r="Z21" s="99" t="n">
        <f aca="false">W21+X21+Y21</f>
        <v>55000</v>
      </c>
      <c r="AA21" s="100" t="n">
        <f aca="false">Q21+W21+X21+Y21</f>
        <v>3732592.95266983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69</v>
      </c>
      <c r="E22" s="97" t="n">
        <f aca="false">HLOOKUP($B$6,'RetireUp Market Returns'!A:CT,(1+$B$7+C22),FALSE())</f>
        <v>0.1308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3732592.95266983</v>
      </c>
      <c r="K22" s="99" t="n">
        <f aca="false">J22*E22</f>
        <v>488223.158209214</v>
      </c>
      <c r="L22" s="99" t="n">
        <f aca="false">J22+K22</f>
        <v>4220816.11087905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4220816.11087905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25000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30000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49672.9420507812</v>
      </c>
      <c r="W22" s="99" t="n">
        <f aca="false">MIN(R22,T22)</f>
        <v>25000</v>
      </c>
      <c r="X22" s="99" t="n">
        <f aca="false">MIN(U22,R22-W22)</f>
        <v>0</v>
      </c>
      <c r="Y22" s="99" t="n">
        <f aca="false">MIN(S22,V22)</f>
        <v>30000</v>
      </c>
      <c r="Z22" s="99" t="n">
        <f aca="false">W22+X22+Y22</f>
        <v>55000</v>
      </c>
      <c r="AA22" s="100" t="n">
        <f aca="false">Q22+W22+X22+Y22</f>
        <v>4275816.11087905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70</v>
      </c>
      <c r="E23" s="97" t="n">
        <f aca="false">HLOOKUP($B$6,'RetireUp Market Returns'!A:CT,(1+$B$7+C23),FALSE())</f>
        <v>0.1613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4275816.11087905</v>
      </c>
      <c r="K23" s="99" t="n">
        <f aca="false">J23*E23</f>
        <v>689689.13868479</v>
      </c>
      <c r="L23" s="99" t="n">
        <f aca="false">J23+K23</f>
        <v>4965505.24956384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4965505.24956384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25000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30000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51539.7656020507</v>
      </c>
      <c r="W23" s="99" t="n">
        <f aca="false">MIN(R23,T23)</f>
        <v>25000</v>
      </c>
      <c r="X23" s="99" t="n">
        <f aca="false">MIN(U23,R23-W23)</f>
        <v>0</v>
      </c>
      <c r="Y23" s="99" t="n">
        <f aca="false">MIN(S23,V23)</f>
        <v>30000</v>
      </c>
      <c r="Z23" s="99" t="n">
        <f aca="false">W23+X23+Y23</f>
        <v>55000</v>
      </c>
      <c r="AA23" s="100" t="n">
        <f aca="false">Q23+W23+X23+Y23</f>
        <v>5020505.24956384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71</v>
      </c>
      <c r="E24" s="97" t="n">
        <f aca="false">HLOOKUP($B$6,'RetireUp Market Returns'!A:CT,(1+$B$7+C24),FALSE())</f>
        <v>-0.0787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5020505.24956384</v>
      </c>
      <c r="K24" s="99" t="n">
        <f aca="false">J24*E24</f>
        <v>-395113.763140674</v>
      </c>
      <c r="L24" s="99" t="n">
        <f aca="false">J24+K24</f>
        <v>4625391.48642316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4625391.48642316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25000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30000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53453.259742102</v>
      </c>
      <c r="W24" s="99" t="n">
        <f aca="false">MIN(R24,T24)</f>
        <v>25000</v>
      </c>
      <c r="X24" s="99" t="n">
        <f aca="false">MIN(U24,R24-W24)</f>
        <v>0</v>
      </c>
      <c r="Y24" s="99" t="n">
        <f aca="false">MIN(S24,V24)</f>
        <v>30000</v>
      </c>
      <c r="Z24" s="99" t="n">
        <f aca="false">W24+X24+Y24</f>
        <v>55000</v>
      </c>
      <c r="AA24" s="100" t="n">
        <f aca="false">Q24+W24+X24+Y24</f>
        <v>4680391.48642316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72</v>
      </c>
      <c r="E25" s="97" t="n">
        <f aca="false">HLOOKUP($B$6,'RetireUp Market Returns'!A:CT,(1+$B$7+C25),FALSE())</f>
        <v>0.0196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4680391.48642316</v>
      </c>
      <c r="K25" s="99" t="n">
        <f aca="false">J25*E25</f>
        <v>91735.673133894</v>
      </c>
      <c r="L25" s="99" t="n">
        <f aca="false">J25+K25</f>
        <v>4772127.15955706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4772127.15955706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25000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30000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55414.5912356545</v>
      </c>
      <c r="W25" s="99" t="n">
        <f aca="false">MIN(R25,T25)</f>
        <v>25000</v>
      </c>
      <c r="X25" s="99" t="n">
        <f aca="false">MIN(U25,R25-W25)</f>
        <v>0</v>
      </c>
      <c r="Y25" s="99" t="n">
        <f aca="false">MIN(S25,V25)</f>
        <v>30000</v>
      </c>
      <c r="Z25" s="99" t="n">
        <f aca="false">W25+X25+Y25</f>
        <v>55000</v>
      </c>
      <c r="AA25" s="100" t="n">
        <f aca="false">Q25+W25+X25+Y25</f>
        <v>4827127.15955706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73</v>
      </c>
      <c r="E26" s="97" t="n">
        <f aca="false">HLOOKUP($B$6,'RetireUp Market Returns'!A:CT,(1+$B$7+C26),FALSE())</f>
        <v>0.1025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4827127.15955706</v>
      </c>
      <c r="K26" s="99" t="n">
        <f aca="false">J26*E26</f>
        <v>494780.533854598</v>
      </c>
      <c r="L26" s="99" t="n">
        <f aca="false">J26+K26</f>
        <v>5321907.69341166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26.5</v>
      </c>
      <c r="N26" s="99" t="n">
        <f aca="false">IF($M26="-",0,J26/$M26)</f>
        <v>182155.741870078</v>
      </c>
      <c r="O26" s="99" t="n">
        <f aca="false">IF(D26&gt;$B$4,0,IF(D26&lt;$B$3,0,$B$8*(1+$B$10)^(C26-1)))</f>
        <v>0</v>
      </c>
      <c r="P26" s="99" t="n">
        <f aca="false">MAX(N26,O26)</f>
        <v>182155.741870078</v>
      </c>
      <c r="Q26" s="99" t="n">
        <f aca="false">MAX(0,L26-P26)</f>
        <v>5139751.95154158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25000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30000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57424.9560165459</v>
      </c>
      <c r="W26" s="99" t="n">
        <f aca="false">MIN(R26,T26)</f>
        <v>25000</v>
      </c>
      <c r="X26" s="99" t="n">
        <f aca="false">MIN(U26,R26-W26)</f>
        <v>0</v>
      </c>
      <c r="Y26" s="99" t="n">
        <f aca="false">MIN(S26,V26)</f>
        <v>30000</v>
      </c>
      <c r="Z26" s="99" t="n">
        <f aca="false">W26+X26+Y26</f>
        <v>55000</v>
      </c>
      <c r="AA26" s="100" t="n">
        <f aca="false">Q26+W26+X26+Y26</f>
        <v>5194751.95154158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74</v>
      </c>
      <c r="E27" s="97" t="n">
        <f aca="false">HLOOKUP($B$6,'RetireUp Market Returns'!A:CT,(1+$B$7+C27),FALSE())</f>
        <v>0.1713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5194751.95154158</v>
      </c>
      <c r="K27" s="99" t="n">
        <f aca="false">J27*E27</f>
        <v>889861.009299072</v>
      </c>
      <c r="L27" s="99" t="n">
        <f aca="false">J27+K27</f>
        <v>6084612.96084065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25.5</v>
      </c>
      <c r="N27" s="99" t="n">
        <f aca="false">IF($M27="-",0,J27/$M27)</f>
        <v>203715.762805552</v>
      </c>
      <c r="O27" s="99" t="n">
        <f aca="false">IF(D27&gt;$B$4,0,IF(D27&lt;$B$3,0,$B$8*(1+$B$10)^(C27-1)))</f>
        <v>0</v>
      </c>
      <c r="P27" s="99" t="n">
        <f aca="false">MAX(N27,O27)</f>
        <v>203715.762805552</v>
      </c>
      <c r="Q27" s="99" t="n">
        <f aca="false">MAX(0,L27-P27)</f>
        <v>5880897.1980351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25000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30000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59485.5799169595</v>
      </c>
      <c r="W27" s="99" t="n">
        <f aca="false">MIN(R27,T27)</f>
        <v>25000</v>
      </c>
      <c r="X27" s="99" t="n">
        <f aca="false">MIN(U27,R27-W27)</f>
        <v>0</v>
      </c>
      <c r="Y27" s="99" t="n">
        <f aca="false">MIN(S27,V27)</f>
        <v>30000</v>
      </c>
      <c r="Z27" s="99" t="n">
        <f aca="false">W27+X27+Y27</f>
        <v>55000</v>
      </c>
      <c r="AA27" s="100" t="n">
        <f aca="false">Q27+W27+X27+Y27</f>
        <v>5935897.1980351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75</v>
      </c>
      <c r="E28" s="97" t="n">
        <f aca="false">HLOOKUP($B$6,'RetireUp Market Returns'!A:CT,(1+$B$7+C28),FALSE())</f>
        <v>0.1041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5935897.1980351</v>
      </c>
      <c r="K28" s="99" t="n">
        <f aca="false">J28*E28</f>
        <v>617926.898315454</v>
      </c>
      <c r="L28" s="99" t="n">
        <f aca="false">J28+K28</f>
        <v>6553824.09635055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24.6</v>
      </c>
      <c r="N28" s="99" t="n">
        <f aca="false">IF($M28="-",0,J28/$M28)</f>
        <v>241296.634066467</v>
      </c>
      <c r="O28" s="99" t="n">
        <f aca="false">IF(D28&gt;$B$4,0,IF(D28&lt;$B$3,0,$B$8*(1+$B$10)^(C28-1)))</f>
        <v>0</v>
      </c>
      <c r="P28" s="99" t="n">
        <f aca="false">MAX(N28,O28)</f>
        <v>241296.634066467</v>
      </c>
      <c r="Q28" s="99" t="n">
        <f aca="false">MAX(0,L28-P28)</f>
        <v>6312527.46228409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25000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30000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61597.7194148835</v>
      </c>
      <c r="W28" s="99" t="n">
        <f aca="false">MIN(R28,T28)</f>
        <v>25000</v>
      </c>
      <c r="X28" s="99" t="n">
        <f aca="false">MIN(U28,R28-W28)</f>
        <v>0</v>
      </c>
      <c r="Y28" s="99" t="n">
        <f aca="false">MIN(S28,V28)</f>
        <v>30000</v>
      </c>
      <c r="Z28" s="99" t="n">
        <f aca="false">W28+X28+Y28</f>
        <v>55000</v>
      </c>
      <c r="AA28" s="100" t="n">
        <f aca="false">Q28+W28+X28+Y28</f>
        <v>6367527.46228409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76</v>
      </c>
      <c r="E29" s="97" t="n">
        <f aca="false">HLOOKUP($B$6,'RetireUp Market Returns'!A:CT,(1+$B$7+C29),FALSE())</f>
        <v>0.128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6367527.46228409</v>
      </c>
      <c r="K29" s="99" t="n">
        <f aca="false">J29*E29</f>
        <v>815043.515172363</v>
      </c>
      <c r="L29" s="99" t="n">
        <f aca="false">J29+K29</f>
        <v>7182570.97745645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23.7</v>
      </c>
      <c r="N29" s="99" t="n">
        <f aca="false">IF($M29="-",0,J29/$M29)</f>
        <v>268672.044822113</v>
      </c>
      <c r="O29" s="99" t="n">
        <f aca="false">IF(D29&gt;$B$4,0,IF(D29&lt;$B$3,0,$B$8*(1+$B$10)^(C29-1)))</f>
        <v>134488.88242463</v>
      </c>
      <c r="P29" s="99" t="n">
        <f aca="false">MAX(N29,O29)</f>
        <v>268672.044822113</v>
      </c>
      <c r="Q29" s="99" t="n">
        <f aca="false">MAX(0,L29-P29)</f>
        <v>6913898.93263434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6913898.93263434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77</v>
      </c>
      <c r="E30" s="97" t="n">
        <f aca="false">HLOOKUP($B$6,'RetireUp Market Returns'!A:CT,(1+$B$7+C30),FALSE())</f>
        <v>0.0497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6913898.93263434</v>
      </c>
      <c r="K30" s="99" t="n">
        <f aca="false">J30*E30</f>
        <v>343620.776951926</v>
      </c>
      <c r="L30" s="99" t="n">
        <f aca="false">J30+K30</f>
        <v>7257519.70958626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22.9</v>
      </c>
      <c r="N30" s="99" t="n">
        <f aca="false">IF($M30="-",0,J30/$M30)</f>
        <v>301916.983957831</v>
      </c>
      <c r="O30" s="99" t="n">
        <f aca="false">IF(D30&gt;$B$4,0,IF(D30&lt;$B$3,0,$B$8*(1+$B$10)^(C30-1)))</f>
        <v>137851.104485245</v>
      </c>
      <c r="P30" s="99" t="n">
        <f aca="false">MAX(N30,O30)</f>
        <v>301916.983957831</v>
      </c>
      <c r="Q30" s="99" t="n">
        <f aca="false">MAX(0,L30-P30)</f>
        <v>6955602.72562843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6955602.72562843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78</v>
      </c>
      <c r="E31" s="97" t="n">
        <f aca="false">HLOOKUP($B$6,'RetireUp Market Returns'!A:CT,(1+$B$7+C31),FALSE())</f>
        <v>0.0901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6955602.72562843</v>
      </c>
      <c r="K31" s="99" t="n">
        <f aca="false">J31*E31</f>
        <v>626699.805579122</v>
      </c>
      <c r="L31" s="99" t="n">
        <f aca="false">J31+K31</f>
        <v>7582302.53120755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22</v>
      </c>
      <c r="N31" s="99" t="n">
        <f aca="false">IF($M31="-",0,J31/$M31)</f>
        <v>316163.760255838</v>
      </c>
      <c r="O31" s="99" t="n">
        <f aca="false">IF(D31&gt;$B$4,0,IF(D31&lt;$B$3,0,$B$8*(1+$B$10)^(C31-1)))</f>
        <v>141297.382097377</v>
      </c>
      <c r="P31" s="99" t="n">
        <f aca="false">MAX(N31,O31)</f>
        <v>316163.760255838</v>
      </c>
      <c r="Q31" s="99" t="n">
        <f aca="false">MAX(0,L31-P31)</f>
        <v>7266138.77095172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7266138.77095172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79</v>
      </c>
      <c r="E32" s="97" t="n">
        <f aca="false">HLOOKUP($B$6,'RetireUp Market Returns'!A:CT,(1+$B$7+C32),FALSE())</f>
        <v>0.0435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7266138.77095172</v>
      </c>
      <c r="K32" s="99" t="n">
        <f aca="false">J32*E32</f>
        <v>316077.0365364</v>
      </c>
      <c r="L32" s="99" t="n">
        <f aca="false">J32+K32</f>
        <v>7582215.80748811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21.1</v>
      </c>
      <c r="N32" s="99" t="n">
        <f aca="false">IF($M32="-",0,J32/$M32)</f>
        <v>344366.766395816</v>
      </c>
      <c r="O32" s="99" t="n">
        <f aca="false">IF(D32&gt;$B$4,0,IF(D32&lt;$B$3,0,$B$8*(1+$B$10)^(C32-1)))</f>
        <v>144829.816649811</v>
      </c>
      <c r="P32" s="99" t="n">
        <f aca="false">MAX(N32,O32)</f>
        <v>344366.766395816</v>
      </c>
      <c r="Q32" s="99" t="n">
        <f aca="false">MAX(0,L32-P32)</f>
        <v>7237849.0410923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7237849.0410923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80</v>
      </c>
      <c r="E33" s="97" t="n">
        <f aca="false">HLOOKUP($B$6,'RetireUp Market Returns'!A:CT,(1+$B$7+C33),FALSE())</f>
        <v>0.2636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7237849.0410923</v>
      </c>
      <c r="K33" s="99" t="n">
        <f aca="false">J33*E33</f>
        <v>1907897.00723193</v>
      </c>
      <c r="L33" s="99" t="n">
        <f aca="false">J33+K33</f>
        <v>9145746.04832423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20.2</v>
      </c>
      <c r="N33" s="99" t="n">
        <f aca="false">IF($M33="-",0,J33/$M33)</f>
        <v>358309.358469916</v>
      </c>
      <c r="O33" s="99" t="n">
        <f aca="false">IF(D33&gt;$B$4,0,IF(D33&lt;$B$3,0,$B$8*(1+$B$10)^(C33-1)))</f>
        <v>148450.562066056</v>
      </c>
      <c r="P33" s="99" t="n">
        <f aca="false">MAX(N33,O33)</f>
        <v>358309.358469916</v>
      </c>
      <c r="Q33" s="99" t="n">
        <f aca="false">MAX(0,L33-P33)</f>
        <v>8787436.68985431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8787436.68985431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81</v>
      </c>
      <c r="E34" s="97" t="n">
        <f aca="false">HLOOKUP($B$6,'RetireUp Market Returns'!A:CT,(1+$B$7+C34),FALSE())</f>
        <v>-0.108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8787436.68985431</v>
      </c>
      <c r="K34" s="99" t="n">
        <f aca="false">J34*E34</f>
        <v>-949043.162504266</v>
      </c>
      <c r="L34" s="99" t="n">
        <f aca="false">J34+K34</f>
        <v>7838393.52735005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19.4</v>
      </c>
      <c r="N34" s="99" t="n">
        <f aca="false">IF($M34="-",0,J34/$M34)</f>
        <v>452960.654116202</v>
      </c>
      <c r="O34" s="99" t="n">
        <f aca="false">IF(D34&gt;$B$4,0,IF(D34&lt;$B$3,0,$B$8*(1+$B$10)^(C34-1)))</f>
        <v>152161.826117708</v>
      </c>
      <c r="P34" s="99" t="n">
        <f aca="false">MAX(N34,O34)</f>
        <v>452960.654116202</v>
      </c>
      <c r="Q34" s="99" t="n">
        <f aca="false">MAX(0,L34-P34)</f>
        <v>7385432.87323384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7385432.87323384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82</v>
      </c>
      <c r="E35" s="97" t="n">
        <f aca="false">HLOOKUP($B$6,'RetireUp Market Returns'!A:CT,(1+$B$7+C35),FALSE())</f>
        <v>0.2124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7385432.87323384</v>
      </c>
      <c r="K35" s="99" t="n">
        <f aca="false">J35*E35</f>
        <v>1568665.94227487</v>
      </c>
      <c r="L35" s="99" t="n">
        <f aca="false">J35+K35</f>
        <v>8954098.81550871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18.5</v>
      </c>
      <c r="N35" s="99" t="n">
        <f aca="false">IF($M35="-",0,J35/$M35)</f>
        <v>399212.58774237</v>
      </c>
      <c r="O35" s="99" t="n">
        <f aca="false">IF(D35&gt;$B$4,0,IF(D35&lt;$B$3,0,$B$8*(1+$B$10)^(C35-1)))</f>
        <v>155965.87177065</v>
      </c>
      <c r="P35" s="99" t="n">
        <f aca="false">MAX(N35,O35)</f>
        <v>399212.58774237</v>
      </c>
      <c r="Q35" s="99" t="n">
        <f aca="false">MAX(0,L35-P35)</f>
        <v>8554886.22776634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8554886.22776634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83</v>
      </c>
      <c r="E36" s="97" t="n">
        <f aca="false">HLOOKUP($B$6,'RetireUp Market Returns'!A:CT,(1+$B$7+C36),FALSE())</f>
        <v>0.0733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8554886.22776634</v>
      </c>
      <c r="K36" s="99" t="n">
        <f aca="false">J36*E36</f>
        <v>627073.160495273</v>
      </c>
      <c r="L36" s="99" t="n">
        <f aca="false">J36+K36</f>
        <v>9181959.38826162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17.7</v>
      </c>
      <c r="N36" s="99" t="n">
        <f aca="false">IF($M36="-",0,J36/$M36)</f>
        <v>483326.905523522</v>
      </c>
      <c r="O36" s="99" t="n">
        <f aca="false">IF(D36&gt;$B$4,0,IF(D36&lt;$B$3,0,$B$8*(1+$B$10)^(C36-1)))</f>
        <v>159865.018564917</v>
      </c>
      <c r="P36" s="99" t="n">
        <f aca="false">MAX(N36,O36)</f>
        <v>483326.905523522</v>
      </c>
      <c r="Q36" s="99" t="n">
        <f aca="false">MAX(0,L36-P36)</f>
        <v>8698632.4827381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8698632.4827381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84</v>
      </c>
      <c r="E37" s="97" t="n">
        <f aca="false">HLOOKUP($B$6,'RetireUp Market Returns'!A:CT,(1+$B$7+C37),FALSE())</f>
        <v>0.1447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8698632.4827381</v>
      </c>
      <c r="K37" s="99" t="n">
        <f aca="false">J37*E37</f>
        <v>1258692.1202522</v>
      </c>
      <c r="L37" s="99" t="n">
        <f aca="false">J37+K37</f>
        <v>9957324.6029903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16.8</v>
      </c>
      <c r="N37" s="99" t="n">
        <f aca="false">IF($M37="-",0,J37/$M37)</f>
        <v>517775.743020125</v>
      </c>
      <c r="O37" s="99" t="n">
        <f aca="false">IF(D37&gt;$B$4,0,IF(D37&lt;$B$3,0,$B$8*(1+$B$10)^(C37-1)))</f>
        <v>163861.644029039</v>
      </c>
      <c r="P37" s="99" t="n">
        <f aca="false">MAX(N37,O37)</f>
        <v>517775.743020125</v>
      </c>
      <c r="Q37" s="99" t="n">
        <f aca="false">MAX(0,L37-P37)</f>
        <v>9439548.85997018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9439548.85997018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85</v>
      </c>
      <c r="E38" s="97" t="n">
        <f aca="false">HLOOKUP($B$6,'RetireUp Market Returns'!A:CT,(1+$B$7+C38),FALSE())</f>
        <v>0.1084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9439548.85997018</v>
      </c>
      <c r="K38" s="99" t="n">
        <f aca="false">J38*E38</f>
        <v>1023247.09642077</v>
      </c>
      <c r="L38" s="99" t="n">
        <f aca="false">J38+K38</f>
        <v>10462795.9563909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16</v>
      </c>
      <c r="N38" s="99" t="n">
        <f aca="false">IF($M38="-",0,J38/$M38)</f>
        <v>589971.803748136</v>
      </c>
      <c r="O38" s="99" t="n">
        <f aca="false">IF(D38&gt;$B$4,0,IF(D38&lt;$B$3,0,$B$8*(1+$B$10)^(C38-1)))</f>
        <v>167958.185129765</v>
      </c>
      <c r="P38" s="99" t="n">
        <f aca="false">MAX(N38,O38)</f>
        <v>589971.803748136</v>
      </c>
      <c r="Q38" s="99" t="n">
        <f aca="false">MAX(0,L38-P38)</f>
        <v>9872824.1526428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9872824.1526428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86</v>
      </c>
      <c r="E39" s="97" t="n">
        <f aca="false">HLOOKUP($B$6,'RetireUp Market Returns'!A:CT,(1+$B$7+C39),FALSE())</f>
        <v>0.0853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9872824.1526428</v>
      </c>
      <c r="K39" s="99" t="n">
        <f aca="false">J39*E39</f>
        <v>842151.900220431</v>
      </c>
      <c r="L39" s="99" t="n">
        <f aca="false">J39+K39</f>
        <v>10714976.0528632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15.2</v>
      </c>
      <c r="N39" s="99" t="n">
        <f aca="false">IF($M39="-",0,J39/$M39)</f>
        <v>649527.904779132</v>
      </c>
      <c r="O39" s="99" t="n">
        <f aca="false">IF(D39&gt;$B$4,0,IF(D39&lt;$B$3,0,$B$8*(1+$B$10)^(C39-1)))</f>
        <v>172157.13975801</v>
      </c>
      <c r="P39" s="99" t="n">
        <f aca="false">MAX(N39,O39)</f>
        <v>649527.904779132</v>
      </c>
      <c r="Q39" s="99" t="n">
        <f aca="false">MAX(0,L39-P39)</f>
        <v>10065448.1480841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10065448.1480841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87</v>
      </c>
      <c r="E40" s="97" t="n">
        <f aca="false">HLOOKUP($B$6,'RetireUp Market Returns'!A:CT,(1+$B$7+C40),FALSE())</f>
        <v>0.1187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10065448.1480841</v>
      </c>
      <c r="K40" s="99" t="n">
        <f aca="false">J40*E40</f>
        <v>1194768.69517758</v>
      </c>
      <c r="L40" s="99" t="n">
        <f aca="false">J40+K40</f>
        <v>11260216.8432617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14.4</v>
      </c>
      <c r="N40" s="99" t="n">
        <f aca="false">IF($M40="-",0,J40/$M40)</f>
        <v>698989.454728063</v>
      </c>
      <c r="O40" s="99" t="n">
        <f aca="false">IF(D40&gt;$B$4,0,IF(D40&lt;$B$3,0,$B$8*(1+$B$10)^(C40-1)))</f>
        <v>176461.06825196</v>
      </c>
      <c r="P40" s="99" t="n">
        <f aca="false">MAX(N40,O40)</f>
        <v>698989.454728063</v>
      </c>
      <c r="Q40" s="99" t="n">
        <f aca="false">MAX(0,L40-P40)</f>
        <v>10561227.3885336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10561227.3885336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88</v>
      </c>
      <c r="E41" s="97" t="n">
        <f aca="false">HLOOKUP($B$6,'RetireUp Market Returns'!A:CT,(1+$B$7+C41),FALSE())</f>
        <v>0.104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10561227.3885336</v>
      </c>
      <c r="K41" s="99" t="n">
        <f aca="false">J41*E41</f>
        <v>1098367.6484075</v>
      </c>
      <c r="L41" s="99" t="n">
        <f aca="false">J41+K41</f>
        <v>11659595.0369411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13.7</v>
      </c>
      <c r="N41" s="99" t="n">
        <f aca="false">IF($M41="-",0,J41/$M41)</f>
        <v>770892.510111943</v>
      </c>
      <c r="O41" s="99" t="n">
        <f aca="false">IF(D41&gt;$B$4,0,IF(D41&lt;$B$3,0,$B$8*(1+$B$10)^(C41-1)))</f>
        <v>180872.594958259</v>
      </c>
      <c r="P41" s="99" t="n">
        <f aca="false">MAX(N41,O41)</f>
        <v>770892.510111943</v>
      </c>
      <c r="Q41" s="99" t="n">
        <f aca="false">MAX(0,L41-P41)</f>
        <v>10888702.5268292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10888702.5268292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89</v>
      </c>
      <c r="E42" s="97" t="n">
        <f aca="false">HLOOKUP($B$6,'RetireUp Market Returns'!A:CT,(1+$B$7+C42),FALSE())</f>
        <v>-0.056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10888702.5268292</v>
      </c>
      <c r="K42" s="99" t="n">
        <f aca="false">J42*E42</f>
        <v>-609767.341502434</v>
      </c>
      <c r="L42" s="99" t="n">
        <f aca="false">J42+K42</f>
        <v>10278935.1853267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12.9</v>
      </c>
      <c r="N42" s="99" t="n">
        <f aca="false">IF($M42="-",0,J42/$M42)</f>
        <v>844085.46719606</v>
      </c>
      <c r="O42" s="99" t="n">
        <f aca="false">IF(D42&gt;$B$4,0,IF(D42&lt;$B$3,0,$B$8*(1+$B$10)^(C42-1)))</f>
        <v>185394.409832215</v>
      </c>
      <c r="P42" s="99" t="n">
        <f aca="false">MAX(N42,O42)</f>
        <v>844085.46719606</v>
      </c>
      <c r="Q42" s="99" t="n">
        <f aca="false">MAX(0,L42-P42)</f>
        <v>9434849.71813068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9434849.71813068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90</v>
      </c>
      <c r="E43" s="97" t="n">
        <f aca="false">HLOOKUP($B$6,'RetireUp Market Returns'!A:CT,(1+$B$7+C43),FALSE())</f>
        <v>0.128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9434849.71813068</v>
      </c>
      <c r="K43" s="99" t="n">
        <f aca="false">J43*E43</f>
        <v>1207660.76392073</v>
      </c>
      <c r="L43" s="99" t="n">
        <f aca="false">J43+K43</f>
        <v>10642510.4820514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12.2</v>
      </c>
      <c r="N43" s="99" t="n">
        <f aca="false">IF($M43="-",0,J43/$M43)</f>
        <v>773348.337551695</v>
      </c>
      <c r="O43" s="99" t="n">
        <f aca="false">IF(D43&gt;$B$4,0,IF(D43&lt;$B$3,0,$B$8*(1+$B$10)^(C43-1)))</f>
        <v>190029.270078021</v>
      </c>
      <c r="P43" s="99" t="n">
        <f aca="false">MAX(N43,O43)</f>
        <v>773348.337551695</v>
      </c>
      <c r="Q43" s="99" t="n">
        <f aca="false">MAX(0,L43-P43)</f>
        <v>9869162.14449971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9869162.14449971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0.0867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9869162.14449971</v>
      </c>
      <c r="K44" s="99" t="n">
        <f aca="false">J44*E44</f>
        <v>855656.357928125</v>
      </c>
      <c r="L44" s="99" t="n">
        <f aca="false">J44+K44</f>
        <v>10724818.5024278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10724818.5024278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10724818.5024278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0.1265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10724818.5024278</v>
      </c>
      <c r="K45" s="99" t="n">
        <f aca="false">J45*E45</f>
        <v>1356689.54055712</v>
      </c>
      <c r="L45" s="99" t="n">
        <f aca="false">J45+K45</f>
        <v>12081508.042985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12081508.042985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12081508.042985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0.0603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12081508.042985</v>
      </c>
      <c r="K46" s="99" t="n">
        <f aca="false">J46*E46</f>
        <v>728514.934991993</v>
      </c>
      <c r="L46" s="99" t="n">
        <f aca="false">J46+K46</f>
        <v>12810022.977977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12810022.977977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12810022.977977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0.1471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12810022.977977</v>
      </c>
      <c r="K47" s="99" t="n">
        <f aca="false">J47*E47</f>
        <v>1884354.38006041</v>
      </c>
      <c r="L47" s="99" t="n">
        <f aca="false">J47+K47</f>
        <v>14694377.3580374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14694377.3580374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14694377.3580374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0.0539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14694377.3580374</v>
      </c>
      <c r="K48" s="99" t="n">
        <f aca="false">J48*E48</f>
        <v>792026.939598214</v>
      </c>
      <c r="L48" s="99" t="n">
        <f aca="false">J48+K48</f>
        <v>15486404.2976356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15486404.2976356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15486404.2976356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0.072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15486404.2976356</v>
      </c>
      <c r="K49" s="99" t="n">
        <f aca="false">J49*E49</f>
        <v>1115021.10942976</v>
      </c>
      <c r="L49" s="99" t="n">
        <f aca="false">J49+K49</f>
        <v>16601425.4070653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16601425.4070653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16601425.4070653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0.176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16601425.4070653</v>
      </c>
      <c r="K50" s="99" t="n">
        <f aca="false">J50*E50</f>
        <v>2921850.8716435</v>
      </c>
      <c r="L50" s="99" t="n">
        <f aca="false">J50+K50</f>
        <v>19523276.2787088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19523276.2787088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19523276.2787088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0.14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19523276.2787088</v>
      </c>
      <c r="K51" s="99" t="n">
        <f aca="false">J51*E51</f>
        <v>2733258.67901924</v>
      </c>
      <c r="L51" s="99" t="n">
        <f aca="false">J51+K51</f>
        <v>22256534.9577281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22256534.9577281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22256534.9577281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-0.0747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22256534.9577281</v>
      </c>
      <c r="K52" s="99" t="n">
        <f aca="false">J52*E52</f>
        <v>-1662563.16134229</v>
      </c>
      <c r="L52" s="99" t="n">
        <f aca="false">J52+K52</f>
        <v>20593971.7963858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20593971.7963858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20593971.7963858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-0.1133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20593971.7963858</v>
      </c>
      <c r="K53" s="99" t="n">
        <f aca="false">J53*E53</f>
        <v>-2333297.00453051</v>
      </c>
      <c r="L53" s="99" t="n">
        <f aca="false">J53+K53</f>
        <v>18260674.7918553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18260674.7918553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18260674.7918553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-0.2157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18260674.7918553</v>
      </c>
      <c r="K54" s="99" t="n">
        <f aca="false">J54*E54</f>
        <v>-3938827.55260318</v>
      </c>
      <c r="L54" s="99" t="n">
        <f aca="false">J54+K54</f>
        <v>14321847.2392521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14321847.2392521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14321847.2392521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24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64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% of Salary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403b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403b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0.05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0.08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176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403b with % of Salary / % of Salary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64</v>
      </c>
      <c r="E17" s="97" t="n">
        <f aca="false">HLOOKUP($B$6,'RetireUp Market Returns'!A:CT,(1+$B$7+C17),FALSE())</f>
        <v>0.1459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291800</v>
      </c>
      <c r="L17" s="99" t="n">
        <f aca="false">J17+K17</f>
        <v>2291800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2291800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61000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5000</v>
      </c>
      <c r="Z17" s="99" t="n">
        <f aca="false">W17+X17+Y17</f>
        <v>10000</v>
      </c>
      <c r="AA17" s="100" t="n">
        <f aca="false">Q17+Z17</f>
        <v>2301800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65</v>
      </c>
      <c r="E18" s="97" t="n">
        <f aca="false">HLOOKUP($B$6,'RetireUp Market Returns'!A:CT,(1+$B$7+C18),FALSE())</f>
        <v>0.0767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2301800</v>
      </c>
      <c r="K18" s="99" t="n">
        <f aca="false">J18*E18</f>
        <v>176548.06</v>
      </c>
      <c r="L18" s="99" t="n">
        <f aca="false">J18+K18</f>
        <v>2478348.06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2478348.06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62550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5100</v>
      </c>
      <c r="Z18" s="99" t="n">
        <f aca="false">W18+X18+Y18</f>
        <v>10200</v>
      </c>
      <c r="AA18" s="100" t="n">
        <f aca="false">Q18+W18+X18+Y18</f>
        <v>2488548.06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66</v>
      </c>
      <c r="E19" s="97" t="n">
        <f aca="false">HLOOKUP($B$6,'RetireUp Market Returns'!A:CT,(1+$B$7+C19),FALSE())</f>
        <v>0.0341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2488548.06</v>
      </c>
      <c r="K19" s="99" t="n">
        <f aca="false">J19*E19</f>
        <v>84859.488846</v>
      </c>
      <c r="L19" s="99" t="n">
        <f aca="false">J19+K19</f>
        <v>2573407.548846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2573407.548846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64139.25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5202</v>
      </c>
      <c r="Z19" s="99" t="n">
        <f aca="false">W19+X19+Y19</f>
        <v>10404</v>
      </c>
      <c r="AA19" s="100" t="n">
        <f aca="false">Q19+W19+X19+Y19</f>
        <v>2583811.548846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67</v>
      </c>
      <c r="E20" s="97" t="n">
        <f aca="false">HLOOKUP($B$6,'RetireUp Market Returns'!A:CT,(1+$B$7+C20),FALSE())</f>
        <v>0.176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2583811.548846</v>
      </c>
      <c r="K20" s="99" t="n">
        <f aca="false">J20*E20</f>
        <v>454750.832596896</v>
      </c>
      <c r="L20" s="99" t="n">
        <f aca="false">J20+K20</f>
        <v>3038562.3814429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3038562.3814429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65768.74125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5306.04</v>
      </c>
      <c r="Z20" s="99" t="n">
        <f aca="false">W20+X20+Y20</f>
        <v>10612.08</v>
      </c>
      <c r="AA20" s="100" t="n">
        <f aca="false">Q20+W20+X20+Y20</f>
        <v>3049174.4614429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68</v>
      </c>
      <c r="E21" s="97" t="n">
        <f aca="false">HLOOKUP($B$6,'RetireUp Market Returns'!A:CT,(1+$B$7+C21),FALSE())</f>
        <v>0.1283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3049174.4614429</v>
      </c>
      <c r="K21" s="99" t="n">
        <f aca="false">J21*E21</f>
        <v>391209.083403123</v>
      </c>
      <c r="L21" s="99" t="n">
        <f aca="false">J21+K21</f>
        <v>3440383.54484602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3440383.54484602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5412.1608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5412.1608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67439.48998125</v>
      </c>
      <c r="W21" s="99" t="n">
        <f aca="false">MIN(R21,T21)</f>
        <v>5412.1608</v>
      </c>
      <c r="X21" s="99" t="n">
        <f aca="false">MIN(U21,R21-W21)</f>
        <v>0</v>
      </c>
      <c r="Y21" s="99" t="n">
        <f aca="false">MIN(S21,V21)</f>
        <v>5412.1608</v>
      </c>
      <c r="Z21" s="99" t="n">
        <f aca="false">W21+X21+Y21</f>
        <v>10824.3216</v>
      </c>
      <c r="AA21" s="100" t="n">
        <f aca="false">Q21+W21+X21+Y21</f>
        <v>3451207.86644602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69</v>
      </c>
      <c r="E22" s="97" t="n">
        <f aca="false">HLOOKUP($B$6,'RetireUp Market Returns'!A:CT,(1+$B$7+C22),FALSE())</f>
        <v>0.1308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3451207.86644602</v>
      </c>
      <c r="K22" s="99" t="n">
        <f aca="false">J22*E22</f>
        <v>451417.988931139</v>
      </c>
      <c r="L22" s="99" t="n">
        <f aca="false">J22+K22</f>
        <v>3902625.85537716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3902625.85537716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5520.404016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5520.404016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69152.5380347812</v>
      </c>
      <c r="W22" s="99" t="n">
        <f aca="false">MIN(R22,T22)</f>
        <v>5520.404016</v>
      </c>
      <c r="X22" s="99" t="n">
        <f aca="false">MIN(U22,R22-W22)</f>
        <v>0</v>
      </c>
      <c r="Y22" s="99" t="n">
        <f aca="false">MIN(S22,V22)</f>
        <v>5520.404016</v>
      </c>
      <c r="Z22" s="99" t="n">
        <f aca="false">W22+X22+Y22</f>
        <v>11040.808032</v>
      </c>
      <c r="AA22" s="100" t="n">
        <f aca="false">Q22+W22+X22+Y22</f>
        <v>3913666.66340916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70</v>
      </c>
      <c r="E23" s="97" t="n">
        <f aca="false">HLOOKUP($B$6,'RetireUp Market Returns'!A:CT,(1+$B$7+C23),FALSE())</f>
        <v>0.1613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3913666.66340916</v>
      </c>
      <c r="K23" s="99" t="n">
        <f aca="false">J23*E23</f>
        <v>631274.432807897</v>
      </c>
      <c r="L23" s="99" t="n">
        <f aca="false">J23+K23</f>
        <v>4544941.09621706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4544941.09621706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5630.81209632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5630.81209632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70908.9535057307</v>
      </c>
      <c r="W23" s="99" t="n">
        <f aca="false">MIN(R23,T23)</f>
        <v>5630.81209632</v>
      </c>
      <c r="X23" s="99" t="n">
        <f aca="false">MIN(U23,R23-W23)</f>
        <v>0</v>
      </c>
      <c r="Y23" s="99" t="n">
        <f aca="false">MIN(S23,V23)</f>
        <v>5630.81209632</v>
      </c>
      <c r="Z23" s="99" t="n">
        <f aca="false">W23+X23+Y23</f>
        <v>11261.62419264</v>
      </c>
      <c r="AA23" s="100" t="n">
        <f aca="false">Q23+W23+X23+Y23</f>
        <v>4556202.7204097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71</v>
      </c>
      <c r="E24" s="97" t="n">
        <f aca="false">HLOOKUP($B$6,'RetireUp Market Returns'!A:CT,(1+$B$7+C24),FALSE())</f>
        <v>-0.0787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4556202.7204097</v>
      </c>
      <c r="K24" s="99" t="n">
        <f aca="false">J24*E24</f>
        <v>-358573.154096243</v>
      </c>
      <c r="L24" s="99" t="n">
        <f aca="false">J24+K24</f>
        <v>4197629.56631345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4197629.56631345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5743.4283382464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5743.4283382464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72709.8314038556</v>
      </c>
      <c r="W24" s="99" t="n">
        <f aca="false">MIN(R24,T24)</f>
        <v>5743.4283382464</v>
      </c>
      <c r="X24" s="99" t="n">
        <f aca="false">MIN(U24,R24-W24)</f>
        <v>0</v>
      </c>
      <c r="Y24" s="99" t="n">
        <f aca="false">MIN(S24,V24)</f>
        <v>5743.4283382464</v>
      </c>
      <c r="Z24" s="99" t="n">
        <f aca="false">W24+X24+Y24</f>
        <v>11486.8566764928</v>
      </c>
      <c r="AA24" s="100" t="n">
        <f aca="false">Q24+W24+X24+Y24</f>
        <v>4209116.42298995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72</v>
      </c>
      <c r="E25" s="97" t="n">
        <f aca="false">HLOOKUP($B$6,'RetireUp Market Returns'!A:CT,(1+$B$7+C25),FALSE())</f>
        <v>0.0196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4209116.42298995</v>
      </c>
      <c r="K25" s="99" t="n">
        <f aca="false">J25*E25</f>
        <v>82498.681890603</v>
      </c>
      <c r="L25" s="99" t="n">
        <f aca="false">J25+K25</f>
        <v>4291615.10488055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4291615.10488055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5858.29690501133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5858.29690501133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74556.2943306432</v>
      </c>
      <c r="W25" s="99" t="n">
        <f aca="false">MIN(R25,T25)</f>
        <v>5858.29690501133</v>
      </c>
      <c r="X25" s="99" t="n">
        <f aca="false">MIN(U25,R25-W25)</f>
        <v>0</v>
      </c>
      <c r="Y25" s="99" t="n">
        <f aca="false">MIN(S25,V25)</f>
        <v>5858.29690501133</v>
      </c>
      <c r="Z25" s="99" t="n">
        <f aca="false">W25+X25+Y25</f>
        <v>11716.5938100227</v>
      </c>
      <c r="AA25" s="100" t="n">
        <f aca="false">Q25+W25+X25+Y25</f>
        <v>4303331.69869057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73</v>
      </c>
      <c r="E26" s="97" t="n">
        <f aca="false">HLOOKUP($B$6,'RetireUp Market Returns'!A:CT,(1+$B$7+C26),FALSE())</f>
        <v>0.1025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4303331.69869057</v>
      </c>
      <c r="K26" s="99" t="n">
        <f aca="false">J26*E26</f>
        <v>441091.499115784</v>
      </c>
      <c r="L26" s="99" t="n">
        <f aca="false">J26+K26</f>
        <v>4744423.19780636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26.5</v>
      </c>
      <c r="N26" s="99" t="n">
        <f aca="false">IF($M26="-",0,J26/$M26)</f>
        <v>162389.875422286</v>
      </c>
      <c r="O26" s="99" t="n">
        <f aca="false">IF(D26&gt;$B$4,0,IF(D26&lt;$B$3,0,$B$8*(1+$B$10)^(C26-1)))</f>
        <v>0</v>
      </c>
      <c r="P26" s="99" t="n">
        <f aca="false">MAX(N26,O26)</f>
        <v>162389.875422286</v>
      </c>
      <c r="Q26" s="99" t="n">
        <f aca="false">MAX(0,L26-P26)</f>
        <v>4582033.32238407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5975.46284311156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5975.46284311156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76449.4931734343</v>
      </c>
      <c r="W26" s="99" t="n">
        <f aca="false">MIN(R26,T26)</f>
        <v>5975.46284311156</v>
      </c>
      <c r="X26" s="99" t="n">
        <f aca="false">MIN(U26,R26-W26)</f>
        <v>0</v>
      </c>
      <c r="Y26" s="99" t="n">
        <f aca="false">MIN(S26,V26)</f>
        <v>5975.46284311156</v>
      </c>
      <c r="Z26" s="99" t="n">
        <f aca="false">W26+X26+Y26</f>
        <v>11950.9256862231</v>
      </c>
      <c r="AA26" s="100" t="n">
        <f aca="false">Q26+W26+X26+Y26</f>
        <v>4593984.24807029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74</v>
      </c>
      <c r="E27" s="97" t="n">
        <f aca="false">HLOOKUP($B$6,'RetireUp Market Returns'!A:CT,(1+$B$7+C27),FALSE())</f>
        <v>0.1713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4593984.24807029</v>
      </c>
      <c r="K27" s="99" t="n">
        <f aca="false">J27*E27</f>
        <v>786949.501694441</v>
      </c>
      <c r="L27" s="99" t="n">
        <f aca="false">J27+K27</f>
        <v>5380933.74976473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25.5</v>
      </c>
      <c r="N27" s="99" t="n">
        <f aca="false">IF($M27="-",0,J27/$M27)</f>
        <v>180156.245022364</v>
      </c>
      <c r="O27" s="99" t="n">
        <f aca="false">IF(D27&gt;$B$4,0,IF(D27&lt;$B$3,0,$B$8*(1+$B$10)^(C27-1)))</f>
        <v>0</v>
      </c>
      <c r="P27" s="99" t="n">
        <f aca="false">MAX(N27,O27)</f>
        <v>180156.245022364</v>
      </c>
      <c r="Q27" s="99" t="n">
        <f aca="false">MAX(0,L27-P27)</f>
        <v>5200777.50474237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6094.97209997379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6094.97209997379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78390.6078169858</v>
      </c>
      <c r="W27" s="99" t="n">
        <f aca="false">MIN(R27,T27)</f>
        <v>6094.97209997379</v>
      </c>
      <c r="X27" s="99" t="n">
        <f aca="false">MIN(U27,R27-W27)</f>
        <v>0</v>
      </c>
      <c r="Y27" s="99" t="n">
        <f aca="false">MIN(S27,V27)</f>
        <v>6094.97209997379</v>
      </c>
      <c r="Z27" s="99" t="n">
        <f aca="false">W27+X27+Y27</f>
        <v>12189.9441999476</v>
      </c>
      <c r="AA27" s="100" t="n">
        <f aca="false">Q27+W27+X27+Y27</f>
        <v>5212967.44894232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75</v>
      </c>
      <c r="E28" s="97" t="n">
        <f aca="false">HLOOKUP($B$6,'RetireUp Market Returns'!A:CT,(1+$B$7+C28),FALSE())</f>
        <v>0.1041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5212967.44894232</v>
      </c>
      <c r="K28" s="99" t="n">
        <f aca="false">J28*E28</f>
        <v>542669.911434895</v>
      </c>
      <c r="L28" s="99" t="n">
        <f aca="false">J28+K28</f>
        <v>5755637.36037721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24.6</v>
      </c>
      <c r="N28" s="99" t="n">
        <f aca="false">IF($M28="-",0,J28/$M28)</f>
        <v>211909.245891964</v>
      </c>
      <c r="O28" s="99" t="n">
        <f aca="false">IF(D28&gt;$B$4,0,IF(D28&lt;$B$3,0,$B$8*(1+$B$10)^(C28-1)))</f>
        <v>0</v>
      </c>
      <c r="P28" s="99" t="n">
        <f aca="false">MAX(N28,O28)</f>
        <v>211909.245891964</v>
      </c>
      <c r="Q28" s="99" t="n">
        <f aca="false">MAX(0,L28-P28)</f>
        <v>5543728.11448525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6216.87154197326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6216.87154197326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80380.8478729103</v>
      </c>
      <c r="W28" s="99" t="n">
        <f aca="false">MIN(R28,T28)</f>
        <v>6216.87154197326</v>
      </c>
      <c r="X28" s="99" t="n">
        <f aca="false">MIN(U28,R28-W28)</f>
        <v>0</v>
      </c>
      <c r="Y28" s="99" t="n">
        <f aca="false">MIN(S28,V28)</f>
        <v>6216.87154197326</v>
      </c>
      <c r="Z28" s="99" t="n">
        <f aca="false">W28+X28+Y28</f>
        <v>12433.7430839465</v>
      </c>
      <c r="AA28" s="100" t="n">
        <f aca="false">Q28+W28+X28+Y28</f>
        <v>5556161.8575692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76</v>
      </c>
      <c r="E29" s="97" t="n">
        <f aca="false">HLOOKUP($B$6,'RetireUp Market Returns'!A:CT,(1+$B$7+C29),FALSE())</f>
        <v>0.128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5556161.8575692</v>
      </c>
      <c r="K29" s="99" t="n">
        <f aca="false">J29*E29</f>
        <v>711188.717768857</v>
      </c>
      <c r="L29" s="99" t="n">
        <f aca="false">J29+K29</f>
        <v>6267350.57533805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23.7</v>
      </c>
      <c r="N29" s="99" t="n">
        <f aca="false">IF($M29="-",0,J29/$M29)</f>
        <v>234437.209180135</v>
      </c>
      <c r="O29" s="99" t="n">
        <f aca="false">IF(D29&gt;$B$4,0,IF(D29&lt;$B$3,0,$B$8*(1+$B$10)^(C29-1)))</f>
        <v>134488.88242463</v>
      </c>
      <c r="P29" s="99" t="n">
        <f aca="false">MAX(N29,O29)</f>
        <v>234437.209180135</v>
      </c>
      <c r="Q29" s="99" t="n">
        <f aca="false">MAX(0,L29-P29)</f>
        <v>6032913.36615792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6032913.36615792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77</v>
      </c>
      <c r="E30" s="97" t="n">
        <f aca="false">HLOOKUP($B$6,'RetireUp Market Returns'!A:CT,(1+$B$7+C30),FALSE())</f>
        <v>0.0497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6032913.36615792</v>
      </c>
      <c r="K30" s="99" t="n">
        <f aca="false">J30*E30</f>
        <v>299835.794298048</v>
      </c>
      <c r="L30" s="99" t="n">
        <f aca="false">J30+K30</f>
        <v>6332749.16045597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22.9</v>
      </c>
      <c r="N30" s="99" t="n">
        <f aca="false">IF($M30="-",0,J30/$M30)</f>
        <v>263445.99852218</v>
      </c>
      <c r="O30" s="99" t="n">
        <f aca="false">IF(D30&gt;$B$4,0,IF(D30&lt;$B$3,0,$B$8*(1+$B$10)^(C30-1)))</f>
        <v>137851.104485245</v>
      </c>
      <c r="P30" s="99" t="n">
        <f aca="false">MAX(N30,O30)</f>
        <v>263445.99852218</v>
      </c>
      <c r="Q30" s="99" t="n">
        <f aca="false">MAX(0,L30-P30)</f>
        <v>6069303.16193379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6069303.16193379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78</v>
      </c>
      <c r="E31" s="97" t="n">
        <f aca="false">HLOOKUP($B$6,'RetireUp Market Returns'!A:CT,(1+$B$7+C31),FALSE())</f>
        <v>0.0901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6069303.16193379</v>
      </c>
      <c r="K31" s="99" t="n">
        <f aca="false">J31*E31</f>
        <v>546844.214890234</v>
      </c>
      <c r="L31" s="99" t="n">
        <f aca="false">J31+K31</f>
        <v>6616147.37682402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22</v>
      </c>
      <c r="N31" s="99" t="n">
        <f aca="false">IF($M31="-",0,J31/$M31)</f>
        <v>275877.416451536</v>
      </c>
      <c r="O31" s="99" t="n">
        <f aca="false">IF(D31&gt;$B$4,0,IF(D31&lt;$B$3,0,$B$8*(1+$B$10)^(C31-1)))</f>
        <v>141297.382097377</v>
      </c>
      <c r="P31" s="99" t="n">
        <f aca="false">MAX(N31,O31)</f>
        <v>275877.416451536</v>
      </c>
      <c r="Q31" s="99" t="n">
        <f aca="false">MAX(0,L31-P31)</f>
        <v>6340269.96037248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6340269.96037248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79</v>
      </c>
      <c r="E32" s="97" t="n">
        <f aca="false">HLOOKUP($B$6,'RetireUp Market Returns'!A:CT,(1+$B$7+C32),FALSE())</f>
        <v>0.0435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6340269.96037248</v>
      </c>
      <c r="K32" s="99" t="n">
        <f aca="false">J32*E32</f>
        <v>275801.743276203</v>
      </c>
      <c r="L32" s="99" t="n">
        <f aca="false">J32+K32</f>
        <v>6616071.70364869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21.1</v>
      </c>
      <c r="N32" s="99" t="n">
        <f aca="false">IF($M32="-",0,J32/$M32)</f>
        <v>300486.727979739</v>
      </c>
      <c r="O32" s="99" t="n">
        <f aca="false">IF(D32&gt;$B$4,0,IF(D32&lt;$B$3,0,$B$8*(1+$B$10)^(C32-1)))</f>
        <v>144829.816649811</v>
      </c>
      <c r="P32" s="99" t="n">
        <f aca="false">MAX(N32,O32)</f>
        <v>300486.727979739</v>
      </c>
      <c r="Q32" s="99" t="n">
        <f aca="false">MAX(0,L32-P32)</f>
        <v>6315584.97566895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6315584.97566895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80</v>
      </c>
      <c r="E33" s="97" t="n">
        <f aca="false">HLOOKUP($B$6,'RetireUp Market Returns'!A:CT,(1+$B$7+C33),FALSE())</f>
        <v>0.2636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6315584.97566895</v>
      </c>
      <c r="K33" s="99" t="n">
        <f aca="false">J33*E33</f>
        <v>1664788.19958633</v>
      </c>
      <c r="L33" s="99" t="n">
        <f aca="false">J33+K33</f>
        <v>7980373.17525528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20.2</v>
      </c>
      <c r="N33" s="99" t="n">
        <f aca="false">IF($M33="-",0,J33/$M33)</f>
        <v>312652.72156777</v>
      </c>
      <c r="O33" s="99" t="n">
        <f aca="false">IF(D33&gt;$B$4,0,IF(D33&lt;$B$3,0,$B$8*(1+$B$10)^(C33-1)))</f>
        <v>148450.562066056</v>
      </c>
      <c r="P33" s="99" t="n">
        <f aca="false">MAX(N33,O33)</f>
        <v>312652.72156777</v>
      </c>
      <c r="Q33" s="99" t="n">
        <f aca="false">MAX(0,L33-P33)</f>
        <v>7667720.45368751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7667720.45368751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81</v>
      </c>
      <c r="E34" s="97" t="n">
        <f aca="false">HLOOKUP($B$6,'RetireUp Market Returns'!A:CT,(1+$B$7+C34),FALSE())</f>
        <v>-0.108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7667720.45368751</v>
      </c>
      <c r="K34" s="99" t="n">
        <f aca="false">J34*E34</f>
        <v>-828113.808998251</v>
      </c>
      <c r="L34" s="99" t="n">
        <f aca="false">J34+K34</f>
        <v>6839606.64468926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19.4</v>
      </c>
      <c r="N34" s="99" t="n">
        <f aca="false">IF($M34="-",0,J34/$M34)</f>
        <v>395243.322355026</v>
      </c>
      <c r="O34" s="99" t="n">
        <f aca="false">IF(D34&gt;$B$4,0,IF(D34&lt;$B$3,0,$B$8*(1+$B$10)^(C34-1)))</f>
        <v>152161.826117708</v>
      </c>
      <c r="P34" s="99" t="n">
        <f aca="false">MAX(N34,O34)</f>
        <v>395243.322355026</v>
      </c>
      <c r="Q34" s="99" t="n">
        <f aca="false">MAX(0,L34-P34)</f>
        <v>6444363.32233424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6444363.32233424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82</v>
      </c>
      <c r="E35" s="97" t="n">
        <f aca="false">HLOOKUP($B$6,'RetireUp Market Returns'!A:CT,(1+$B$7+C35),FALSE())</f>
        <v>0.2124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6444363.32233424</v>
      </c>
      <c r="K35" s="99" t="n">
        <f aca="false">J35*E35</f>
        <v>1368782.76966379</v>
      </c>
      <c r="L35" s="99" t="n">
        <f aca="false">J35+K35</f>
        <v>7813146.09199803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18.5</v>
      </c>
      <c r="N35" s="99" t="n">
        <f aca="false">IF($M35="-",0,J35/$M35)</f>
        <v>348343.963369418</v>
      </c>
      <c r="O35" s="99" t="n">
        <f aca="false">IF(D35&gt;$B$4,0,IF(D35&lt;$B$3,0,$B$8*(1+$B$10)^(C35-1)))</f>
        <v>155965.87177065</v>
      </c>
      <c r="P35" s="99" t="n">
        <f aca="false">MAX(N35,O35)</f>
        <v>348343.963369418</v>
      </c>
      <c r="Q35" s="99" t="n">
        <f aca="false">MAX(0,L35-P35)</f>
        <v>7464802.12862861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7464802.12862861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83</v>
      </c>
      <c r="E36" s="97" t="n">
        <f aca="false">HLOOKUP($B$6,'RetireUp Market Returns'!A:CT,(1+$B$7+C36),FALSE())</f>
        <v>0.0733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7464802.12862861</v>
      </c>
      <c r="K36" s="99" t="n">
        <f aca="false">J36*E36</f>
        <v>547169.996028477</v>
      </c>
      <c r="L36" s="99" t="n">
        <f aca="false">J36+K36</f>
        <v>8011972.12465709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17.7</v>
      </c>
      <c r="N36" s="99" t="n">
        <f aca="false">IF($M36="-",0,J36/$M36)</f>
        <v>421740.233255854</v>
      </c>
      <c r="O36" s="99" t="n">
        <f aca="false">IF(D36&gt;$B$4,0,IF(D36&lt;$B$3,0,$B$8*(1+$B$10)^(C36-1)))</f>
        <v>159865.018564917</v>
      </c>
      <c r="P36" s="99" t="n">
        <f aca="false">MAX(N36,O36)</f>
        <v>421740.233255854</v>
      </c>
      <c r="Q36" s="99" t="n">
        <f aca="false">MAX(0,L36-P36)</f>
        <v>7590231.89140123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7590231.89140123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84</v>
      </c>
      <c r="E37" s="97" t="n">
        <f aca="false">HLOOKUP($B$6,'RetireUp Market Returns'!A:CT,(1+$B$7+C37),FALSE())</f>
        <v>0.1447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7590231.89140123</v>
      </c>
      <c r="K37" s="99" t="n">
        <f aca="false">J37*E37</f>
        <v>1098306.55468576</v>
      </c>
      <c r="L37" s="99" t="n">
        <f aca="false">J37+K37</f>
        <v>8688538.44608699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16.8</v>
      </c>
      <c r="N37" s="99" t="n">
        <f aca="false">IF($M37="-",0,J37/$M37)</f>
        <v>451799.517345312</v>
      </c>
      <c r="O37" s="99" t="n">
        <f aca="false">IF(D37&gt;$B$4,0,IF(D37&lt;$B$3,0,$B$8*(1+$B$10)^(C37-1)))</f>
        <v>163861.644029039</v>
      </c>
      <c r="P37" s="99" t="n">
        <f aca="false">MAX(N37,O37)</f>
        <v>451799.517345312</v>
      </c>
      <c r="Q37" s="99" t="n">
        <f aca="false">MAX(0,L37-P37)</f>
        <v>8236738.92874168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8236738.92874168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85</v>
      </c>
      <c r="E38" s="97" t="n">
        <f aca="false">HLOOKUP($B$6,'RetireUp Market Returns'!A:CT,(1+$B$7+C38),FALSE())</f>
        <v>0.1084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8236738.92874168</v>
      </c>
      <c r="K38" s="99" t="n">
        <f aca="false">J38*E38</f>
        <v>892862.499875598</v>
      </c>
      <c r="L38" s="99" t="n">
        <f aca="false">J38+K38</f>
        <v>9129601.42861728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16</v>
      </c>
      <c r="N38" s="99" t="n">
        <f aca="false">IF($M38="-",0,J38/$M38)</f>
        <v>514796.183046355</v>
      </c>
      <c r="O38" s="99" t="n">
        <f aca="false">IF(D38&gt;$B$4,0,IF(D38&lt;$B$3,0,$B$8*(1+$B$10)^(C38-1)))</f>
        <v>167958.185129765</v>
      </c>
      <c r="P38" s="99" t="n">
        <f aca="false">MAX(N38,O38)</f>
        <v>514796.183046355</v>
      </c>
      <c r="Q38" s="99" t="n">
        <f aca="false">MAX(0,L38-P38)</f>
        <v>8614805.24557092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8614805.24557092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86</v>
      </c>
      <c r="E39" s="97" t="n">
        <f aca="false">HLOOKUP($B$6,'RetireUp Market Returns'!A:CT,(1+$B$7+C39),FALSE())</f>
        <v>0.0853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8614805.24557092</v>
      </c>
      <c r="K39" s="99" t="n">
        <f aca="false">J39*E39</f>
        <v>734842.8874472</v>
      </c>
      <c r="L39" s="99" t="n">
        <f aca="false">J39+K39</f>
        <v>9349648.13301812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15.2</v>
      </c>
      <c r="N39" s="99" t="n">
        <f aca="false">IF($M39="-",0,J39/$M39)</f>
        <v>566763.502998087</v>
      </c>
      <c r="O39" s="99" t="n">
        <f aca="false">IF(D39&gt;$B$4,0,IF(D39&lt;$B$3,0,$B$8*(1+$B$10)^(C39-1)))</f>
        <v>172157.13975801</v>
      </c>
      <c r="P39" s="99" t="n">
        <f aca="false">MAX(N39,O39)</f>
        <v>566763.502998087</v>
      </c>
      <c r="Q39" s="99" t="n">
        <f aca="false">MAX(0,L39-P39)</f>
        <v>8782884.63002003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8782884.63002003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87</v>
      </c>
      <c r="E40" s="97" t="n">
        <f aca="false">HLOOKUP($B$6,'RetireUp Market Returns'!A:CT,(1+$B$7+C40),FALSE())</f>
        <v>0.1187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8782884.63002003</v>
      </c>
      <c r="K40" s="99" t="n">
        <f aca="false">J40*E40</f>
        <v>1042528.40558338</v>
      </c>
      <c r="L40" s="99" t="n">
        <f aca="false">J40+K40</f>
        <v>9825413.03560341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14.4</v>
      </c>
      <c r="N40" s="99" t="n">
        <f aca="false">IF($M40="-",0,J40/$M40)</f>
        <v>609922.543751391</v>
      </c>
      <c r="O40" s="99" t="n">
        <f aca="false">IF(D40&gt;$B$4,0,IF(D40&lt;$B$3,0,$B$8*(1+$B$10)^(C40-1)))</f>
        <v>176461.06825196</v>
      </c>
      <c r="P40" s="99" t="n">
        <f aca="false">MAX(N40,O40)</f>
        <v>609922.543751391</v>
      </c>
      <c r="Q40" s="99" t="n">
        <f aca="false">MAX(0,L40-P40)</f>
        <v>9215490.49185202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9215490.49185202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88</v>
      </c>
      <c r="E41" s="97" t="n">
        <f aca="false">HLOOKUP($B$6,'RetireUp Market Returns'!A:CT,(1+$B$7+C41),FALSE())</f>
        <v>0.104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9215490.49185202</v>
      </c>
      <c r="K41" s="99" t="n">
        <f aca="false">J41*E41</f>
        <v>958411.01115261</v>
      </c>
      <c r="L41" s="99" t="n">
        <f aca="false">J41+K41</f>
        <v>10173901.5030046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13.7</v>
      </c>
      <c r="N41" s="99" t="n">
        <f aca="false">IF($M41="-",0,J41/$M41)</f>
        <v>672663.539551242</v>
      </c>
      <c r="O41" s="99" t="n">
        <f aca="false">IF(D41&gt;$B$4,0,IF(D41&lt;$B$3,0,$B$8*(1+$B$10)^(C41-1)))</f>
        <v>180872.594958259</v>
      </c>
      <c r="P41" s="99" t="n">
        <f aca="false">MAX(N41,O41)</f>
        <v>672663.539551242</v>
      </c>
      <c r="Q41" s="99" t="n">
        <f aca="false">MAX(0,L41-P41)</f>
        <v>9501237.96345339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9501237.96345339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89</v>
      </c>
      <c r="E42" s="97" t="n">
        <f aca="false">HLOOKUP($B$6,'RetireUp Market Returns'!A:CT,(1+$B$7+C42),FALSE())</f>
        <v>-0.056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9501237.96345339</v>
      </c>
      <c r="K42" s="99" t="n">
        <f aca="false">J42*E42</f>
        <v>-532069.32595339</v>
      </c>
      <c r="L42" s="99" t="n">
        <f aca="false">J42+K42</f>
        <v>8969168.6375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12.9</v>
      </c>
      <c r="N42" s="99" t="n">
        <f aca="false">IF($M42="-",0,J42/$M42)</f>
        <v>736530.074686309</v>
      </c>
      <c r="O42" s="99" t="n">
        <f aca="false">IF(D42&gt;$B$4,0,IF(D42&lt;$B$3,0,$B$8*(1+$B$10)^(C42-1)))</f>
        <v>185394.409832215</v>
      </c>
      <c r="P42" s="99" t="n">
        <f aca="false">MAX(N42,O42)</f>
        <v>736530.074686309</v>
      </c>
      <c r="Q42" s="99" t="n">
        <f aca="false">MAX(0,L42-P42)</f>
        <v>8232638.56281369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8232638.56281369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90</v>
      </c>
      <c r="E43" s="97" t="n">
        <f aca="false">HLOOKUP($B$6,'RetireUp Market Returns'!A:CT,(1+$B$7+C43),FALSE())</f>
        <v>0.128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8232638.56281369</v>
      </c>
      <c r="K43" s="99" t="n">
        <f aca="false">J43*E43</f>
        <v>1053777.73604015</v>
      </c>
      <c r="L43" s="99" t="n">
        <f aca="false">J43+K43</f>
        <v>9286416.29885384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12.2</v>
      </c>
      <c r="N43" s="99" t="n">
        <f aca="false">IF($M43="-",0,J43/$M43)</f>
        <v>674806.439574893</v>
      </c>
      <c r="O43" s="99" t="n">
        <f aca="false">IF(D43&gt;$B$4,0,IF(D43&lt;$B$3,0,$B$8*(1+$B$10)^(C43-1)))</f>
        <v>190029.270078021</v>
      </c>
      <c r="P43" s="99" t="n">
        <f aca="false">MAX(N43,O43)</f>
        <v>674806.439574893</v>
      </c>
      <c r="Q43" s="99" t="n">
        <f aca="false">MAX(0,L43-P43)</f>
        <v>8611609.85927895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8611609.85927895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0.0867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8611609.85927895</v>
      </c>
      <c r="K44" s="99" t="n">
        <f aca="false">J44*E44</f>
        <v>746626.574799485</v>
      </c>
      <c r="L44" s="99" t="n">
        <f aca="false">J44+K44</f>
        <v>9358236.43407844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9358236.43407844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9358236.43407844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0.1265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9358236.43407844</v>
      </c>
      <c r="K45" s="99" t="n">
        <f aca="false">J45*E45</f>
        <v>1183816.90891092</v>
      </c>
      <c r="L45" s="99" t="n">
        <f aca="false">J45+K45</f>
        <v>10542053.3429894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10542053.3429894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10542053.3429894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0.0603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10542053.3429894</v>
      </c>
      <c r="K46" s="99" t="n">
        <f aca="false">J46*E46</f>
        <v>635685.816582258</v>
      </c>
      <c r="L46" s="99" t="n">
        <f aca="false">J46+K46</f>
        <v>11177739.1595716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11177739.1595716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11177739.1595716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0.1471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11177739.1595716</v>
      </c>
      <c r="K47" s="99" t="n">
        <f aca="false">J47*E47</f>
        <v>1644245.43037298</v>
      </c>
      <c r="L47" s="99" t="n">
        <f aca="false">J47+K47</f>
        <v>12821984.5899446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12821984.5899446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12821984.5899446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0.0539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12821984.5899446</v>
      </c>
      <c r="K48" s="99" t="n">
        <f aca="false">J48*E48</f>
        <v>691104.969398014</v>
      </c>
      <c r="L48" s="99" t="n">
        <f aca="false">J48+K48</f>
        <v>13513089.5593426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13513089.5593426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13513089.5593426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0.072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13513089.5593426</v>
      </c>
      <c r="K49" s="99" t="n">
        <f aca="false">J49*E49</f>
        <v>972942.448272668</v>
      </c>
      <c r="L49" s="99" t="n">
        <f aca="false">J49+K49</f>
        <v>14486032.0076153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14486032.0076153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14486032.0076153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0.176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14486032.0076153</v>
      </c>
      <c r="K50" s="99" t="n">
        <f aca="false">J50*E50</f>
        <v>2549541.63334029</v>
      </c>
      <c r="L50" s="99" t="n">
        <f aca="false">J50+K50</f>
        <v>17035573.6409556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17035573.6409556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17035573.6409556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0.14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17035573.6409556</v>
      </c>
      <c r="K51" s="99" t="n">
        <f aca="false">J51*E51</f>
        <v>2384980.30973378</v>
      </c>
      <c r="L51" s="99" t="n">
        <f aca="false">J51+K51</f>
        <v>19420553.9506894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19420553.9506894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19420553.9506894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-0.0747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19420553.9506894</v>
      </c>
      <c r="K52" s="99" t="n">
        <f aca="false">J52*E52</f>
        <v>-1450715.3801165</v>
      </c>
      <c r="L52" s="99" t="n">
        <f aca="false">J52+K52</f>
        <v>17969838.5705729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17969838.5705729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17969838.5705729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-0.1133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17969838.5705729</v>
      </c>
      <c r="K53" s="99" t="n">
        <f aca="false">J53*E53</f>
        <v>-2035982.7100459</v>
      </c>
      <c r="L53" s="99" t="n">
        <f aca="false">J53+K53</f>
        <v>15933855.860527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15933855.860527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15933855.860527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-0.2157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15933855.860527</v>
      </c>
      <c r="K54" s="99" t="n">
        <f aca="false">J54*E54</f>
        <v>-3436932.70911566</v>
      </c>
      <c r="L54" s="99" t="n">
        <f aca="false">J54+K54</f>
        <v>12496923.1514113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12496923.1514113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12496923.1514113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25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64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Match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403b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403b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0.5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0.08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0.08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177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403b with % of Salary / Match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64</v>
      </c>
      <c r="E17" s="97" t="n">
        <f aca="false">HLOOKUP($B$6,'RetireUp Market Returns'!A:CT,(1+$B$7+C17),FALSE())</f>
        <v>0.1459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291800</v>
      </c>
      <c r="L17" s="99" t="n">
        <f aca="false">J17+K17</f>
        <v>2291800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2291800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2500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61000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2500</v>
      </c>
      <c r="Z17" s="99" t="n">
        <f aca="false">W17+X17+Y17</f>
        <v>7500</v>
      </c>
      <c r="AA17" s="100" t="n">
        <f aca="false">Q17+Z17</f>
        <v>2299300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65</v>
      </c>
      <c r="E18" s="97" t="n">
        <f aca="false">HLOOKUP($B$6,'RetireUp Market Returns'!A:CT,(1+$B$7+C18),FALSE())</f>
        <v>0.0767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2299300</v>
      </c>
      <c r="K18" s="99" t="n">
        <f aca="false">J18*E18</f>
        <v>176356.31</v>
      </c>
      <c r="L18" s="99" t="n">
        <f aca="false">J18+K18</f>
        <v>2475656.31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2475656.31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2550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62550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2550</v>
      </c>
      <c r="Z18" s="99" t="n">
        <f aca="false">W18+X18+Y18</f>
        <v>7650</v>
      </c>
      <c r="AA18" s="100" t="n">
        <f aca="false">Q18+W18+X18+Y18</f>
        <v>2483306.31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66</v>
      </c>
      <c r="E19" s="97" t="n">
        <f aca="false">HLOOKUP($B$6,'RetireUp Market Returns'!A:CT,(1+$B$7+C19),FALSE())</f>
        <v>0.0341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2483306.31</v>
      </c>
      <c r="K19" s="99" t="n">
        <f aca="false">J19*E19</f>
        <v>84680.745171</v>
      </c>
      <c r="L19" s="99" t="n">
        <f aca="false">J19+K19</f>
        <v>2567987.055171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2567987.055171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2601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64139.25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2601</v>
      </c>
      <c r="Z19" s="99" t="n">
        <f aca="false">W19+X19+Y19</f>
        <v>7803</v>
      </c>
      <c r="AA19" s="100" t="n">
        <f aca="false">Q19+W19+X19+Y19</f>
        <v>2575790.055171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67</v>
      </c>
      <c r="E20" s="97" t="n">
        <f aca="false">HLOOKUP($B$6,'RetireUp Market Returns'!A:CT,(1+$B$7+C20),FALSE())</f>
        <v>0.176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2575790.055171</v>
      </c>
      <c r="K20" s="99" t="n">
        <f aca="false">J20*E20</f>
        <v>453339.049710096</v>
      </c>
      <c r="L20" s="99" t="n">
        <f aca="false">J20+K20</f>
        <v>3029129.1048811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3029129.1048811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2653.02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65768.74125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2653.02</v>
      </c>
      <c r="Z20" s="99" t="n">
        <f aca="false">W20+X20+Y20</f>
        <v>7959.06</v>
      </c>
      <c r="AA20" s="100" t="n">
        <f aca="false">Q20+W20+X20+Y20</f>
        <v>3037088.1648811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68</v>
      </c>
      <c r="E21" s="97" t="n">
        <f aca="false">HLOOKUP($B$6,'RetireUp Market Returns'!A:CT,(1+$B$7+C21),FALSE())</f>
        <v>0.1283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3037088.1648811</v>
      </c>
      <c r="K21" s="99" t="n">
        <f aca="false">J21*E21</f>
        <v>389658.411554245</v>
      </c>
      <c r="L21" s="99" t="n">
        <f aca="false">J21+K21</f>
        <v>3426746.57643534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3426746.57643534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5412.1608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2706.0804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67439.48998125</v>
      </c>
      <c r="W21" s="99" t="n">
        <f aca="false">MIN(R21,T21)</f>
        <v>5412.1608</v>
      </c>
      <c r="X21" s="99" t="n">
        <f aca="false">MIN(U21,R21-W21)</f>
        <v>0</v>
      </c>
      <c r="Y21" s="99" t="n">
        <f aca="false">MIN(S21,V21)</f>
        <v>2706.0804</v>
      </c>
      <c r="Z21" s="99" t="n">
        <f aca="false">W21+X21+Y21</f>
        <v>8118.2412</v>
      </c>
      <c r="AA21" s="100" t="n">
        <f aca="false">Q21+W21+X21+Y21</f>
        <v>3434864.81763534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69</v>
      </c>
      <c r="E22" s="97" t="n">
        <f aca="false">HLOOKUP($B$6,'RetireUp Market Returns'!A:CT,(1+$B$7+C22),FALSE())</f>
        <v>0.1308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3434864.81763534</v>
      </c>
      <c r="K22" s="99" t="n">
        <f aca="false">J22*E22</f>
        <v>449280.318146703</v>
      </c>
      <c r="L22" s="99" t="n">
        <f aca="false">J22+K22</f>
        <v>3884145.13578204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3884145.13578204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5520.404016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2760.202008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69152.5380347812</v>
      </c>
      <c r="W22" s="99" t="n">
        <f aca="false">MIN(R22,T22)</f>
        <v>5520.404016</v>
      </c>
      <c r="X22" s="99" t="n">
        <f aca="false">MIN(U22,R22-W22)</f>
        <v>0</v>
      </c>
      <c r="Y22" s="99" t="n">
        <f aca="false">MIN(S22,V22)</f>
        <v>2760.202008</v>
      </c>
      <c r="Z22" s="99" t="n">
        <f aca="false">W22+X22+Y22</f>
        <v>8280.606024</v>
      </c>
      <c r="AA22" s="100" t="n">
        <f aca="false">Q22+W22+X22+Y22</f>
        <v>3892425.74180604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70</v>
      </c>
      <c r="E23" s="97" t="n">
        <f aca="false">HLOOKUP($B$6,'RetireUp Market Returns'!A:CT,(1+$B$7+C23),FALSE())</f>
        <v>0.1613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3892425.74180604</v>
      </c>
      <c r="K23" s="99" t="n">
        <f aca="false">J23*E23</f>
        <v>627848.272153315</v>
      </c>
      <c r="L23" s="99" t="n">
        <f aca="false">J23+K23</f>
        <v>4520274.01395936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4520274.01395936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5630.81209632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2815.40604816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70908.9535057307</v>
      </c>
      <c r="W23" s="99" t="n">
        <f aca="false">MIN(R23,T23)</f>
        <v>5630.81209632</v>
      </c>
      <c r="X23" s="99" t="n">
        <f aca="false">MIN(U23,R23-W23)</f>
        <v>0</v>
      </c>
      <c r="Y23" s="99" t="n">
        <f aca="false">MIN(S23,V23)</f>
        <v>2815.40604816</v>
      </c>
      <c r="Z23" s="99" t="n">
        <f aca="false">W23+X23+Y23</f>
        <v>8446.21814448</v>
      </c>
      <c r="AA23" s="100" t="n">
        <f aca="false">Q23+W23+X23+Y23</f>
        <v>4528720.23210384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71</v>
      </c>
      <c r="E24" s="97" t="n">
        <f aca="false">HLOOKUP($B$6,'RetireUp Market Returns'!A:CT,(1+$B$7+C24),FALSE())</f>
        <v>-0.0787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4528720.23210384</v>
      </c>
      <c r="K24" s="99" t="n">
        <f aca="false">J24*E24</f>
        <v>-356410.282266572</v>
      </c>
      <c r="L24" s="99" t="n">
        <f aca="false">J24+K24</f>
        <v>4172309.94983727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4172309.94983727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5743.4283382464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2871.7141691232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72709.8314038556</v>
      </c>
      <c r="W24" s="99" t="n">
        <f aca="false">MIN(R24,T24)</f>
        <v>5743.4283382464</v>
      </c>
      <c r="X24" s="99" t="n">
        <f aca="false">MIN(U24,R24-W24)</f>
        <v>0</v>
      </c>
      <c r="Y24" s="99" t="n">
        <f aca="false">MIN(S24,V24)</f>
        <v>2871.7141691232</v>
      </c>
      <c r="Z24" s="99" t="n">
        <f aca="false">W24+X24+Y24</f>
        <v>8615.1425073696</v>
      </c>
      <c r="AA24" s="100" t="n">
        <f aca="false">Q24+W24+X24+Y24</f>
        <v>4180925.09234464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72</v>
      </c>
      <c r="E25" s="97" t="n">
        <f aca="false">HLOOKUP($B$6,'RetireUp Market Returns'!A:CT,(1+$B$7+C25),FALSE())</f>
        <v>0.0196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4180925.09234464</v>
      </c>
      <c r="K25" s="99" t="n">
        <f aca="false">J25*E25</f>
        <v>81946.1318099549</v>
      </c>
      <c r="L25" s="99" t="n">
        <f aca="false">J25+K25</f>
        <v>4262871.22415459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4262871.22415459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5858.29690501133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2929.14845250566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74556.2943306432</v>
      </c>
      <c r="W25" s="99" t="n">
        <f aca="false">MIN(R25,T25)</f>
        <v>5858.29690501133</v>
      </c>
      <c r="X25" s="99" t="n">
        <f aca="false">MIN(U25,R25-W25)</f>
        <v>0</v>
      </c>
      <c r="Y25" s="99" t="n">
        <f aca="false">MIN(S25,V25)</f>
        <v>2929.14845250566</v>
      </c>
      <c r="Z25" s="99" t="n">
        <f aca="false">W25+X25+Y25</f>
        <v>8787.44535751699</v>
      </c>
      <c r="AA25" s="100" t="n">
        <f aca="false">Q25+W25+X25+Y25</f>
        <v>4271658.66951211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73</v>
      </c>
      <c r="E26" s="97" t="n">
        <f aca="false">HLOOKUP($B$6,'RetireUp Market Returns'!A:CT,(1+$B$7+C26),FALSE())</f>
        <v>0.1025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4271658.66951211</v>
      </c>
      <c r="K26" s="99" t="n">
        <f aca="false">J26*E26</f>
        <v>437845.013624991</v>
      </c>
      <c r="L26" s="99" t="n">
        <f aca="false">J26+K26</f>
        <v>4709503.6831371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26.5</v>
      </c>
      <c r="N26" s="99" t="n">
        <f aca="false">IF($M26="-",0,J26/$M26)</f>
        <v>161194.666774042</v>
      </c>
      <c r="O26" s="99" t="n">
        <f aca="false">IF(D26&gt;$B$4,0,IF(D26&lt;$B$3,0,$B$8*(1+$B$10)^(C26-1)))</f>
        <v>0</v>
      </c>
      <c r="P26" s="99" t="n">
        <f aca="false">MAX(N26,O26)</f>
        <v>161194.666774042</v>
      </c>
      <c r="Q26" s="99" t="n">
        <f aca="false">MAX(0,L26-P26)</f>
        <v>4548309.01636306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5975.46284311156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2987.73142155578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76449.4931734343</v>
      </c>
      <c r="W26" s="99" t="n">
        <f aca="false">MIN(R26,T26)</f>
        <v>5975.46284311156</v>
      </c>
      <c r="X26" s="99" t="n">
        <f aca="false">MIN(U26,R26-W26)</f>
        <v>0</v>
      </c>
      <c r="Y26" s="99" t="n">
        <f aca="false">MIN(S26,V26)</f>
        <v>2987.73142155578</v>
      </c>
      <c r="Z26" s="99" t="n">
        <f aca="false">W26+X26+Y26</f>
        <v>8963.19426466734</v>
      </c>
      <c r="AA26" s="100" t="n">
        <f aca="false">Q26+W26+X26+Y26</f>
        <v>4557272.21062772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74</v>
      </c>
      <c r="E27" s="97" t="n">
        <f aca="false">HLOOKUP($B$6,'RetireUp Market Returns'!A:CT,(1+$B$7+C27),FALSE())</f>
        <v>0.1713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4557272.21062772</v>
      </c>
      <c r="K27" s="99" t="n">
        <f aca="false">J27*E27</f>
        <v>780660.729680529</v>
      </c>
      <c r="L27" s="99" t="n">
        <f aca="false">J27+K27</f>
        <v>5337932.94030825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25.5</v>
      </c>
      <c r="N27" s="99" t="n">
        <f aca="false">IF($M27="-",0,J27/$M27)</f>
        <v>178716.557279519</v>
      </c>
      <c r="O27" s="99" t="n">
        <f aca="false">IF(D27&gt;$B$4,0,IF(D27&lt;$B$3,0,$B$8*(1+$B$10)^(C27-1)))</f>
        <v>0</v>
      </c>
      <c r="P27" s="99" t="n">
        <f aca="false">MAX(N27,O27)</f>
        <v>178716.557279519</v>
      </c>
      <c r="Q27" s="99" t="n">
        <f aca="false">MAX(0,L27-P27)</f>
        <v>5159216.38302873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6094.97209997379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3047.48604998689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78390.6078169858</v>
      </c>
      <c r="W27" s="99" t="n">
        <f aca="false">MIN(R27,T27)</f>
        <v>6094.97209997379</v>
      </c>
      <c r="X27" s="99" t="n">
        <f aca="false">MIN(U27,R27-W27)</f>
        <v>0</v>
      </c>
      <c r="Y27" s="99" t="n">
        <f aca="false">MIN(S27,V27)</f>
        <v>3047.48604998689</v>
      </c>
      <c r="Z27" s="99" t="n">
        <f aca="false">W27+X27+Y27</f>
        <v>9142.45814996068</v>
      </c>
      <c r="AA27" s="100" t="n">
        <f aca="false">Q27+W27+X27+Y27</f>
        <v>5168358.84117869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75</v>
      </c>
      <c r="E28" s="97" t="n">
        <f aca="false">HLOOKUP($B$6,'RetireUp Market Returns'!A:CT,(1+$B$7+C28),FALSE())</f>
        <v>0.1041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5168358.84117869</v>
      </c>
      <c r="K28" s="99" t="n">
        <f aca="false">J28*E28</f>
        <v>538026.155366702</v>
      </c>
      <c r="L28" s="99" t="n">
        <f aca="false">J28+K28</f>
        <v>5706384.9965454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24.6</v>
      </c>
      <c r="N28" s="99" t="n">
        <f aca="false">IF($M28="-",0,J28/$M28)</f>
        <v>210095.887852792</v>
      </c>
      <c r="O28" s="99" t="n">
        <f aca="false">IF(D28&gt;$B$4,0,IF(D28&lt;$B$3,0,$B$8*(1+$B$10)^(C28-1)))</f>
        <v>0</v>
      </c>
      <c r="P28" s="99" t="n">
        <f aca="false">MAX(N28,O28)</f>
        <v>210095.887852792</v>
      </c>
      <c r="Q28" s="99" t="n">
        <f aca="false">MAX(0,L28-P28)</f>
        <v>5496289.1086926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6216.87154197326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3108.43577098663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80380.8478729103</v>
      </c>
      <c r="W28" s="99" t="n">
        <f aca="false">MIN(R28,T28)</f>
        <v>6216.87154197326</v>
      </c>
      <c r="X28" s="99" t="n">
        <f aca="false">MIN(U28,R28-W28)</f>
        <v>0</v>
      </c>
      <c r="Y28" s="99" t="n">
        <f aca="false">MIN(S28,V28)</f>
        <v>3108.43577098663</v>
      </c>
      <c r="Z28" s="99" t="n">
        <f aca="false">W28+X28+Y28</f>
        <v>9325.3073129599</v>
      </c>
      <c r="AA28" s="100" t="n">
        <f aca="false">Q28+W28+X28+Y28</f>
        <v>5505614.41600556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76</v>
      </c>
      <c r="E29" s="97" t="n">
        <f aca="false">HLOOKUP($B$6,'RetireUp Market Returns'!A:CT,(1+$B$7+C29),FALSE())</f>
        <v>0.128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5505614.41600556</v>
      </c>
      <c r="K29" s="99" t="n">
        <f aca="false">J29*E29</f>
        <v>704718.645248712</v>
      </c>
      <c r="L29" s="99" t="n">
        <f aca="false">J29+K29</f>
        <v>6210333.06125428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23.7</v>
      </c>
      <c r="N29" s="99" t="n">
        <f aca="false">IF($M29="-",0,J29/$M29)</f>
        <v>232304.405738631</v>
      </c>
      <c r="O29" s="99" t="n">
        <f aca="false">IF(D29&gt;$B$4,0,IF(D29&lt;$B$3,0,$B$8*(1+$B$10)^(C29-1)))</f>
        <v>134488.88242463</v>
      </c>
      <c r="P29" s="99" t="n">
        <f aca="false">MAX(N29,O29)</f>
        <v>232304.405738631</v>
      </c>
      <c r="Q29" s="99" t="n">
        <f aca="false">MAX(0,L29-P29)</f>
        <v>5978028.65551564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5978028.65551564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77</v>
      </c>
      <c r="E30" s="97" t="n">
        <f aca="false">HLOOKUP($B$6,'RetireUp Market Returns'!A:CT,(1+$B$7+C30),FALSE())</f>
        <v>0.0497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5978028.65551564</v>
      </c>
      <c r="K30" s="99" t="n">
        <f aca="false">J30*E30</f>
        <v>297108.024179127</v>
      </c>
      <c r="L30" s="99" t="n">
        <f aca="false">J30+K30</f>
        <v>6275136.67969477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22.9</v>
      </c>
      <c r="N30" s="99" t="n">
        <f aca="false">IF($M30="-",0,J30/$M30)</f>
        <v>261049.286267059</v>
      </c>
      <c r="O30" s="99" t="n">
        <f aca="false">IF(D30&gt;$B$4,0,IF(D30&lt;$B$3,0,$B$8*(1+$B$10)^(C30-1)))</f>
        <v>137851.104485245</v>
      </c>
      <c r="P30" s="99" t="n">
        <f aca="false">MAX(N30,O30)</f>
        <v>261049.286267059</v>
      </c>
      <c r="Q30" s="99" t="n">
        <f aca="false">MAX(0,L30-P30)</f>
        <v>6014087.39342771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6014087.39342771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78</v>
      </c>
      <c r="E31" s="97" t="n">
        <f aca="false">HLOOKUP($B$6,'RetireUp Market Returns'!A:CT,(1+$B$7+C31),FALSE())</f>
        <v>0.0901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6014087.39342771</v>
      </c>
      <c r="K31" s="99" t="n">
        <f aca="false">J31*E31</f>
        <v>541869.274147837</v>
      </c>
      <c r="L31" s="99" t="n">
        <f aca="false">J31+K31</f>
        <v>6555956.66757555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22</v>
      </c>
      <c r="N31" s="99" t="n">
        <f aca="false">IF($M31="-",0,J31/$M31)</f>
        <v>273367.608792169</v>
      </c>
      <c r="O31" s="99" t="n">
        <f aca="false">IF(D31&gt;$B$4,0,IF(D31&lt;$B$3,0,$B$8*(1+$B$10)^(C31-1)))</f>
        <v>141297.382097377</v>
      </c>
      <c r="P31" s="99" t="n">
        <f aca="false">MAX(N31,O31)</f>
        <v>273367.608792169</v>
      </c>
      <c r="Q31" s="99" t="n">
        <f aca="false">MAX(0,L31-P31)</f>
        <v>6282589.05878338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6282589.05878338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79</v>
      </c>
      <c r="E32" s="97" t="n">
        <f aca="false">HLOOKUP($B$6,'RetireUp Market Returns'!A:CT,(1+$B$7+C32),FALSE())</f>
        <v>0.0435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6282589.05878338</v>
      </c>
      <c r="K32" s="99" t="n">
        <f aca="false">J32*E32</f>
        <v>273292.624057077</v>
      </c>
      <c r="L32" s="99" t="n">
        <f aca="false">J32+K32</f>
        <v>6555881.68284046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21.1</v>
      </c>
      <c r="N32" s="99" t="n">
        <f aca="false">IF($M32="-",0,J32/$M32)</f>
        <v>297753.035961298</v>
      </c>
      <c r="O32" s="99" t="n">
        <f aca="false">IF(D32&gt;$B$4,0,IF(D32&lt;$B$3,0,$B$8*(1+$B$10)^(C32-1)))</f>
        <v>144829.816649811</v>
      </c>
      <c r="P32" s="99" t="n">
        <f aca="false">MAX(N32,O32)</f>
        <v>297753.035961298</v>
      </c>
      <c r="Q32" s="99" t="n">
        <f aca="false">MAX(0,L32-P32)</f>
        <v>6258128.64687916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6258128.64687916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80</v>
      </c>
      <c r="E33" s="97" t="n">
        <f aca="false">HLOOKUP($B$6,'RetireUp Market Returns'!A:CT,(1+$B$7+C33),FALSE())</f>
        <v>0.2636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6258128.64687916</v>
      </c>
      <c r="K33" s="99" t="n">
        <f aca="false">J33*E33</f>
        <v>1649642.71131735</v>
      </c>
      <c r="L33" s="99" t="n">
        <f aca="false">J33+K33</f>
        <v>7907771.35819651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20.2</v>
      </c>
      <c r="N33" s="99" t="n">
        <f aca="false">IF($M33="-",0,J33/$M33)</f>
        <v>309808.348855404</v>
      </c>
      <c r="O33" s="99" t="n">
        <f aca="false">IF(D33&gt;$B$4,0,IF(D33&lt;$B$3,0,$B$8*(1+$B$10)^(C33-1)))</f>
        <v>148450.562066056</v>
      </c>
      <c r="P33" s="99" t="n">
        <f aca="false">MAX(N33,O33)</f>
        <v>309808.348855404</v>
      </c>
      <c r="Q33" s="99" t="n">
        <f aca="false">MAX(0,L33-P33)</f>
        <v>7597963.0093411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7597963.0093411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81</v>
      </c>
      <c r="E34" s="97" t="n">
        <f aca="false">HLOOKUP($B$6,'RetireUp Market Returns'!A:CT,(1+$B$7+C34),FALSE())</f>
        <v>-0.108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7597963.0093411</v>
      </c>
      <c r="K34" s="99" t="n">
        <f aca="false">J34*E34</f>
        <v>-820580.005008839</v>
      </c>
      <c r="L34" s="99" t="n">
        <f aca="false">J34+K34</f>
        <v>6777383.00433226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19.4</v>
      </c>
      <c r="N34" s="99" t="n">
        <f aca="false">IF($M34="-",0,J34/$M34)</f>
        <v>391647.577801088</v>
      </c>
      <c r="O34" s="99" t="n">
        <f aca="false">IF(D34&gt;$B$4,0,IF(D34&lt;$B$3,0,$B$8*(1+$B$10)^(C34-1)))</f>
        <v>152161.826117708</v>
      </c>
      <c r="P34" s="99" t="n">
        <f aca="false">MAX(N34,O34)</f>
        <v>391647.577801088</v>
      </c>
      <c r="Q34" s="99" t="n">
        <f aca="false">MAX(0,L34-P34)</f>
        <v>6385735.42653117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6385735.42653117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82</v>
      </c>
      <c r="E35" s="97" t="n">
        <f aca="false">HLOOKUP($B$6,'RetireUp Market Returns'!A:CT,(1+$B$7+C35),FALSE())</f>
        <v>0.2124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6385735.42653117</v>
      </c>
      <c r="K35" s="99" t="n">
        <f aca="false">J35*E35</f>
        <v>1356330.20459522</v>
      </c>
      <c r="L35" s="99" t="n">
        <f aca="false">J35+K35</f>
        <v>7742065.6311264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18.5</v>
      </c>
      <c r="N35" s="99" t="n">
        <f aca="false">IF($M35="-",0,J35/$M35)</f>
        <v>345174.887920604</v>
      </c>
      <c r="O35" s="99" t="n">
        <f aca="false">IF(D35&gt;$B$4,0,IF(D35&lt;$B$3,0,$B$8*(1+$B$10)^(C35-1)))</f>
        <v>155965.87177065</v>
      </c>
      <c r="P35" s="99" t="n">
        <f aca="false">MAX(N35,O35)</f>
        <v>345174.887920604</v>
      </c>
      <c r="Q35" s="99" t="n">
        <f aca="false">MAX(0,L35-P35)</f>
        <v>7396890.74320579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7396890.74320579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83</v>
      </c>
      <c r="E36" s="97" t="n">
        <f aca="false">HLOOKUP($B$6,'RetireUp Market Returns'!A:CT,(1+$B$7+C36),FALSE())</f>
        <v>0.0733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7396890.74320579</v>
      </c>
      <c r="K36" s="99" t="n">
        <f aca="false">J36*E36</f>
        <v>542192.091476985</v>
      </c>
      <c r="L36" s="99" t="n">
        <f aca="false">J36+K36</f>
        <v>7939082.83468278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17.7</v>
      </c>
      <c r="N36" s="99" t="n">
        <f aca="false">IF($M36="-",0,J36/$M36)</f>
        <v>417903.431819536</v>
      </c>
      <c r="O36" s="99" t="n">
        <f aca="false">IF(D36&gt;$B$4,0,IF(D36&lt;$B$3,0,$B$8*(1+$B$10)^(C36-1)))</f>
        <v>159865.018564917</v>
      </c>
      <c r="P36" s="99" t="n">
        <f aca="false">MAX(N36,O36)</f>
        <v>417903.431819536</v>
      </c>
      <c r="Q36" s="99" t="n">
        <f aca="false">MAX(0,L36-P36)</f>
        <v>7521179.40286324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7521179.40286324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84</v>
      </c>
      <c r="E37" s="97" t="n">
        <f aca="false">HLOOKUP($B$6,'RetireUp Market Returns'!A:CT,(1+$B$7+C37),FALSE())</f>
        <v>0.1447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7521179.40286324</v>
      </c>
      <c r="K37" s="99" t="n">
        <f aca="false">J37*E37</f>
        <v>1088314.65959431</v>
      </c>
      <c r="L37" s="99" t="n">
        <f aca="false">J37+K37</f>
        <v>8609494.06245755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16.8</v>
      </c>
      <c r="N37" s="99" t="n">
        <f aca="false">IF($M37="-",0,J37/$M37)</f>
        <v>447689.250170431</v>
      </c>
      <c r="O37" s="99" t="n">
        <f aca="false">IF(D37&gt;$B$4,0,IF(D37&lt;$B$3,0,$B$8*(1+$B$10)^(C37-1)))</f>
        <v>163861.644029039</v>
      </c>
      <c r="P37" s="99" t="n">
        <f aca="false">MAX(N37,O37)</f>
        <v>447689.250170431</v>
      </c>
      <c r="Q37" s="99" t="n">
        <f aca="false">MAX(0,L37-P37)</f>
        <v>8161804.81228712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8161804.81228712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85</v>
      </c>
      <c r="E38" s="97" t="n">
        <f aca="false">HLOOKUP($B$6,'RetireUp Market Returns'!A:CT,(1+$B$7+C38),FALSE())</f>
        <v>0.1084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8161804.81228712</v>
      </c>
      <c r="K38" s="99" t="n">
        <f aca="false">J38*E38</f>
        <v>884739.641651924</v>
      </c>
      <c r="L38" s="99" t="n">
        <f aca="false">J38+K38</f>
        <v>9046544.45393904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16</v>
      </c>
      <c r="N38" s="99" t="n">
        <f aca="false">IF($M38="-",0,J38/$M38)</f>
        <v>510112.800767945</v>
      </c>
      <c r="O38" s="99" t="n">
        <f aca="false">IF(D38&gt;$B$4,0,IF(D38&lt;$B$3,0,$B$8*(1+$B$10)^(C38-1)))</f>
        <v>167958.185129765</v>
      </c>
      <c r="P38" s="99" t="n">
        <f aca="false">MAX(N38,O38)</f>
        <v>510112.800767945</v>
      </c>
      <c r="Q38" s="99" t="n">
        <f aca="false">MAX(0,L38-P38)</f>
        <v>8536431.6531711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8536431.6531711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86</v>
      </c>
      <c r="E39" s="97" t="n">
        <f aca="false">HLOOKUP($B$6,'RetireUp Market Returns'!A:CT,(1+$B$7+C39),FALSE())</f>
        <v>0.0853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8536431.6531711</v>
      </c>
      <c r="K39" s="99" t="n">
        <f aca="false">J39*E39</f>
        <v>728157.620015495</v>
      </c>
      <c r="L39" s="99" t="n">
        <f aca="false">J39+K39</f>
        <v>9264589.27318659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15.2</v>
      </c>
      <c r="N39" s="99" t="n">
        <f aca="false">IF($M39="-",0,J39/$M39)</f>
        <v>561607.345603362</v>
      </c>
      <c r="O39" s="99" t="n">
        <f aca="false">IF(D39&gt;$B$4,0,IF(D39&lt;$B$3,0,$B$8*(1+$B$10)^(C39-1)))</f>
        <v>172157.13975801</v>
      </c>
      <c r="P39" s="99" t="n">
        <f aca="false">MAX(N39,O39)</f>
        <v>561607.345603362</v>
      </c>
      <c r="Q39" s="99" t="n">
        <f aca="false">MAX(0,L39-P39)</f>
        <v>8702981.92758323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8702981.92758323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87</v>
      </c>
      <c r="E40" s="97" t="n">
        <f aca="false">HLOOKUP($B$6,'RetireUp Market Returns'!A:CT,(1+$B$7+C40),FALSE())</f>
        <v>0.1187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8702981.92758323</v>
      </c>
      <c r="K40" s="99" t="n">
        <f aca="false">J40*E40</f>
        <v>1033043.95480413</v>
      </c>
      <c r="L40" s="99" t="n">
        <f aca="false">J40+K40</f>
        <v>9736025.88238736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14.4</v>
      </c>
      <c r="N40" s="99" t="n">
        <f aca="false">IF($M40="-",0,J40/$M40)</f>
        <v>604373.744971058</v>
      </c>
      <c r="O40" s="99" t="n">
        <f aca="false">IF(D40&gt;$B$4,0,IF(D40&lt;$B$3,0,$B$8*(1+$B$10)^(C40-1)))</f>
        <v>176461.06825196</v>
      </c>
      <c r="P40" s="99" t="n">
        <f aca="false">MAX(N40,O40)</f>
        <v>604373.744971058</v>
      </c>
      <c r="Q40" s="99" t="n">
        <f aca="false">MAX(0,L40-P40)</f>
        <v>9131652.1374163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9131652.1374163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88</v>
      </c>
      <c r="E41" s="97" t="n">
        <f aca="false">HLOOKUP($B$6,'RetireUp Market Returns'!A:CT,(1+$B$7+C41),FALSE())</f>
        <v>0.104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9131652.1374163</v>
      </c>
      <c r="K41" s="99" t="n">
        <f aca="false">J41*E41</f>
        <v>949691.822291296</v>
      </c>
      <c r="L41" s="99" t="n">
        <f aca="false">J41+K41</f>
        <v>10081343.9597076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13.7</v>
      </c>
      <c r="N41" s="99" t="n">
        <f aca="false">IF($M41="-",0,J41/$M41)</f>
        <v>666543.951636227</v>
      </c>
      <c r="O41" s="99" t="n">
        <f aca="false">IF(D41&gt;$B$4,0,IF(D41&lt;$B$3,0,$B$8*(1+$B$10)^(C41-1)))</f>
        <v>180872.594958259</v>
      </c>
      <c r="P41" s="99" t="n">
        <f aca="false">MAX(N41,O41)</f>
        <v>666543.951636227</v>
      </c>
      <c r="Q41" s="99" t="n">
        <f aca="false">MAX(0,L41-P41)</f>
        <v>9414800.00807137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9414800.00807137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89</v>
      </c>
      <c r="E42" s="97" t="n">
        <f aca="false">HLOOKUP($B$6,'RetireUp Market Returns'!A:CT,(1+$B$7+C42),FALSE())</f>
        <v>-0.056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9414800.00807137</v>
      </c>
      <c r="K42" s="99" t="n">
        <f aca="false">J42*E42</f>
        <v>-527228.800451997</v>
      </c>
      <c r="L42" s="99" t="n">
        <f aca="false">J42+K42</f>
        <v>8887571.20761938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12.9</v>
      </c>
      <c r="N42" s="99" t="n">
        <f aca="false">IF($M42="-",0,J42/$M42)</f>
        <v>729829.457990029</v>
      </c>
      <c r="O42" s="99" t="n">
        <f aca="false">IF(D42&gt;$B$4,0,IF(D42&lt;$B$3,0,$B$8*(1+$B$10)^(C42-1)))</f>
        <v>185394.409832215</v>
      </c>
      <c r="P42" s="99" t="n">
        <f aca="false">MAX(N42,O42)</f>
        <v>729829.457990029</v>
      </c>
      <c r="Q42" s="99" t="n">
        <f aca="false">MAX(0,L42-P42)</f>
        <v>8157741.74962935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8157741.74962935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90</v>
      </c>
      <c r="E43" s="97" t="n">
        <f aca="false">HLOOKUP($B$6,'RetireUp Market Returns'!A:CT,(1+$B$7+C43),FALSE())</f>
        <v>0.128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8157741.74962935</v>
      </c>
      <c r="K43" s="99" t="n">
        <f aca="false">J43*E43</f>
        <v>1044190.94395256</v>
      </c>
      <c r="L43" s="99" t="n">
        <f aca="false">J43+K43</f>
        <v>9201932.6935819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12.2</v>
      </c>
      <c r="N43" s="99" t="n">
        <f aca="false">IF($M43="-",0,J43/$M43)</f>
        <v>668667.356526996</v>
      </c>
      <c r="O43" s="99" t="n">
        <f aca="false">IF(D43&gt;$B$4,0,IF(D43&lt;$B$3,0,$B$8*(1+$B$10)^(C43-1)))</f>
        <v>190029.270078021</v>
      </c>
      <c r="P43" s="99" t="n">
        <f aca="false">MAX(N43,O43)</f>
        <v>668667.356526996</v>
      </c>
      <c r="Q43" s="99" t="n">
        <f aca="false">MAX(0,L43-P43)</f>
        <v>8533265.33705491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8533265.33705491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0.0867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8533265.33705491</v>
      </c>
      <c r="K44" s="99" t="n">
        <f aca="false">J44*E44</f>
        <v>739834.10472266</v>
      </c>
      <c r="L44" s="99" t="n">
        <f aca="false">J44+K44</f>
        <v>9273099.44177757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9273099.44177757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9273099.44177757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0.1265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9273099.44177757</v>
      </c>
      <c r="K45" s="99" t="n">
        <f aca="false">J45*E45</f>
        <v>1173047.07938486</v>
      </c>
      <c r="L45" s="99" t="n">
        <f aca="false">J45+K45</f>
        <v>10446146.5211624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10446146.5211624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10446146.5211624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0.0603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10446146.5211624</v>
      </c>
      <c r="K46" s="99" t="n">
        <f aca="false">J46*E46</f>
        <v>629902.635226094</v>
      </c>
      <c r="L46" s="99" t="n">
        <f aca="false">J46+K46</f>
        <v>11076049.1563885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11076049.1563885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11076049.1563885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0.1471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11076049.1563885</v>
      </c>
      <c r="K47" s="99" t="n">
        <f aca="false">J47*E47</f>
        <v>1629286.83090475</v>
      </c>
      <c r="L47" s="99" t="n">
        <f aca="false">J47+K47</f>
        <v>12705335.9872933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12705335.9872933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12705335.9872933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0.0539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12705335.9872933</v>
      </c>
      <c r="K48" s="99" t="n">
        <f aca="false">J48*E48</f>
        <v>684817.609715108</v>
      </c>
      <c r="L48" s="99" t="n">
        <f aca="false">J48+K48</f>
        <v>13390153.5970084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13390153.5970084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13390153.5970084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0.072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13390153.5970084</v>
      </c>
      <c r="K49" s="99" t="n">
        <f aca="false">J49*E49</f>
        <v>964091.058984604</v>
      </c>
      <c r="L49" s="99" t="n">
        <f aca="false">J49+K49</f>
        <v>14354244.655993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14354244.655993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14354244.655993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0.176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14354244.655993</v>
      </c>
      <c r="K50" s="99" t="n">
        <f aca="false">J50*E50</f>
        <v>2526347.05945477</v>
      </c>
      <c r="L50" s="99" t="n">
        <f aca="false">J50+K50</f>
        <v>16880591.7154478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16880591.7154478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16880591.7154478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0.14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16880591.7154478</v>
      </c>
      <c r="K51" s="99" t="n">
        <f aca="false">J51*E51</f>
        <v>2363282.84016269</v>
      </c>
      <c r="L51" s="99" t="n">
        <f aca="false">J51+K51</f>
        <v>19243874.5556104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19243874.5556104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19243874.5556104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-0.0747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19243874.5556104</v>
      </c>
      <c r="K52" s="99" t="n">
        <f aca="false">J52*E52</f>
        <v>-1437517.4293041</v>
      </c>
      <c r="L52" s="99" t="n">
        <f aca="false">J52+K52</f>
        <v>17806357.1263063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17806357.1263063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17806357.1263063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-0.1133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17806357.1263063</v>
      </c>
      <c r="K53" s="99" t="n">
        <f aca="false">J53*E53</f>
        <v>-2017460.26241051</v>
      </c>
      <c r="L53" s="99" t="n">
        <f aca="false">J53+K53</f>
        <v>15788896.8638958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15788896.8638958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15788896.8638958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-0.2157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15788896.8638958</v>
      </c>
      <c r="K54" s="99" t="n">
        <f aca="false">J54*E54</f>
        <v>-3405665.05354233</v>
      </c>
      <c r="L54" s="99" t="n">
        <f aca="false">J54+K54</f>
        <v>12383231.8103535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12383231.8103535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12383231.8103535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26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48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Maximum Allowable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457b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457b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6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6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Maximum Allowable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0.04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22500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77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457b with Maximum Allowable / Maximum Allowable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48</v>
      </c>
      <c r="E17" s="97" t="n">
        <f aca="false">HLOOKUP($B$6,'RetireUp Market Returns'!A:CT,(1+$B$7+C17),FALSE())</f>
        <v>0.0729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145800</v>
      </c>
      <c r="L17" s="99" t="n">
        <f aca="false">J17+K17</f>
        <v>2145800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2145800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22500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0</v>
      </c>
      <c r="V17" s="99" t="n">
        <f aca="false">IF($N$3=1,0,$N$6*(1+$B$10)^(C17-1)-W17)</f>
        <v>0</v>
      </c>
      <c r="W17" s="99" t="n">
        <f aca="false">MIN(R17,T17)</f>
        <v>22500</v>
      </c>
      <c r="X17" s="99" t="n">
        <f aca="false">MIN(U17,R17-W17)</f>
        <v>0</v>
      </c>
      <c r="Y17" s="99" t="n">
        <f aca="false">MIN(S17,V17)</f>
        <v>0</v>
      </c>
      <c r="Z17" s="99" t="n">
        <f aca="false">W17+X17+Y17</f>
        <v>22500</v>
      </c>
      <c r="AA17" s="100" t="n">
        <f aca="false">Q17+Z17</f>
        <v>2168300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49</v>
      </c>
      <c r="E18" s="97" t="n">
        <f aca="false">HLOOKUP($B$6,'RetireUp Market Returns'!A:CT,(1+$B$7+C18),FALSE())</f>
        <v>0.0383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2168300</v>
      </c>
      <c r="K18" s="99" t="n">
        <f aca="false">J18*E18</f>
        <v>83045.89</v>
      </c>
      <c r="L18" s="99" t="n">
        <f aca="false">J18+K18</f>
        <v>2251345.89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2251345.89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23062.5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0</v>
      </c>
      <c r="V18" s="99" t="n">
        <f aca="false">IF($N$3=1,0,$N$6*(1+$B$10)^(C18-1)-W18)</f>
        <v>0</v>
      </c>
      <c r="W18" s="99" t="n">
        <f aca="false">MIN(R18,T18)</f>
        <v>23062.5</v>
      </c>
      <c r="X18" s="99" t="n">
        <f aca="false">MIN(U18,R18-W18)</f>
        <v>0</v>
      </c>
      <c r="Y18" s="99" t="n">
        <f aca="false">MIN(S18,V18)</f>
        <v>0</v>
      </c>
      <c r="Z18" s="99" t="n">
        <f aca="false">W18+X18+Y18</f>
        <v>23062.5</v>
      </c>
      <c r="AA18" s="100" t="n">
        <f aca="false">Q18+W18+X18+Y18</f>
        <v>2274408.39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50</v>
      </c>
      <c r="E19" s="97" t="n">
        <f aca="false">HLOOKUP($B$6,'RetireUp Market Returns'!A:CT,(1+$B$7+C19),FALSE())</f>
        <v>0.0171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2274408.39</v>
      </c>
      <c r="K19" s="99" t="n">
        <f aca="false">J19*E19</f>
        <v>38892.383469</v>
      </c>
      <c r="L19" s="99" t="n">
        <f aca="false">J19+K19</f>
        <v>2313300.773469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2313300.773469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31518.75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0</v>
      </c>
      <c r="W19" s="99" t="n">
        <f aca="false">MIN(R19,T19)</f>
        <v>23639.0625</v>
      </c>
      <c r="X19" s="99" t="n">
        <f aca="false">MIN(U19,R19-W19)</f>
        <v>7879.6875</v>
      </c>
      <c r="Y19" s="99" t="n">
        <f aca="false">MIN(S19,V19)</f>
        <v>0</v>
      </c>
      <c r="Z19" s="99" t="n">
        <f aca="false">W19+X19+Y19</f>
        <v>31518.75</v>
      </c>
      <c r="AA19" s="100" t="n">
        <f aca="false">Q19+W19+X19+Y19</f>
        <v>2344819.523469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51</v>
      </c>
      <c r="E20" s="97" t="n">
        <f aca="false">HLOOKUP($B$6,'RetireUp Market Returns'!A:CT,(1+$B$7+C20),FALSE())</f>
        <v>0.088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2344819.523469</v>
      </c>
      <c r="K20" s="99" t="n">
        <f aca="false">J20*E20</f>
        <v>206344.118065272</v>
      </c>
      <c r="L20" s="99" t="n">
        <f aca="false">J20+K20</f>
        <v>2551163.64153427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2551163.64153427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32306.71875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0</v>
      </c>
      <c r="W20" s="99" t="n">
        <f aca="false">MIN(R20,T20)</f>
        <v>24230.0390625</v>
      </c>
      <c r="X20" s="99" t="n">
        <f aca="false">MIN(U20,R20-W20)</f>
        <v>8076.6796875</v>
      </c>
      <c r="Y20" s="99" t="n">
        <f aca="false">MIN(S20,V20)</f>
        <v>0</v>
      </c>
      <c r="Z20" s="99" t="n">
        <f aca="false">W20+X20+Y20</f>
        <v>32306.71875</v>
      </c>
      <c r="AA20" s="100" t="n">
        <f aca="false">Q20+W20+X20+Y20</f>
        <v>2583470.36028427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52</v>
      </c>
      <c r="E21" s="97" t="n">
        <f aca="false">HLOOKUP($B$6,'RetireUp Market Returns'!A:CT,(1+$B$7+C21),FALSE())</f>
        <v>0.0641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2583470.36028427</v>
      </c>
      <c r="K21" s="99" t="n">
        <f aca="false">J21*E21</f>
        <v>165600.450094222</v>
      </c>
      <c r="L21" s="99" t="n">
        <f aca="false">J21+K21</f>
        <v>2749070.81037849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2749070.81037849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33114.38671875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0</v>
      </c>
      <c r="W21" s="99" t="n">
        <f aca="false">MIN(R21,T21)</f>
        <v>24835.7900390625</v>
      </c>
      <c r="X21" s="99" t="n">
        <f aca="false">MIN(U21,R21-W21)</f>
        <v>8278.5966796875</v>
      </c>
      <c r="Y21" s="99" t="n">
        <f aca="false">MIN(S21,V21)</f>
        <v>0</v>
      </c>
      <c r="Z21" s="99" t="n">
        <f aca="false">W21+X21+Y21</f>
        <v>33114.38671875</v>
      </c>
      <c r="AA21" s="100" t="n">
        <f aca="false">Q21+W21+X21+Y21</f>
        <v>2782185.19709724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53</v>
      </c>
      <c r="E22" s="97" t="n">
        <f aca="false">HLOOKUP($B$6,'RetireUp Market Returns'!A:CT,(1+$B$7+C22),FALSE())</f>
        <v>0.0654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2782185.19709724</v>
      </c>
      <c r="K22" s="99" t="n">
        <f aca="false">J22*E22</f>
        <v>181954.91189016</v>
      </c>
      <c r="L22" s="99" t="n">
        <f aca="false">J22+K22</f>
        <v>2964140.1089874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2964140.1089874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33942.2463867187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0</v>
      </c>
      <c r="W22" s="99" t="n">
        <f aca="false">MIN(R22,T22)</f>
        <v>25456.684790039</v>
      </c>
      <c r="X22" s="99" t="n">
        <f aca="false">MIN(U22,R22-W22)</f>
        <v>8485.56159667968</v>
      </c>
      <c r="Y22" s="99" t="n">
        <f aca="false">MIN(S22,V22)</f>
        <v>0</v>
      </c>
      <c r="Z22" s="99" t="n">
        <f aca="false">W22+X22+Y22</f>
        <v>33942.2463867187</v>
      </c>
      <c r="AA22" s="100" t="n">
        <f aca="false">Q22+W22+X22+Y22</f>
        <v>2998082.35537412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54</v>
      </c>
      <c r="E23" s="97" t="n">
        <f aca="false">HLOOKUP($B$6,'RetireUp Market Returns'!A:CT,(1+$B$7+C23),FALSE())</f>
        <v>0.0807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2998082.35537412</v>
      </c>
      <c r="K23" s="99" t="n">
        <f aca="false">J23*E23</f>
        <v>241945.246078692</v>
      </c>
      <c r="L23" s="99" t="n">
        <f aca="false">J23+K23</f>
        <v>3240027.60145281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3240027.60145281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34790.8025463867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0</v>
      </c>
      <c r="W23" s="99" t="n">
        <f aca="false">MIN(R23,T23)</f>
        <v>26093.10190979</v>
      </c>
      <c r="X23" s="99" t="n">
        <f aca="false">MIN(U23,R23-W23)</f>
        <v>8697.70063659668</v>
      </c>
      <c r="Y23" s="99" t="n">
        <f aca="false">MIN(S23,V23)</f>
        <v>0</v>
      </c>
      <c r="Z23" s="99" t="n">
        <f aca="false">W23+X23+Y23</f>
        <v>34790.8025463867</v>
      </c>
      <c r="AA23" s="100" t="n">
        <f aca="false">Q23+W23+X23+Y23</f>
        <v>3274818.4039992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55</v>
      </c>
      <c r="E24" s="97" t="n">
        <f aca="false">HLOOKUP($B$6,'RetireUp Market Returns'!A:CT,(1+$B$7+C24),FALSE())</f>
        <v>-0.0393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3274818.4039992</v>
      </c>
      <c r="K24" s="99" t="n">
        <f aca="false">J24*E24</f>
        <v>-128700.363277169</v>
      </c>
      <c r="L24" s="99" t="n">
        <f aca="false">J24+K24</f>
        <v>3146118.04072203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3146118.04072203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35660.5726100464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0</v>
      </c>
      <c r="W24" s="99" t="n">
        <f aca="false">MIN(R24,T24)</f>
        <v>26745.4294575348</v>
      </c>
      <c r="X24" s="99" t="n">
        <f aca="false">MIN(U24,R24-W24)</f>
        <v>8915.14315251159</v>
      </c>
      <c r="Y24" s="99" t="n">
        <f aca="false">MIN(S24,V24)</f>
        <v>0</v>
      </c>
      <c r="Z24" s="99" t="n">
        <f aca="false">W24+X24+Y24</f>
        <v>35660.5726100464</v>
      </c>
      <c r="AA24" s="100" t="n">
        <f aca="false">Q24+W24+X24+Y24</f>
        <v>3181778.61333208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56</v>
      </c>
      <c r="E25" s="97" t="n">
        <f aca="false">HLOOKUP($B$6,'RetireUp Market Returns'!A:CT,(1+$B$7+C25),FALSE())</f>
        <v>0.0098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3181778.61333208</v>
      </c>
      <c r="K25" s="99" t="n">
        <f aca="false">J25*E25</f>
        <v>31181.4304106544</v>
      </c>
      <c r="L25" s="99" t="n">
        <f aca="false">J25+K25</f>
        <v>3212960.04374273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3212960.04374273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36552.0869252975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0</v>
      </c>
      <c r="W25" s="99" t="n">
        <f aca="false">MIN(R25,T25)</f>
        <v>27414.0651939731</v>
      </c>
      <c r="X25" s="99" t="n">
        <f aca="false">MIN(U25,R25-W25)</f>
        <v>9138.02173132438</v>
      </c>
      <c r="Y25" s="99" t="n">
        <f aca="false">MIN(S25,V25)</f>
        <v>0</v>
      </c>
      <c r="Z25" s="99" t="n">
        <f aca="false">W25+X25+Y25</f>
        <v>36552.0869252975</v>
      </c>
      <c r="AA25" s="100" t="n">
        <f aca="false">Q25+W25+X25+Y25</f>
        <v>3249512.13066803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57</v>
      </c>
      <c r="E26" s="97" t="n">
        <f aca="false">HLOOKUP($B$6,'RetireUp Market Returns'!A:CT,(1+$B$7+C26),FALSE())</f>
        <v>0.0513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3249512.13066803</v>
      </c>
      <c r="K26" s="99" t="n">
        <f aca="false">J26*E26</f>
        <v>166699.97230327</v>
      </c>
      <c r="L26" s="99" t="n">
        <f aca="false">J26+K26</f>
        <v>3416212.1029713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0</v>
      </c>
      <c r="P26" s="99" t="n">
        <f aca="false">MAX(N26,O26)</f>
        <v>0</v>
      </c>
      <c r="Q26" s="99" t="n">
        <f aca="false">MAX(0,L26-P26)</f>
        <v>3416212.1029713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37465.88909843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0</v>
      </c>
      <c r="W26" s="99" t="n">
        <f aca="false">MIN(R26,T26)</f>
        <v>28099.4168238225</v>
      </c>
      <c r="X26" s="99" t="n">
        <f aca="false">MIN(U26,R26-W26)</f>
        <v>9366.47227460749</v>
      </c>
      <c r="Y26" s="99" t="n">
        <f aca="false">MIN(S26,V26)</f>
        <v>0</v>
      </c>
      <c r="Z26" s="99" t="n">
        <f aca="false">W26+X26+Y26</f>
        <v>37465.88909843</v>
      </c>
      <c r="AA26" s="100" t="n">
        <f aca="false">Q26+W26+X26+Y26</f>
        <v>3453677.99206973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58</v>
      </c>
      <c r="E27" s="97" t="n">
        <f aca="false">HLOOKUP($B$6,'RetireUp Market Returns'!A:CT,(1+$B$7+C27),FALSE())</f>
        <v>0.0857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3453677.99206973</v>
      </c>
      <c r="K27" s="99" t="n">
        <f aca="false">J27*E27</f>
        <v>295980.203920376</v>
      </c>
      <c r="L27" s="99" t="n">
        <f aca="false">J27+K27</f>
        <v>3749658.19599011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0</v>
      </c>
      <c r="P27" s="99" t="n">
        <f aca="false">MAX(N27,O27)</f>
        <v>0</v>
      </c>
      <c r="Q27" s="99" t="n">
        <f aca="false">MAX(0,L27-P27)</f>
        <v>3749658.19599011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38402.5363258907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0</v>
      </c>
      <c r="W27" s="99" t="n">
        <f aca="false">MIN(R27,T27)</f>
        <v>28801.902244418</v>
      </c>
      <c r="X27" s="99" t="n">
        <f aca="false">MIN(U27,R27-W27)</f>
        <v>9600.63408147268</v>
      </c>
      <c r="Y27" s="99" t="n">
        <f aca="false">MIN(S27,V27)</f>
        <v>0</v>
      </c>
      <c r="Z27" s="99" t="n">
        <f aca="false">W27+X27+Y27</f>
        <v>38402.5363258907</v>
      </c>
      <c r="AA27" s="100" t="n">
        <f aca="false">Q27+W27+X27+Y27</f>
        <v>3788060.732316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59</v>
      </c>
      <c r="E28" s="97" t="n">
        <f aca="false">HLOOKUP($B$6,'RetireUp Market Returns'!A:CT,(1+$B$7+C28),FALSE())</f>
        <v>0.0521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3788060.732316</v>
      </c>
      <c r="K28" s="99" t="n">
        <f aca="false">J28*E28</f>
        <v>197357.964153663</v>
      </c>
      <c r="L28" s="99" t="n">
        <f aca="false">J28+K28</f>
        <v>3985418.69646966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0</v>
      </c>
      <c r="P28" s="99" t="n">
        <f aca="false">MAX(N28,O28)</f>
        <v>0</v>
      </c>
      <c r="Q28" s="99" t="n">
        <f aca="false">MAX(0,L28-P28)</f>
        <v>3985418.69646966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39362.599734038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0</v>
      </c>
      <c r="W28" s="99" t="n">
        <f aca="false">MIN(R28,T28)</f>
        <v>29521.9498005285</v>
      </c>
      <c r="X28" s="99" t="n">
        <f aca="false">MIN(U28,R28-W28)</f>
        <v>9840.64993350949</v>
      </c>
      <c r="Y28" s="99" t="n">
        <f aca="false">MIN(S28,V28)</f>
        <v>0</v>
      </c>
      <c r="Z28" s="99" t="n">
        <f aca="false">W28+X28+Y28</f>
        <v>39362.599734038</v>
      </c>
      <c r="AA28" s="100" t="n">
        <f aca="false">Q28+W28+X28+Y28</f>
        <v>4024781.2962037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60</v>
      </c>
      <c r="E29" s="97" t="n">
        <f aca="false">HLOOKUP($B$6,'RetireUp Market Returns'!A:CT,(1+$B$7+C29),FALSE())</f>
        <v>0.064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4024781.2962037</v>
      </c>
      <c r="K29" s="99" t="n">
        <f aca="false">J29*E29</f>
        <v>257586.002957037</v>
      </c>
      <c r="L29" s="99" t="n">
        <f aca="false">J29+K29</f>
        <v>4282367.29916074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0</v>
      </c>
      <c r="P29" s="99" t="n">
        <f aca="false">MAX(N29,O29)</f>
        <v>0</v>
      </c>
      <c r="Q29" s="99" t="n">
        <f aca="false">MAX(0,L29-P29)</f>
        <v>4282367.29916074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40346.6647273889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0</v>
      </c>
      <c r="W29" s="99" t="n">
        <f aca="false">MIN(R29,T29)</f>
        <v>30259.9985455417</v>
      </c>
      <c r="X29" s="99" t="n">
        <f aca="false">MIN(U29,R29-W29)</f>
        <v>10086.6661818472</v>
      </c>
      <c r="Y29" s="99" t="n">
        <f aca="false">MIN(S29,V29)</f>
        <v>0</v>
      </c>
      <c r="Z29" s="99" t="n">
        <f aca="false">W29+X29+Y29</f>
        <v>40346.6647273889</v>
      </c>
      <c r="AA29" s="100" t="n">
        <f aca="false">Q29+W29+X29+Y29</f>
        <v>4322713.96388812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61</v>
      </c>
      <c r="E30" s="97" t="n">
        <f aca="false">HLOOKUP($B$6,'RetireUp Market Returns'!A:CT,(1+$B$7+C30),FALSE())</f>
        <v>0.0249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4322713.96388812</v>
      </c>
      <c r="K30" s="99" t="n">
        <f aca="false">J30*E30</f>
        <v>107635.577700814</v>
      </c>
      <c r="L30" s="99" t="n">
        <f aca="false">J30+K30</f>
        <v>4430349.54158894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0</v>
      </c>
      <c r="P30" s="99" t="n">
        <f aca="false">MAX(N30,O30)</f>
        <v>0</v>
      </c>
      <c r="Q30" s="99" t="n">
        <f aca="false">MAX(0,L30-P30)</f>
        <v>4430349.54158894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41355.3313455736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0</v>
      </c>
      <c r="W30" s="99" t="n">
        <f aca="false">MIN(R30,T30)</f>
        <v>31016.4985091802</v>
      </c>
      <c r="X30" s="99" t="n">
        <f aca="false">MIN(U30,R30-W30)</f>
        <v>10338.8328363934</v>
      </c>
      <c r="Y30" s="99" t="n">
        <f aca="false">MIN(S30,V30)</f>
        <v>0</v>
      </c>
      <c r="Z30" s="99" t="n">
        <f aca="false">W30+X30+Y30</f>
        <v>41355.3313455736</v>
      </c>
      <c r="AA30" s="100" t="n">
        <f aca="false">Q30+W30+X30+Y30</f>
        <v>4471704.87293451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62</v>
      </c>
      <c r="E31" s="97" t="n">
        <f aca="false">HLOOKUP($B$6,'RetireUp Market Returns'!A:CT,(1+$B$7+C31),FALSE())</f>
        <v>0.0451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4471704.87293451</v>
      </c>
      <c r="K31" s="99" t="n">
        <f aca="false">J31*E31</f>
        <v>201673.889769346</v>
      </c>
      <c r="L31" s="99" t="n">
        <f aca="false">J31+K31</f>
        <v>4673378.76270386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0</v>
      </c>
      <c r="P31" s="99" t="n">
        <f aca="false">MAX(N31,O31)</f>
        <v>0</v>
      </c>
      <c r="Q31" s="99" t="n">
        <f aca="false">MAX(0,L31-P31)</f>
        <v>4673378.76270386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42389.214629213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0</v>
      </c>
      <c r="W31" s="99" t="n">
        <f aca="false">MIN(R31,T31)</f>
        <v>31791.9109719097</v>
      </c>
      <c r="X31" s="99" t="n">
        <f aca="false">MIN(U31,R31-W31)</f>
        <v>10597.3036573032</v>
      </c>
      <c r="Y31" s="99" t="n">
        <f aca="false">MIN(S31,V31)</f>
        <v>0</v>
      </c>
      <c r="Z31" s="99" t="n">
        <f aca="false">W31+X31+Y31</f>
        <v>42389.214629213</v>
      </c>
      <c r="AA31" s="100" t="n">
        <f aca="false">Q31+W31+X31+Y31</f>
        <v>4715767.97733307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63</v>
      </c>
      <c r="E32" s="97" t="n">
        <f aca="false">HLOOKUP($B$6,'RetireUp Market Returns'!A:CT,(1+$B$7+C32),FALSE())</f>
        <v>0.0217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4715767.97733307</v>
      </c>
      <c r="K32" s="99" t="n">
        <f aca="false">J32*E32</f>
        <v>102332.165108128</v>
      </c>
      <c r="L32" s="99" t="n">
        <f aca="false">J32+K32</f>
        <v>4818100.1424412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0</v>
      </c>
      <c r="P32" s="99" t="n">
        <f aca="false">MAX(N32,O32)</f>
        <v>0</v>
      </c>
      <c r="Q32" s="99" t="n">
        <f aca="false">MAX(0,L32-P32)</f>
        <v>4818100.1424412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43448.9449949433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0</v>
      </c>
      <c r="W32" s="99" t="n">
        <f aca="false">MIN(R32,T32)</f>
        <v>32586.7087462075</v>
      </c>
      <c r="X32" s="99" t="n">
        <f aca="false">MIN(U32,R32-W32)</f>
        <v>10862.2362487358</v>
      </c>
      <c r="Y32" s="99" t="n">
        <f aca="false">MIN(S32,V32)</f>
        <v>0</v>
      </c>
      <c r="Z32" s="99" t="n">
        <f aca="false">W32+X32+Y32</f>
        <v>43448.9449949433</v>
      </c>
      <c r="AA32" s="100" t="n">
        <f aca="false">Q32+W32+X32+Y32</f>
        <v>4861549.08743614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64</v>
      </c>
      <c r="E33" s="97" t="n">
        <f aca="false">HLOOKUP($B$6,'RetireUp Market Returns'!A:CT,(1+$B$7+C33),FALSE())</f>
        <v>0.1318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4861549.08743614</v>
      </c>
      <c r="K33" s="99" t="n">
        <f aca="false">J33*E33</f>
        <v>640752.169724084</v>
      </c>
      <c r="L33" s="99" t="n">
        <f aca="false">J33+K33</f>
        <v>5502301.25716023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0</v>
      </c>
      <c r="P33" s="99" t="n">
        <f aca="false">MAX(N33,O33)</f>
        <v>0</v>
      </c>
      <c r="Q33" s="99" t="n">
        <f aca="false">MAX(0,L33-P33)</f>
        <v>5502301.25716023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44535.1686198169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0</v>
      </c>
      <c r="W33" s="99" t="n">
        <f aca="false">MIN(R33,T33)</f>
        <v>33401.3764648627</v>
      </c>
      <c r="X33" s="99" t="n">
        <f aca="false">MIN(U33,R33-W33)</f>
        <v>11133.7921549542</v>
      </c>
      <c r="Y33" s="99" t="n">
        <f aca="false">MIN(S33,V33)</f>
        <v>0</v>
      </c>
      <c r="Z33" s="99" t="n">
        <f aca="false">W33+X33+Y33</f>
        <v>44535.1686198169</v>
      </c>
      <c r="AA33" s="100" t="n">
        <f aca="false">Q33+W33+X33+Y33</f>
        <v>5546836.42578004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65</v>
      </c>
      <c r="E34" s="97" t="n">
        <f aca="false">HLOOKUP($B$6,'RetireUp Market Returns'!A:CT,(1+$B$7+C34),FALSE())</f>
        <v>-0.054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5546836.42578004</v>
      </c>
      <c r="K34" s="99" t="n">
        <f aca="false">J34*E34</f>
        <v>-299529.166992122</v>
      </c>
      <c r="L34" s="99" t="n">
        <f aca="false">J34+K34</f>
        <v>5247307.25878792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5095145.43267021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34236.4108764842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5095145.43267021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66</v>
      </c>
      <c r="E35" s="97" t="n">
        <f aca="false">HLOOKUP($B$6,'RetireUp Market Returns'!A:CT,(1+$B$7+C35),FALSE())</f>
        <v>0.1062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5095145.43267021</v>
      </c>
      <c r="K35" s="99" t="n">
        <f aca="false">J35*E35</f>
        <v>541104.444949577</v>
      </c>
      <c r="L35" s="99" t="n">
        <f aca="false">J35+K35</f>
        <v>5636249.87761979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5480284.00584914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35092.3211483963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5480284.00584914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67</v>
      </c>
      <c r="E36" s="97" t="n">
        <f aca="false">HLOOKUP($B$6,'RetireUp Market Returns'!A:CT,(1+$B$7+C36),FALSE())</f>
        <v>0.0367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5480284.00584914</v>
      </c>
      <c r="K36" s="99" t="n">
        <f aca="false">J36*E36</f>
        <v>201126.423014663</v>
      </c>
      <c r="L36" s="99" t="n">
        <f aca="false">J36+K36</f>
        <v>5681410.4288638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5521545.41029889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35969.6291771062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5521545.41029889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68</v>
      </c>
      <c r="E37" s="97" t="n">
        <f aca="false">HLOOKUP($B$6,'RetireUp Market Returns'!A:CT,(1+$B$7+C37),FALSE())</f>
        <v>0.0723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5521545.41029889</v>
      </c>
      <c r="K37" s="99" t="n">
        <f aca="false">J37*E37</f>
        <v>399207.733164609</v>
      </c>
      <c r="L37" s="99" t="n">
        <f aca="false">J37+K37</f>
        <v>5920753.1434635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5756891.49943446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36868.8699065339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5756891.49943446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69</v>
      </c>
      <c r="E38" s="97" t="n">
        <f aca="false">HLOOKUP($B$6,'RetireUp Market Returns'!A:CT,(1+$B$7+C38),FALSE())</f>
        <v>0.0542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5756891.49943446</v>
      </c>
      <c r="K38" s="99" t="n">
        <f aca="false">J38*E38</f>
        <v>312023.519269348</v>
      </c>
      <c r="L38" s="99" t="n">
        <f aca="false">J38+K38</f>
        <v>6068915.0187038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5900956.83357404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37790.5916541972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5900956.83357404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70</v>
      </c>
      <c r="E39" s="97" t="n">
        <f aca="false">HLOOKUP($B$6,'RetireUp Market Returns'!A:CT,(1+$B$7+C39),FALSE())</f>
        <v>0.0427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5900956.83357404</v>
      </c>
      <c r="K39" s="99" t="n">
        <f aca="false">J39*E39</f>
        <v>251970.856793611</v>
      </c>
      <c r="L39" s="99" t="n">
        <f aca="false">J39+K39</f>
        <v>6152927.69036765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5980770.55060964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38735.3564455521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5980770.55060964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71</v>
      </c>
      <c r="E40" s="97" t="n">
        <f aca="false">HLOOKUP($B$6,'RetireUp Market Returns'!A:CT,(1+$B$7+C40),FALSE())</f>
        <v>0.0593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5980770.55060964</v>
      </c>
      <c r="K40" s="99" t="n">
        <f aca="false">J40*E40</f>
        <v>354659.693651152</v>
      </c>
      <c r="L40" s="99" t="n">
        <f aca="false">J40+K40</f>
        <v>6335430.24426079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6158969.17600883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39703.7403566909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6158969.17600883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72</v>
      </c>
      <c r="E41" s="97" t="n">
        <f aca="false">HLOOKUP($B$6,'RetireUp Market Returns'!A:CT,(1+$B$7+C41),FALSE())</f>
        <v>0.052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6158969.17600883</v>
      </c>
      <c r="K41" s="99" t="n">
        <f aca="false">J41*E41</f>
        <v>320266.397152459</v>
      </c>
      <c r="L41" s="99" t="n">
        <f aca="false">J41+K41</f>
        <v>6479235.57316129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6298362.97820303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40696.3338656082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6298362.97820303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73</v>
      </c>
      <c r="E42" s="97" t="n">
        <f aca="false">HLOOKUP($B$6,'RetireUp Market Returns'!A:CT,(1+$B$7+C42),FALSE())</f>
        <v>-0.028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6298362.97820303</v>
      </c>
      <c r="K42" s="99" t="n">
        <f aca="false">J42*E42</f>
        <v>-176354.163389685</v>
      </c>
      <c r="L42" s="99" t="n">
        <f aca="false">J42+K42</f>
        <v>6122008.81481335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5936614.40498113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41713.7422122484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5936614.40498113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74</v>
      </c>
      <c r="E43" s="97" t="n">
        <f aca="false">HLOOKUP($B$6,'RetireUp Market Returns'!A:CT,(1+$B$7+C43),FALSE())</f>
        <v>0.064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5936614.40498113</v>
      </c>
      <c r="K43" s="99" t="n">
        <f aca="false">J43*E43</f>
        <v>379943.321918793</v>
      </c>
      <c r="L43" s="99" t="n">
        <f aca="false">J43+K43</f>
        <v>6316557.72689993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6126528.4568219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42756.5857675546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6126528.4568219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75</v>
      </c>
      <c r="E44" s="97" t="n">
        <f aca="false">HLOOKUP($B$6,'RetireUp Market Returns'!A:CT,(1+$B$7+C44),FALSE())</f>
        <v>0.0433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6126528.4568219</v>
      </c>
      <c r="K44" s="99" t="n">
        <f aca="false">J44*E44</f>
        <v>265278.682180388</v>
      </c>
      <c r="L44" s="99" t="n">
        <f aca="false">J44+K44</f>
        <v>6391807.13900229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24.6</v>
      </c>
      <c r="N44" s="99" t="n">
        <f aca="false">IF($M44="-",0,J44/$M44)</f>
        <v>249045.872228533</v>
      </c>
      <c r="O44" s="99" t="n">
        <f aca="false">IF(D44&gt;$B$4,0,IF(D44&lt;$B$3,0,$B$8*(1+$B$10)^(C44-1)))</f>
        <v>194780.001829971</v>
      </c>
      <c r="P44" s="99" t="n">
        <f aca="false">MAX(N44,O44)</f>
        <v>249045.872228533</v>
      </c>
      <c r="Q44" s="99" t="n">
        <f aca="false">MAX(0,L44-P44)</f>
        <v>6142761.26677376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43825.5004117435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6142761.26677376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76</v>
      </c>
      <c r="E45" s="97" t="n">
        <f aca="false">HLOOKUP($B$6,'RetireUp Market Returns'!A:CT,(1+$B$7+C45),FALSE())</f>
        <v>0.0633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6142761.26677376</v>
      </c>
      <c r="K45" s="99" t="n">
        <f aca="false">J45*E45</f>
        <v>388836.788186779</v>
      </c>
      <c r="L45" s="99" t="n">
        <f aca="false">J45+K45</f>
        <v>6531598.05496054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23.7</v>
      </c>
      <c r="N45" s="99" t="n">
        <f aca="false">IF($M45="-",0,J45/$M45)</f>
        <v>259188.239104378</v>
      </c>
      <c r="O45" s="99" t="n">
        <f aca="false">IF(D45&gt;$B$4,0,IF(D45&lt;$B$3,0,$B$8*(1+$B$10)^(C45-1)))</f>
        <v>199649.50187572</v>
      </c>
      <c r="P45" s="99" t="n">
        <f aca="false">MAX(N45,O45)</f>
        <v>259188.239104378</v>
      </c>
      <c r="Q45" s="99" t="n">
        <f aca="false">MAX(0,L45-P45)</f>
        <v>6272409.81585616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44921.1379220371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6272409.81585616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77</v>
      </c>
      <c r="E46" s="97" t="n">
        <f aca="false">HLOOKUP($B$6,'RetireUp Market Returns'!A:CT,(1+$B$7+C46),FALSE())</f>
        <v>0.0301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6272409.81585616</v>
      </c>
      <c r="K46" s="99" t="n">
        <f aca="false">J46*E46</f>
        <v>188799.53545727</v>
      </c>
      <c r="L46" s="99" t="n">
        <f aca="false">J46+K46</f>
        <v>6461209.35131343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22.9</v>
      </c>
      <c r="N46" s="99" t="n">
        <f aca="false">IF($M46="-",0,J46/$M46)</f>
        <v>273904.358771011</v>
      </c>
      <c r="O46" s="99" t="n">
        <f aca="false">IF(D46&gt;$B$4,0,IF(D46&lt;$B$3,0,$B$8*(1+$B$10)^(C46-1)))</f>
        <v>204640.739422613</v>
      </c>
      <c r="P46" s="99" t="n">
        <f aca="false">MAX(N46,O46)</f>
        <v>273904.358771011</v>
      </c>
      <c r="Q46" s="99" t="n">
        <f aca="false">MAX(0,L46-P46)</f>
        <v>6187304.99254242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46044.166370088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6187304.99254242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n">
        <f aca="false">IF(D46="-","-",IF(D46+1&gt;B$4,"-",D46+1))</f>
        <v>78</v>
      </c>
      <c r="E47" s="97" t="n">
        <f aca="false">HLOOKUP($B$6,'RetireUp Market Returns'!A:CT,(1+$B$7+C47),FALSE())</f>
        <v>0.0735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6187304.99254242</v>
      </c>
      <c r="K47" s="99" t="n">
        <f aca="false">J47*E47</f>
        <v>454766.916951868</v>
      </c>
      <c r="L47" s="99" t="n">
        <f aca="false">J47+K47</f>
        <v>6642071.90949429</v>
      </c>
      <c r="M47" s="101" t="n">
        <f aca="false">IF(D47="-","-",IF($F$4="Roth","-",IF($E$3="Health Savings Account","-",IF(AND(A47=2033,D47=74),VLOOKUP(D47,Tables!G:H,2,FALSE()),IF(AND(A47&gt;2032,D47&lt;75),"-",IF(D47&lt;73,"-",VLOOKUP(D47,Tables!G:H,2,FALSE())))))))</f>
        <v>22</v>
      </c>
      <c r="N47" s="99" t="n">
        <f aca="false">IF($M47="-",0,J47/$M47)</f>
        <v>281241.136024655</v>
      </c>
      <c r="O47" s="99" t="n">
        <f aca="false">IF(D47&gt;$B$4,0,IF(D47&lt;$B$3,0,$B$8*(1+$B$10)^(C47-1)))</f>
        <v>209756.757908179</v>
      </c>
      <c r="P47" s="99" t="n">
        <f aca="false">MAX(N47,O47)</f>
        <v>281241.136024655</v>
      </c>
      <c r="Q47" s="99" t="n">
        <f aca="false">MAX(0,L47-P47)</f>
        <v>6360830.77346963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47195.2705293402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6360830.77346963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n">
        <f aca="false">IF(D47="-","-",IF(D47+1&gt;B$4,"-",D47+1))</f>
        <v>79</v>
      </c>
      <c r="E48" s="97" t="n">
        <f aca="false">HLOOKUP($B$6,'RetireUp Market Returns'!A:CT,(1+$B$7+C48),FALSE())</f>
        <v>0.0269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6360830.77346963</v>
      </c>
      <c r="K48" s="99" t="n">
        <f aca="false">J48*E48</f>
        <v>171106.347806333</v>
      </c>
      <c r="L48" s="99" t="n">
        <f aca="false">J48+K48</f>
        <v>6531937.12127597</v>
      </c>
      <c r="M48" s="101" t="n">
        <f aca="false">IF(D48="-","-",IF($F$4="Roth","-",IF($E$3="Health Savings Account","-",IF(AND(A48=2033,D48=74),VLOOKUP(D48,Tables!G:H,2,FALSE()),IF(AND(A48&gt;2032,D48&lt;75),"-",IF(D48&lt;73,"-",VLOOKUP(D48,Tables!G:H,2,FALSE())))))))</f>
        <v>21.1</v>
      </c>
      <c r="N48" s="99" t="n">
        <f aca="false">IF($M48="-",0,J48/$M48)</f>
        <v>301461.174098087</v>
      </c>
      <c r="O48" s="99" t="n">
        <f aca="false">IF(D48&gt;$B$4,0,IF(D48&lt;$B$3,0,$B$8*(1+$B$10)^(C48-1)))</f>
        <v>215000.676855883</v>
      </c>
      <c r="P48" s="99" t="n">
        <f aca="false">MAX(N48,O48)</f>
        <v>301461.174098087</v>
      </c>
      <c r="Q48" s="99" t="n">
        <f aca="false">MAX(0,L48-P48)</f>
        <v>6230475.94717788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48375.1522925737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6230475.94717788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n">
        <f aca="false">IF(D48="-","-",IF(D48+1&gt;B$4,"-",D48+1))</f>
        <v>80</v>
      </c>
      <c r="E49" s="97" t="n">
        <f aca="false">HLOOKUP($B$6,'RetireUp Market Returns'!A:CT,(1+$B$7+C49),FALSE())</f>
        <v>0.036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6230475.94717788</v>
      </c>
      <c r="K49" s="99" t="n">
        <f aca="false">J49*E49</f>
        <v>224297.134098404</v>
      </c>
      <c r="L49" s="99" t="n">
        <f aca="false">J49+K49</f>
        <v>6454773.08127628</v>
      </c>
      <c r="M49" s="101" t="n">
        <f aca="false">IF(D49="-","-",IF($F$4="Roth","-",IF($E$3="Health Savings Account","-",IF(AND(A49=2033,D49=74),VLOOKUP(D49,Tables!G:H,2,FALSE()),IF(AND(A49&gt;2032,D49&lt;75),"-",IF(D49&lt;73,"-",VLOOKUP(D49,Tables!G:H,2,FALSE())))))))</f>
        <v>20.2</v>
      </c>
      <c r="N49" s="99" t="n">
        <f aca="false">IF($M49="-",0,J49/$M49)</f>
        <v>308439.403325638</v>
      </c>
      <c r="O49" s="99" t="n">
        <f aca="false">IF(D49&gt;$B$4,0,IF(D49&lt;$B$3,0,$B$8*(1+$B$10)^(C49-1)))</f>
        <v>220375.69377728</v>
      </c>
      <c r="P49" s="99" t="n">
        <f aca="false">MAX(N49,O49)</f>
        <v>308439.403325638</v>
      </c>
      <c r="Q49" s="99" t="n">
        <f aca="false">MAX(0,L49-P49)</f>
        <v>6146333.67795065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49584.531099888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6146333.67795065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n">
        <f aca="false">IF(D49="-","-",IF(D49+1&gt;B$4,"-",D49+1))</f>
        <v>81</v>
      </c>
      <c r="E50" s="97" t="n">
        <f aca="false">HLOOKUP($B$6,'RetireUp Market Returns'!A:CT,(1+$B$7+C50),FALSE())</f>
        <v>0.088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6146333.67795065</v>
      </c>
      <c r="K50" s="99" t="n">
        <f aca="false">J50*E50</f>
        <v>540877.363659657</v>
      </c>
      <c r="L50" s="99" t="n">
        <f aca="false">J50+K50</f>
        <v>6687211.0416103</v>
      </c>
      <c r="M50" s="101" t="n">
        <f aca="false">IF(D50="-","-",IF($F$4="Roth","-",IF($E$3="Health Savings Account","-",IF(AND(A50=2033,D50=74),VLOOKUP(D50,Tables!G:H,2,FALSE()),IF(AND(A50&gt;2032,D50&lt;75),"-",IF(D50&lt;73,"-",VLOOKUP(D50,Tables!G:H,2,FALSE())))))))</f>
        <v>19.4</v>
      </c>
      <c r="N50" s="99" t="n">
        <f aca="false">IF($M50="-",0,J50/$M50)</f>
        <v>316821.323605703</v>
      </c>
      <c r="O50" s="99" t="n">
        <f aca="false">IF(D50&gt;$B$4,0,IF(D50&lt;$B$3,0,$B$8*(1+$B$10)^(C50-1)))</f>
        <v>225885.086121712</v>
      </c>
      <c r="P50" s="99" t="n">
        <f aca="false">MAX(N50,O50)</f>
        <v>316821.323605703</v>
      </c>
      <c r="Q50" s="99" t="n">
        <f aca="false">MAX(0,L50-P50)</f>
        <v>6370389.7180046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50824.1443773852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6370389.7180046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n">
        <f aca="false">IF(D50="-","-",IF(D50+1&gt;B$4,"-",D50+1))</f>
        <v>82</v>
      </c>
      <c r="E51" s="97" t="n">
        <f aca="false">HLOOKUP($B$6,'RetireUp Market Returns'!A:CT,(1+$B$7+C51),FALSE())</f>
        <v>0.07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6370389.7180046</v>
      </c>
      <c r="K51" s="99" t="n">
        <f aca="false">J51*E51</f>
        <v>445927.280260322</v>
      </c>
      <c r="L51" s="99" t="n">
        <f aca="false">J51+K51</f>
        <v>6816316.99826492</v>
      </c>
      <c r="M51" s="101" t="n">
        <f aca="false">IF(D51="-","-",IF($F$4="Roth","-",IF($E$3="Health Savings Account","-",IF(AND(A51=2033,D51=74),VLOOKUP(D51,Tables!G:H,2,FALSE()),IF(AND(A51&gt;2032,D51&lt;75),"-",IF(D51&lt;73,"-",VLOOKUP(D51,Tables!G:H,2,FALSE())))))))</f>
        <v>18.5</v>
      </c>
      <c r="N51" s="99" t="n">
        <f aca="false">IF($M51="-",0,J51/$M51)</f>
        <v>344345.390162411</v>
      </c>
      <c r="O51" s="99" t="n">
        <f aca="false">IF(D51&gt;$B$4,0,IF(D51&lt;$B$3,0,$B$8*(1+$B$10)^(C51-1)))</f>
        <v>231532.213274755</v>
      </c>
      <c r="P51" s="99" t="n">
        <f aca="false">MAX(N51,O51)</f>
        <v>344345.390162411</v>
      </c>
      <c r="Q51" s="99" t="n">
        <f aca="false">MAX(0,L51-P51)</f>
        <v>6471971.60810251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52094.7479868198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6471971.60810251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n">
        <f aca="false">IF(D51="-","-",IF(D51+1&gt;B$4,"-",D51+1))</f>
        <v>83</v>
      </c>
      <c r="E52" s="97" t="n">
        <f aca="false">HLOOKUP($B$6,'RetireUp Market Returns'!A:CT,(1+$B$7+C52),FALSE())</f>
        <v>-0.0373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6471971.60810251</v>
      </c>
      <c r="K52" s="99" t="n">
        <f aca="false">J52*E52</f>
        <v>-241404.540982224</v>
      </c>
      <c r="L52" s="99" t="n">
        <f aca="false">J52+K52</f>
        <v>6230567.06712029</v>
      </c>
      <c r="M52" s="101" t="n">
        <f aca="false">IF(D52="-","-",IF($F$4="Roth","-",IF($E$3="Health Savings Account","-",IF(AND(A52=2033,D52=74),VLOOKUP(D52,Tables!G:H,2,FALSE()),IF(AND(A52&gt;2032,D52&lt;75),"-",IF(D52&lt;73,"-",VLOOKUP(D52,Tables!G:H,2,FALSE())))))))</f>
        <v>17.7</v>
      </c>
      <c r="N52" s="99" t="n">
        <f aca="false">IF($M52="-",0,J52/$M52)</f>
        <v>365648.113452119</v>
      </c>
      <c r="O52" s="99" t="n">
        <f aca="false">IF(D52&gt;$B$4,0,IF(D52&lt;$B$3,0,$B$8*(1+$B$10)^(C52-1)))</f>
        <v>237320.518606624</v>
      </c>
      <c r="P52" s="99" t="n">
        <f aca="false">MAX(N52,O52)</f>
        <v>365648.113452119</v>
      </c>
      <c r="Q52" s="99" t="n">
        <f aca="false">MAX(0,L52-P52)</f>
        <v>5864918.95366817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53397.1166864903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5864918.95366817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n">
        <f aca="false">IF(D52="-","-",IF(D52+1&gt;B$4,"-",D52+1))</f>
        <v>84</v>
      </c>
      <c r="E53" s="97" t="n">
        <f aca="false">HLOOKUP($B$6,'RetireUp Market Returns'!A:CT,(1+$B$7+C53),FALSE())</f>
        <v>-0.0567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5864918.95366817</v>
      </c>
      <c r="K53" s="99" t="n">
        <f aca="false">J53*E53</f>
        <v>-332540.904672985</v>
      </c>
      <c r="L53" s="99" t="n">
        <f aca="false">J53+K53</f>
        <v>5532378.04899518</v>
      </c>
      <c r="M53" s="101" t="n">
        <f aca="false">IF(D53="-","-",IF($F$4="Roth","-",IF($E$3="Health Savings Account","-",IF(AND(A53=2033,D53=74),VLOOKUP(D53,Tables!G:H,2,FALSE()),IF(AND(A53&gt;2032,D53&lt;75),"-",IF(D53&lt;73,"-",VLOOKUP(D53,Tables!G:H,2,FALSE())))))))</f>
        <v>16.8</v>
      </c>
      <c r="N53" s="99" t="n">
        <f aca="false">IF($M53="-",0,J53/$M53)</f>
        <v>349102.318670724</v>
      </c>
      <c r="O53" s="99" t="n">
        <f aca="false">IF(D53&gt;$B$4,0,IF(D53&lt;$B$3,0,$B$8*(1+$B$10)^(C53-1)))</f>
        <v>243253.531571789</v>
      </c>
      <c r="P53" s="99" t="n">
        <f aca="false">MAX(N53,O53)</f>
        <v>349102.318670724</v>
      </c>
      <c r="Q53" s="99" t="n">
        <f aca="false">MAX(0,L53-P53)</f>
        <v>5183275.73032446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54732.0446036526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5183275.73032446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n">
        <f aca="false">IF(D53="-","-",IF(D53+1&gt;B$4,"-",D53+1))</f>
        <v>85</v>
      </c>
      <c r="E54" s="97" t="n">
        <f aca="false">HLOOKUP($B$6,'RetireUp Market Returns'!A:CT,(1+$B$7+C54),FALSE())</f>
        <v>-0.1079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5183275.73032446</v>
      </c>
      <c r="K54" s="99" t="n">
        <f aca="false">J54*E54</f>
        <v>-559275.451302009</v>
      </c>
      <c r="L54" s="99" t="n">
        <f aca="false">J54+K54</f>
        <v>4624000.27902245</v>
      </c>
      <c r="M54" s="101" t="n">
        <f aca="false">IF(D54="-","-",IF($F$4="Roth","-",IF($E$3="Health Savings Account","-",IF(AND(A54=2033,D54=74),VLOOKUP(D54,Tables!G:H,2,FALSE()),IF(AND(A54&gt;2032,D54&lt;75),"-",IF(D54&lt;73,"-",VLOOKUP(D54,Tables!G:H,2,FALSE())))))))</f>
        <v>16</v>
      </c>
      <c r="N54" s="99" t="n">
        <f aca="false">IF($M54="-",0,J54/$M54)</f>
        <v>323954.733145279</v>
      </c>
      <c r="O54" s="99" t="n">
        <f aca="false">IF(D54&gt;$B$4,0,IF(D54&lt;$B$3,0,$B$8*(1+$B$10)^(C54-1)))</f>
        <v>249334.869861084</v>
      </c>
      <c r="P54" s="99" t="n">
        <f aca="false">MAX(N54,O54)</f>
        <v>323954.733145279</v>
      </c>
      <c r="Q54" s="99" t="n">
        <f aca="false">MAX(0,L54-P54)</f>
        <v>4300045.54587717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56100.3457187439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4300045.54587717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27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65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Monthly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457b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457b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6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6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22500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178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457b with Monthly / Monthly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65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24000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12000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0</v>
      </c>
      <c r="W17" s="99" t="n">
        <f aca="false">MIN(R17,T17)</f>
        <v>22500</v>
      </c>
      <c r="X17" s="99" t="n">
        <f aca="false">MIN(U17,R17-W17)</f>
        <v>1500</v>
      </c>
      <c r="Y17" s="99" t="n">
        <f aca="false">MIN(S17,V17)</f>
        <v>0</v>
      </c>
      <c r="Z17" s="99" t="n">
        <f aca="false">W17+X17+Y17</f>
        <v>24000</v>
      </c>
      <c r="AA17" s="100" t="n">
        <f aca="false">Q17+Z17</f>
        <v>2206400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66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2206400</v>
      </c>
      <c r="K18" s="99" t="n">
        <f aca="false">J18*E18</f>
        <v>105686.56</v>
      </c>
      <c r="L18" s="99" t="n">
        <f aca="false">J18+K18</f>
        <v>2312086.56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2312086.56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24000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12000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0</v>
      </c>
      <c r="W18" s="99" t="n">
        <f aca="false">MIN(R18,T18)</f>
        <v>23062.5</v>
      </c>
      <c r="X18" s="99" t="n">
        <f aca="false">MIN(U18,R18-W18)</f>
        <v>937.500000000004</v>
      </c>
      <c r="Y18" s="99" t="n">
        <f aca="false">MIN(S18,V18)</f>
        <v>0</v>
      </c>
      <c r="Z18" s="99" t="n">
        <f aca="false">W18+X18+Y18</f>
        <v>24000</v>
      </c>
      <c r="AA18" s="100" t="n">
        <f aca="false">Q18+W18+X18+Y18</f>
        <v>2336086.56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67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2336086.56</v>
      </c>
      <c r="K19" s="99" t="n">
        <f aca="false">J19*E19</f>
        <v>49758.643728</v>
      </c>
      <c r="L19" s="99" t="n">
        <f aca="false">J19+K19</f>
        <v>2385845.203728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2385845.203728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24000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12000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0</v>
      </c>
      <c r="W19" s="99" t="n">
        <f aca="false">MIN(R19,T19)</f>
        <v>23639.0625</v>
      </c>
      <c r="X19" s="99" t="n">
        <f aca="false">MIN(U19,R19-W19)</f>
        <v>360.9375</v>
      </c>
      <c r="Y19" s="99" t="n">
        <f aca="false">MIN(S19,V19)</f>
        <v>0</v>
      </c>
      <c r="Z19" s="99" t="n">
        <f aca="false">W19+X19+Y19</f>
        <v>24000</v>
      </c>
      <c r="AA19" s="100" t="n">
        <f aca="false">Q19+W19+X19+Y19</f>
        <v>2409845.203728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68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2409845.203728</v>
      </c>
      <c r="K20" s="99" t="n">
        <f aca="false">J20*E20</f>
        <v>265082.97241008</v>
      </c>
      <c r="L20" s="99" t="n">
        <f aca="false">J20+K20</f>
        <v>2674928.17613808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2674928.17613808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24000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12000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230.039062499993</v>
      </c>
      <c r="W20" s="99" t="n">
        <f aca="false">MIN(R20,T20)</f>
        <v>24000</v>
      </c>
      <c r="X20" s="99" t="n">
        <f aca="false">MIN(U20,R20-W20)</f>
        <v>0</v>
      </c>
      <c r="Y20" s="99" t="n">
        <f aca="false">MIN(S20,V20)</f>
        <v>230.039062499993</v>
      </c>
      <c r="Z20" s="99" t="n">
        <f aca="false">W20+X20+Y20</f>
        <v>24230.0390625</v>
      </c>
      <c r="AA20" s="100" t="n">
        <f aca="false">Q20+W20+X20+Y20</f>
        <v>2699158.21520058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69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2699158.21520058</v>
      </c>
      <c r="K21" s="99" t="n">
        <f aca="false">J21*E21</f>
        <v>216472.488859086</v>
      </c>
      <c r="L21" s="99" t="n">
        <f aca="false">J21+K21</f>
        <v>2915630.70405967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2915630.70405967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24000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12000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835.790039062489</v>
      </c>
      <c r="W21" s="99" t="n">
        <f aca="false">MIN(R21,T21)</f>
        <v>24000</v>
      </c>
      <c r="X21" s="99" t="n">
        <f aca="false">MIN(U21,R21-W21)</f>
        <v>0</v>
      </c>
      <c r="Y21" s="99" t="n">
        <f aca="false">MIN(S21,V21)</f>
        <v>835.790039062489</v>
      </c>
      <c r="Z21" s="99" t="n">
        <f aca="false">W21+X21+Y21</f>
        <v>24835.7900390625</v>
      </c>
      <c r="AA21" s="100" t="n">
        <f aca="false">Q21+W21+X21+Y21</f>
        <v>2940466.49409873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70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2940466.49409873</v>
      </c>
      <c r="K22" s="99" t="n">
        <f aca="false">J22*E22</f>
        <v>240530.159217276</v>
      </c>
      <c r="L22" s="99" t="n">
        <f aca="false">J22+K22</f>
        <v>3180996.65331601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3180996.65331601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24000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12000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1456.68479003905</v>
      </c>
      <c r="W22" s="99" t="n">
        <f aca="false">MIN(R22,T22)</f>
        <v>24000</v>
      </c>
      <c r="X22" s="99" t="n">
        <f aca="false">MIN(U22,R22-W22)</f>
        <v>0</v>
      </c>
      <c r="Y22" s="99" t="n">
        <f aca="false">MIN(S22,V22)</f>
        <v>1456.68479003905</v>
      </c>
      <c r="Z22" s="99" t="n">
        <f aca="false">W22+X22+Y22</f>
        <v>25456.684790039</v>
      </c>
      <c r="AA22" s="100" t="n">
        <f aca="false">Q22+W22+X22+Y22</f>
        <v>3206453.33810604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71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3206453.33810604</v>
      </c>
      <c r="K23" s="99" t="n">
        <f aca="false">J23*E23</f>
        <v>323210.496481089</v>
      </c>
      <c r="L23" s="99" t="n">
        <f aca="false">J23+K23</f>
        <v>3529663.83458713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3529663.83458713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24000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12000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2093.10190979002</v>
      </c>
      <c r="W23" s="99" t="n">
        <f aca="false">MIN(R23,T23)</f>
        <v>24000</v>
      </c>
      <c r="X23" s="99" t="n">
        <f aca="false">MIN(U23,R23-W23)</f>
        <v>0</v>
      </c>
      <c r="Y23" s="99" t="n">
        <f aca="false">MIN(S23,V23)</f>
        <v>2093.10190979002</v>
      </c>
      <c r="Z23" s="99" t="n">
        <f aca="false">W23+X23+Y23</f>
        <v>26093.10190979</v>
      </c>
      <c r="AA23" s="100" t="n">
        <f aca="false">Q23+W23+X23+Y23</f>
        <v>3555756.93649692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72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3555756.93649692</v>
      </c>
      <c r="K24" s="99" t="n">
        <f aca="false">J24*E24</f>
        <v>-174943.241275649</v>
      </c>
      <c r="L24" s="99" t="n">
        <f aca="false">J24+K24</f>
        <v>3380813.69522127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3380813.69522127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24000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12000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2745.42945753478</v>
      </c>
      <c r="W24" s="99" t="n">
        <f aca="false">MIN(R24,T24)</f>
        <v>24000</v>
      </c>
      <c r="X24" s="99" t="n">
        <f aca="false">MIN(U24,R24-W24)</f>
        <v>0</v>
      </c>
      <c r="Y24" s="99" t="n">
        <f aca="false">MIN(S24,V24)</f>
        <v>2745.42945753478</v>
      </c>
      <c r="Z24" s="99" t="n">
        <f aca="false">W24+X24+Y24</f>
        <v>26745.4294575348</v>
      </c>
      <c r="AA24" s="100" t="n">
        <f aca="false">Q24+W24+X24+Y24</f>
        <v>3407559.12467881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73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3407559.12467881</v>
      </c>
      <c r="K25" s="99" t="n">
        <f aca="false">J25*E25</f>
        <v>41912.9772335494</v>
      </c>
      <c r="L25" s="99" t="n">
        <f aca="false">J25+K25</f>
        <v>3449472.10191236</v>
      </c>
      <c r="M25" s="101" t="n">
        <f aca="false">IF(D25="-","-",IF($F$4="Roth","-",IF($E$3="Health Savings Account","-",IF(AND(A25=2033,D25=74),VLOOKUP(D25,Tables!G:H,2,FALSE()),IF(AND(A25&gt;2032,D25&lt;75),"-",IF(D25&lt;73,"-",VLOOKUP(D25,Tables!G:H,2,FALSE())))))))</f>
        <v>26.5</v>
      </c>
      <c r="N25" s="99" t="n">
        <f aca="false">IF($M25="-",0,J25/$M25)</f>
        <v>128587.136780332</v>
      </c>
      <c r="O25" s="99" t="n">
        <f aca="false">IF(D25&gt;$B$4,0,IF(D25&lt;$B$3,0,$B$8*(1+$B$10)^(C25-1)))</f>
        <v>0</v>
      </c>
      <c r="P25" s="99" t="n">
        <f aca="false">MAX(N25,O25)</f>
        <v>128587.136780332</v>
      </c>
      <c r="Q25" s="99" t="n">
        <f aca="false">MAX(0,L25-P25)</f>
        <v>3320884.96513203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24000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12000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3414.06519397314</v>
      </c>
      <c r="W25" s="99" t="n">
        <f aca="false">MIN(R25,T25)</f>
        <v>24000</v>
      </c>
      <c r="X25" s="99" t="n">
        <f aca="false">MIN(U25,R25-W25)</f>
        <v>0</v>
      </c>
      <c r="Y25" s="99" t="n">
        <f aca="false">MIN(S25,V25)</f>
        <v>3414.06519397314</v>
      </c>
      <c r="Z25" s="99" t="n">
        <f aca="false">W25+X25+Y25</f>
        <v>27414.0651939731</v>
      </c>
      <c r="AA25" s="100" t="n">
        <f aca="false">Q25+W25+X25+Y25</f>
        <v>3348299.030326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74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3348299.030326</v>
      </c>
      <c r="K26" s="99" t="n">
        <f aca="false">J26*E26</f>
        <v>214625.967843897</v>
      </c>
      <c r="L26" s="99" t="n">
        <f aca="false">J26+K26</f>
        <v>3562924.9981699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25.5</v>
      </c>
      <c r="N26" s="99" t="n">
        <f aca="false">IF($M26="-",0,J26/$M26)</f>
        <v>131305.84432651</v>
      </c>
      <c r="O26" s="99" t="n">
        <f aca="false">IF(D26&gt;$B$4,0,IF(D26&lt;$B$3,0,$B$8*(1+$B$10)^(C26-1)))</f>
        <v>0</v>
      </c>
      <c r="P26" s="99" t="n">
        <f aca="false">MAX(N26,O26)</f>
        <v>131305.84432651</v>
      </c>
      <c r="Q26" s="99" t="n">
        <f aca="false">MAX(0,L26-P26)</f>
        <v>3431619.15384339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24000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12000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4099.41682382247</v>
      </c>
      <c r="W26" s="99" t="n">
        <f aca="false">MIN(R26,T26)</f>
        <v>24000</v>
      </c>
      <c r="X26" s="99" t="n">
        <f aca="false">MIN(U26,R26-W26)</f>
        <v>0</v>
      </c>
      <c r="Y26" s="99" t="n">
        <f aca="false">MIN(S26,V26)</f>
        <v>4099.41682382247</v>
      </c>
      <c r="Z26" s="99" t="n">
        <f aca="false">W26+X26+Y26</f>
        <v>28099.4168238225</v>
      </c>
      <c r="AA26" s="100" t="n">
        <f aca="false">Q26+W26+X26+Y26</f>
        <v>3459718.57066721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75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3459718.57066721</v>
      </c>
      <c r="K27" s="99" t="n">
        <f aca="false">J27*E27</f>
        <v>370535.858918458</v>
      </c>
      <c r="L27" s="99" t="n">
        <f aca="false">J27+K27</f>
        <v>3830254.42958567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24.6</v>
      </c>
      <c r="N27" s="99" t="n">
        <f aca="false">IF($M27="-",0,J27/$M27)</f>
        <v>140638.966287285</v>
      </c>
      <c r="O27" s="99" t="n">
        <f aca="false">IF(D27&gt;$B$4,0,IF(D27&lt;$B$3,0,$B$8*(1+$B$10)^(C27-1)))</f>
        <v>0</v>
      </c>
      <c r="P27" s="99" t="n">
        <f aca="false">MAX(N27,O27)</f>
        <v>140638.966287285</v>
      </c>
      <c r="Q27" s="99" t="n">
        <f aca="false">MAX(0,L27-P27)</f>
        <v>3689615.46329838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24000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12000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4801.90224441802</v>
      </c>
      <c r="W27" s="99" t="n">
        <f aca="false">MIN(R27,T27)</f>
        <v>24000</v>
      </c>
      <c r="X27" s="99" t="n">
        <f aca="false">MIN(U27,R27-W27)</f>
        <v>0</v>
      </c>
      <c r="Y27" s="99" t="n">
        <f aca="false">MIN(S27,V27)</f>
        <v>4801.90224441802</v>
      </c>
      <c r="Z27" s="99" t="n">
        <f aca="false">W27+X27+Y27</f>
        <v>28801.902244418</v>
      </c>
      <c r="AA27" s="100" t="n">
        <f aca="false">Q27+W27+X27+Y27</f>
        <v>3718417.3655428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76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3718417.3655428</v>
      </c>
      <c r="K28" s="99" t="n">
        <f aca="false">J28*E28</f>
        <v>242068.970496836</v>
      </c>
      <c r="L28" s="99" t="n">
        <f aca="false">J28+K28</f>
        <v>3960486.33603964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23.7</v>
      </c>
      <c r="N28" s="99" t="n">
        <f aca="false">IF($M28="-",0,J28/$M28)</f>
        <v>156895.247491257</v>
      </c>
      <c r="O28" s="99" t="n">
        <f aca="false">IF(D28&gt;$B$4,0,IF(D28&lt;$B$3,0,$B$8*(1+$B$10)^(C28-1)))</f>
        <v>131208.665780127</v>
      </c>
      <c r="P28" s="99" t="n">
        <f aca="false">MAX(N28,O28)</f>
        <v>156895.247491257</v>
      </c>
      <c r="Q28" s="99" t="n">
        <f aca="false">MAX(0,L28-P28)</f>
        <v>3803591.08854838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29521.9498005285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3803591.08854838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77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3803591.08854838</v>
      </c>
      <c r="K29" s="99" t="n">
        <f aca="false">J29*E29</f>
        <v>304287.28708387</v>
      </c>
      <c r="L29" s="99" t="n">
        <f aca="false">J29+K29</f>
        <v>4107878.37563225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22.9</v>
      </c>
      <c r="N29" s="99" t="n">
        <f aca="false">IF($M29="-",0,J29/$M29)</f>
        <v>166095.680722637</v>
      </c>
      <c r="O29" s="99" t="n">
        <f aca="false">IF(D29&gt;$B$4,0,IF(D29&lt;$B$3,0,$B$8*(1+$B$10)^(C29-1)))</f>
        <v>134488.88242463</v>
      </c>
      <c r="P29" s="99" t="n">
        <f aca="false">MAX(N29,O29)</f>
        <v>166095.680722637</v>
      </c>
      <c r="Q29" s="99" t="n">
        <f aca="false">MAX(0,L29-P29)</f>
        <v>3941782.69490961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30259.9985455417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3941782.69490961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78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3941782.69490961</v>
      </c>
      <c r="K30" s="99" t="n">
        <f aca="false">J30*E30</f>
        <v>122589.441811689</v>
      </c>
      <c r="L30" s="99" t="n">
        <f aca="false">J30+K30</f>
        <v>4064372.1367213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</v>
      </c>
      <c r="N30" s="99" t="n">
        <f aca="false">IF($M30="-",0,J30/$M30)</f>
        <v>179171.94067771</v>
      </c>
      <c r="O30" s="99" t="n">
        <f aca="false">IF(D30&gt;$B$4,0,IF(D30&lt;$B$3,0,$B$8*(1+$B$10)^(C30-1)))</f>
        <v>137851.104485245</v>
      </c>
      <c r="P30" s="99" t="n">
        <f aca="false">MAX(N30,O30)</f>
        <v>179171.94067771</v>
      </c>
      <c r="Q30" s="99" t="n">
        <f aca="false">MAX(0,L30-P30)</f>
        <v>3885200.19604359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31016.4985091802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3885200.19604359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79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3885200.19604359</v>
      </c>
      <c r="K31" s="99" t="n">
        <f aca="false">J31*E31</f>
        <v>218736.771037254</v>
      </c>
      <c r="L31" s="99" t="n">
        <f aca="false">J31+K31</f>
        <v>4103936.96708085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21.1</v>
      </c>
      <c r="N31" s="99" t="n">
        <f aca="false">IF($M31="-",0,J31/$M31)</f>
        <v>184132.710712967</v>
      </c>
      <c r="O31" s="99" t="n">
        <f aca="false">IF(D31&gt;$B$4,0,IF(D31&lt;$B$3,0,$B$8*(1+$B$10)^(C31-1)))</f>
        <v>141297.382097377</v>
      </c>
      <c r="P31" s="99" t="n">
        <f aca="false">MAX(N31,O31)</f>
        <v>184132.710712967</v>
      </c>
      <c r="Q31" s="99" t="n">
        <f aca="false">MAX(0,L31-P31)</f>
        <v>3919804.25636788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31791.9109719097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3919804.25636788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80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3919804.25636788</v>
      </c>
      <c r="K32" s="99" t="n">
        <f aca="false">J32*E32</f>
        <v>106618.675773206</v>
      </c>
      <c r="L32" s="99" t="n">
        <f aca="false">J32+K32</f>
        <v>4026422.93214109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20.2</v>
      </c>
      <c r="N32" s="99" t="n">
        <f aca="false">IF($M32="-",0,J32/$M32)</f>
        <v>194049.715661776</v>
      </c>
      <c r="O32" s="99" t="n">
        <f aca="false">IF(D32&gt;$B$4,0,IF(D32&lt;$B$3,0,$B$8*(1+$B$10)^(C32-1)))</f>
        <v>144829.816649811</v>
      </c>
      <c r="P32" s="99" t="n">
        <f aca="false">MAX(N32,O32)</f>
        <v>194049.715661776</v>
      </c>
      <c r="Q32" s="99" t="n">
        <f aca="false">MAX(0,L32-P32)</f>
        <v>3832373.21647931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32586.7087462075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3832373.21647931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81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3832373.21647931</v>
      </c>
      <c r="K33" s="99" t="n">
        <f aca="false">J33*E33</f>
        <v>631575.106075791</v>
      </c>
      <c r="L33" s="99" t="n">
        <f aca="false">J33+K33</f>
        <v>4463948.3225551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19.4</v>
      </c>
      <c r="N33" s="99" t="n">
        <f aca="false">IF($M33="-",0,J33/$M33)</f>
        <v>197545.011158727</v>
      </c>
      <c r="O33" s="99" t="n">
        <f aca="false">IF(D33&gt;$B$4,0,IF(D33&lt;$B$3,0,$B$8*(1+$B$10)^(C33-1)))</f>
        <v>148450.562066056</v>
      </c>
      <c r="P33" s="99" t="n">
        <f aca="false">MAX(N33,O33)</f>
        <v>197545.011158727</v>
      </c>
      <c r="Q33" s="99" t="n">
        <f aca="false">MAX(0,L33-P33)</f>
        <v>4266403.31139637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33401.3764648627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4266403.31139637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82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4266403.31139637</v>
      </c>
      <c r="K34" s="99" t="n">
        <f aca="false">J34*E34</f>
        <v>-287982.223519255</v>
      </c>
      <c r="L34" s="99" t="n">
        <f aca="false">J34+K34</f>
        <v>3978421.08787712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18.5</v>
      </c>
      <c r="N34" s="99" t="n">
        <f aca="false">IF($M34="-",0,J34/$M34)</f>
        <v>230616.395210615</v>
      </c>
      <c r="O34" s="99" t="n">
        <f aca="false">IF(D34&gt;$B$4,0,IF(D34&lt;$B$3,0,$B$8*(1+$B$10)^(C34-1)))</f>
        <v>152161.826117708</v>
      </c>
      <c r="P34" s="99" t="n">
        <f aca="false">MAX(N34,O34)</f>
        <v>230616.395210615</v>
      </c>
      <c r="Q34" s="99" t="n">
        <f aca="false">MAX(0,L34-P34)</f>
        <v>3747804.6926665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34236.4108764842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3747804.6926665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83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3747804.6926665</v>
      </c>
      <c r="K35" s="99" t="n">
        <f aca="false">J35*E35</f>
        <v>497708.463186112</v>
      </c>
      <c r="L35" s="99" t="n">
        <f aca="false">J35+K35</f>
        <v>4245513.15585262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17.7</v>
      </c>
      <c r="N35" s="99" t="n">
        <f aca="false">IF($M35="-",0,J35/$M35)</f>
        <v>211740.378116752</v>
      </c>
      <c r="O35" s="99" t="n">
        <f aca="false">IF(D35&gt;$B$4,0,IF(D35&lt;$B$3,0,$B$8*(1+$B$10)^(C35-1)))</f>
        <v>155965.87177065</v>
      </c>
      <c r="P35" s="99" t="n">
        <f aca="false">MAX(N35,O35)</f>
        <v>211740.378116752</v>
      </c>
      <c r="Q35" s="99" t="n">
        <f aca="false">MAX(0,L35-P35)</f>
        <v>4033772.77773586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35092.3211483963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4033772.77773586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84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4033772.77773586</v>
      </c>
      <c r="K36" s="99" t="n">
        <f aca="false">J36*E36</f>
        <v>184746.793220303</v>
      </c>
      <c r="L36" s="99" t="n">
        <f aca="false">J36+K36</f>
        <v>4218519.57095617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16.8</v>
      </c>
      <c r="N36" s="99" t="n">
        <f aca="false">IF($M36="-",0,J36/$M36)</f>
        <v>240105.522484278</v>
      </c>
      <c r="O36" s="99" t="n">
        <f aca="false">IF(D36&gt;$B$4,0,IF(D36&lt;$B$3,0,$B$8*(1+$B$10)^(C36-1)))</f>
        <v>159865.018564917</v>
      </c>
      <c r="P36" s="99" t="n">
        <f aca="false">MAX(N36,O36)</f>
        <v>240105.522484278</v>
      </c>
      <c r="Q36" s="99" t="n">
        <f aca="false">MAX(0,L36-P36)</f>
        <v>3978414.04847189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35969.6291771062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3978414.04847189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85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3978414.04847189</v>
      </c>
      <c r="K37" s="99" t="n">
        <f aca="false">J37*E37</f>
        <v>359648.629981859</v>
      </c>
      <c r="L37" s="99" t="n">
        <f aca="false">J37+K37</f>
        <v>4338062.67845375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</v>
      </c>
      <c r="N37" s="99" t="n">
        <f aca="false">IF($M37="-",0,J37/$M37)</f>
        <v>248650.878029493</v>
      </c>
      <c r="O37" s="99" t="n">
        <f aca="false">IF(D37&gt;$B$4,0,IF(D37&lt;$B$3,0,$B$8*(1+$B$10)^(C37-1)))</f>
        <v>163861.644029039</v>
      </c>
      <c r="P37" s="99" t="n">
        <f aca="false">MAX(N37,O37)</f>
        <v>248650.878029493</v>
      </c>
      <c r="Q37" s="99" t="n">
        <f aca="false">MAX(0,L37-P37)</f>
        <v>4089411.80042426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36868.8699065339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4089411.80042426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86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4089411.80042426</v>
      </c>
      <c r="K38" s="99" t="n">
        <f aca="false">J38*E38</f>
        <v>277262.120068764</v>
      </c>
      <c r="L38" s="99" t="n">
        <f aca="false">J38+K38</f>
        <v>4366673.92049302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15.2</v>
      </c>
      <c r="N38" s="99" t="n">
        <f aca="false">IF($M38="-",0,J38/$M38)</f>
        <v>269040.250027912</v>
      </c>
      <c r="O38" s="99" t="n">
        <f aca="false">IF(D38&gt;$B$4,0,IF(D38&lt;$B$3,0,$B$8*(1+$B$10)^(C38-1)))</f>
        <v>167958.185129765</v>
      </c>
      <c r="P38" s="99" t="n">
        <f aca="false">MAX(N38,O38)</f>
        <v>269040.250027912</v>
      </c>
      <c r="Q38" s="99" t="n">
        <f aca="false">MAX(0,L38-P38)</f>
        <v>4097633.67046511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37790.5916541972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4097633.67046511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87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4097633.67046511</v>
      </c>
      <c r="K39" s="99" t="n">
        <f aca="false">J39*E39</f>
        <v>218403.87463579</v>
      </c>
      <c r="L39" s="99" t="n">
        <f aca="false">J39+K39</f>
        <v>4316037.5451009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14.4</v>
      </c>
      <c r="N39" s="99" t="n">
        <f aca="false">IF($M39="-",0,J39/$M39)</f>
        <v>284557.893782299</v>
      </c>
      <c r="O39" s="99" t="n">
        <f aca="false">IF(D39&gt;$B$4,0,IF(D39&lt;$B$3,0,$B$8*(1+$B$10)^(C39-1)))</f>
        <v>172157.13975801</v>
      </c>
      <c r="P39" s="99" t="n">
        <f aca="false">MAX(N39,O39)</f>
        <v>284557.893782299</v>
      </c>
      <c r="Q39" s="99" t="n">
        <f aca="false">MAX(0,L39-P39)</f>
        <v>4031479.6513186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38735.3564455521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4031479.6513186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88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4031479.6513186</v>
      </c>
      <c r="K40" s="99" t="n">
        <f aca="false">J40*E40</f>
        <v>299135.79012784</v>
      </c>
      <c r="L40" s="99" t="n">
        <f aca="false">J40+K40</f>
        <v>4330615.44144644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13.7</v>
      </c>
      <c r="N40" s="99" t="n">
        <f aca="false">IF($M40="-",0,J40/$M40)</f>
        <v>294268.587687489</v>
      </c>
      <c r="O40" s="99" t="n">
        <f aca="false">IF(D40&gt;$B$4,0,IF(D40&lt;$B$3,0,$B$8*(1+$B$10)^(C40-1)))</f>
        <v>176461.06825196</v>
      </c>
      <c r="P40" s="99" t="n">
        <f aca="false">MAX(N40,O40)</f>
        <v>294268.587687489</v>
      </c>
      <c r="Q40" s="99" t="n">
        <f aca="false">MAX(0,L40-P40)</f>
        <v>4036346.85375895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39703.7403566909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4036346.85375895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89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4036346.85375895</v>
      </c>
      <c r="K41" s="99" t="n">
        <f aca="false">J41*E41</f>
        <v>262362.545494332</v>
      </c>
      <c r="L41" s="99" t="n">
        <f aca="false">J41+K41</f>
        <v>4298709.39925328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12.9</v>
      </c>
      <c r="N41" s="99" t="n">
        <f aca="false">IF($M41="-",0,J41/$M41)</f>
        <v>312895.104942554</v>
      </c>
      <c r="O41" s="99" t="n">
        <f aca="false">IF(D41&gt;$B$4,0,IF(D41&lt;$B$3,0,$B$8*(1+$B$10)^(C41-1)))</f>
        <v>180872.594958259</v>
      </c>
      <c r="P41" s="99" t="n">
        <f aca="false">MAX(N41,O41)</f>
        <v>312895.104942554</v>
      </c>
      <c r="Q41" s="99" t="n">
        <f aca="false">MAX(0,L41-P41)</f>
        <v>3985814.29431073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40696.3338656082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3985814.29431073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90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3985814.29431073</v>
      </c>
      <c r="K42" s="99" t="n">
        <f aca="false">J42*E42</f>
        <v>-139503.500300875</v>
      </c>
      <c r="L42" s="99" t="n">
        <f aca="false">J42+K42</f>
        <v>3846310.79400985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12.2</v>
      </c>
      <c r="N42" s="99" t="n">
        <f aca="false">IF($M42="-",0,J42/$M42)</f>
        <v>326706.089697601</v>
      </c>
      <c r="O42" s="99" t="n">
        <f aca="false">IF(D42&gt;$B$4,0,IF(D42&lt;$B$3,0,$B$8*(1+$B$10)^(C42-1)))</f>
        <v>185394.409832215</v>
      </c>
      <c r="P42" s="99" t="n">
        <f aca="false">MAX(N42,O42)</f>
        <v>326706.089697601</v>
      </c>
      <c r="Q42" s="99" t="n">
        <f aca="false">MAX(0,L42-P42)</f>
        <v>3519604.70431225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41713.7422122484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3519604.70431225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str">
        <f aca="false">IF(D42="-","-",IF(D42+1&gt;B$4,"-",D42+1))</f>
        <v>-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3519604.70431225</v>
      </c>
      <c r="K43" s="99" t="n">
        <f aca="false">J43*E43</f>
        <v>281568.37634498</v>
      </c>
      <c r="L43" s="99" t="n">
        <f aca="false">J43+K43</f>
        <v>3801173.08065723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0</v>
      </c>
      <c r="P43" s="99" t="n">
        <f aca="false">MAX(N43,O43)</f>
        <v>0</v>
      </c>
      <c r="Q43" s="99" t="n">
        <f aca="false">MAX(0,L43-P43)</f>
        <v>3801173.08065723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42756.5857675546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3801173.08065723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3801173.08065723</v>
      </c>
      <c r="K44" s="99" t="n">
        <f aca="false">J44*E44</f>
        <v>206023.580971622</v>
      </c>
      <c r="L44" s="99" t="n">
        <f aca="false">J44+K44</f>
        <v>4007196.66162885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4007196.66162885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43825.5004117435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4007196.66162885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4007196.66162885</v>
      </c>
      <c r="K45" s="99" t="n">
        <f aca="false">J45*E45</f>
        <v>316969.255934842</v>
      </c>
      <c r="L45" s="99" t="n">
        <f aca="false">J45+K45</f>
        <v>4324165.9175637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4324165.9175637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44921.1379220371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4324165.9175637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4324165.9175637</v>
      </c>
      <c r="K46" s="99" t="n">
        <f aca="false">J46*E46</f>
        <v>163021.055092151</v>
      </c>
      <c r="L46" s="99" t="n">
        <f aca="false">J46+K46</f>
        <v>4487186.97265585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4487186.97265585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46044.166370088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4487186.97265585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4487186.97265585</v>
      </c>
      <c r="K47" s="99" t="n">
        <f aca="false">J47*E47</f>
        <v>412372.482787072</v>
      </c>
      <c r="L47" s="99" t="n">
        <f aca="false">J47+K47</f>
        <v>4899559.45544292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4899559.45544292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47195.2705293402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4899559.45544292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4899559.45544292</v>
      </c>
      <c r="K48" s="99" t="n">
        <f aca="false">J48*E48</f>
        <v>165115.153648426</v>
      </c>
      <c r="L48" s="99" t="n">
        <f aca="false">J48+K48</f>
        <v>5064674.60909135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5064674.60909135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48375.1522925737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5064674.60909135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5064674.60909135</v>
      </c>
      <c r="K49" s="99" t="n">
        <f aca="false">J49*E49</f>
        <v>227910.357409111</v>
      </c>
      <c r="L49" s="99" t="n">
        <f aca="false">J49+K49</f>
        <v>5292584.96650046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5292584.96650046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49584.531099888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5292584.96650046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5292584.96650046</v>
      </c>
      <c r="K50" s="99" t="n">
        <f aca="false">J50*E50</f>
        <v>582184.34631505</v>
      </c>
      <c r="L50" s="99" t="n">
        <f aca="false">J50+K50</f>
        <v>5874769.31281551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5874769.31281551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50824.1443773852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5874769.31281551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5874769.31281551</v>
      </c>
      <c r="K51" s="99" t="n">
        <f aca="false">J51*E51</f>
        <v>514042.314871357</v>
      </c>
      <c r="L51" s="99" t="n">
        <f aca="false">J51+K51</f>
        <v>6388811.62768686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6388811.62768686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52094.7479868198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6388811.62768686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6388811.62768686</v>
      </c>
      <c r="K52" s="99" t="n">
        <f aca="false">J52*E52</f>
        <v>-298357.503012977</v>
      </c>
      <c r="L52" s="99" t="n">
        <f aca="false">J52+K52</f>
        <v>6090454.12467389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6090454.12467389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53397.1166864903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6090454.12467389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6090454.12467389</v>
      </c>
      <c r="K53" s="99" t="n">
        <f aca="false">J53*E53</f>
        <v>-431204.152026911</v>
      </c>
      <c r="L53" s="99" t="n">
        <f aca="false">J53+K53</f>
        <v>5659249.97264698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5659249.97264698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54732.0446036526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5659249.97264698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5659249.97264698</v>
      </c>
      <c r="K54" s="99" t="n">
        <f aca="false">J54*E54</f>
        <v>-762866.896312812</v>
      </c>
      <c r="L54" s="99" t="n">
        <f aca="false">J54+K54</f>
        <v>4896383.07633416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4896383.07633416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56100.3457187439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4896383.07633416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28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65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457b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457b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6</v>
      </c>
      <c r="G3" s="66" t="s">
        <v>24</v>
      </c>
      <c r="H3" s="73" t="n">
        <f aca="false">VLOOKUP($A$14,Scenarios!$A:$CE,HLOOKUP(G3,Scenarios!$1:$2,2,FALSE()),FALSE())</f>
        <v>30000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6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0.04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22500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179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457b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65</v>
      </c>
      <c r="E17" s="97" t="n">
        <f aca="false">HLOOKUP($B$6,'RetireUp Market Returns'!A:CT,(1+$B$7+C17),FALSE())</f>
        <v>0.0729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145800</v>
      </c>
      <c r="L17" s="99" t="n">
        <f aca="false">J17+K17</f>
        <v>2145800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2145800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30000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0</v>
      </c>
      <c r="W17" s="99" t="n">
        <f aca="false">MIN(R17,T17)</f>
        <v>22500</v>
      </c>
      <c r="X17" s="99" t="n">
        <f aca="false">MIN(U17,R17-W17)</f>
        <v>2500</v>
      </c>
      <c r="Y17" s="99" t="n">
        <f aca="false">MIN(S17,V17)</f>
        <v>0</v>
      </c>
      <c r="Z17" s="99" t="n">
        <f aca="false">W17+X17+Y17</f>
        <v>25000</v>
      </c>
      <c r="AA17" s="100" t="n">
        <f aca="false">Q17+Z17</f>
        <v>2170800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66</v>
      </c>
      <c r="E18" s="97" t="n">
        <f aca="false">HLOOKUP($B$6,'RetireUp Market Returns'!A:CT,(1+$B$7+C18),FALSE())</f>
        <v>0.0383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2170800</v>
      </c>
      <c r="K18" s="99" t="n">
        <f aca="false">J18*E18</f>
        <v>83141.64</v>
      </c>
      <c r="L18" s="99" t="n">
        <f aca="false">J18+K18</f>
        <v>2253941.64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2253941.64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30000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0</v>
      </c>
      <c r="W18" s="99" t="n">
        <f aca="false">MIN(R18,T18)</f>
        <v>23062.5</v>
      </c>
      <c r="X18" s="99" t="n">
        <f aca="false">MIN(U18,R18-W18)</f>
        <v>1937.5</v>
      </c>
      <c r="Y18" s="99" t="n">
        <f aca="false">MIN(S18,V18)</f>
        <v>0</v>
      </c>
      <c r="Z18" s="99" t="n">
        <f aca="false">W18+X18+Y18</f>
        <v>25000</v>
      </c>
      <c r="AA18" s="100" t="n">
        <f aca="false">Q18+W18+X18+Y18</f>
        <v>2278941.64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67</v>
      </c>
      <c r="E19" s="97" t="n">
        <f aca="false">HLOOKUP($B$6,'RetireUp Market Returns'!A:CT,(1+$B$7+C19),FALSE())</f>
        <v>0.0171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2278941.64</v>
      </c>
      <c r="K19" s="99" t="n">
        <f aca="false">J19*E19</f>
        <v>38969.902044</v>
      </c>
      <c r="L19" s="99" t="n">
        <f aca="false">J19+K19</f>
        <v>2317911.542044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2317911.542044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30000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0</v>
      </c>
      <c r="W19" s="99" t="n">
        <f aca="false">MIN(R19,T19)</f>
        <v>23639.0625</v>
      </c>
      <c r="X19" s="99" t="n">
        <f aca="false">MIN(U19,R19-W19)</f>
        <v>1360.9375</v>
      </c>
      <c r="Y19" s="99" t="n">
        <f aca="false">MIN(S19,V19)</f>
        <v>0</v>
      </c>
      <c r="Z19" s="99" t="n">
        <f aca="false">W19+X19+Y19</f>
        <v>25000</v>
      </c>
      <c r="AA19" s="100" t="n">
        <f aca="false">Q19+W19+X19+Y19</f>
        <v>2342911.542044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68</v>
      </c>
      <c r="E20" s="97" t="n">
        <f aca="false">HLOOKUP($B$6,'RetireUp Market Returns'!A:CT,(1+$B$7+C20),FALSE())</f>
        <v>0.088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2342911.542044</v>
      </c>
      <c r="K20" s="99" t="n">
        <f aca="false">J20*E20</f>
        <v>206176.215699872</v>
      </c>
      <c r="L20" s="99" t="n">
        <f aca="false">J20+K20</f>
        <v>2549087.75774387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2549087.75774387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30000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0</v>
      </c>
      <c r="W20" s="99" t="n">
        <f aca="false">MIN(R20,T20)</f>
        <v>24230.0390625</v>
      </c>
      <c r="X20" s="99" t="n">
        <f aca="false">MIN(U20,R20-W20)</f>
        <v>769.960937500007</v>
      </c>
      <c r="Y20" s="99" t="n">
        <f aca="false">MIN(S20,V20)</f>
        <v>0</v>
      </c>
      <c r="Z20" s="99" t="n">
        <f aca="false">W20+X20+Y20</f>
        <v>25000</v>
      </c>
      <c r="AA20" s="100" t="n">
        <f aca="false">Q20+W20+X20+Y20</f>
        <v>2574087.75774387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69</v>
      </c>
      <c r="E21" s="97" t="n">
        <f aca="false">HLOOKUP($B$6,'RetireUp Market Returns'!A:CT,(1+$B$7+C21),FALSE())</f>
        <v>0.0641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2574087.75774387</v>
      </c>
      <c r="K21" s="99" t="n">
        <f aca="false">J21*E21</f>
        <v>164999.025271382</v>
      </c>
      <c r="L21" s="99" t="n">
        <f aca="false">J21+K21</f>
        <v>2739086.78301525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2739086.78301525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25000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30000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0</v>
      </c>
      <c r="W21" s="99" t="n">
        <f aca="false">MIN(R21,T21)</f>
        <v>24835.7900390625</v>
      </c>
      <c r="X21" s="99" t="n">
        <f aca="false">MIN(U21,R21-W21)</f>
        <v>164.209960937511</v>
      </c>
      <c r="Y21" s="99" t="n">
        <f aca="false">MIN(S21,V21)</f>
        <v>0</v>
      </c>
      <c r="Z21" s="99" t="n">
        <f aca="false">W21+X21+Y21</f>
        <v>25000</v>
      </c>
      <c r="AA21" s="100" t="n">
        <f aca="false">Q21+W21+X21+Y21</f>
        <v>2764086.78301525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70</v>
      </c>
      <c r="E22" s="97" t="n">
        <f aca="false">HLOOKUP($B$6,'RetireUp Market Returns'!A:CT,(1+$B$7+C22),FALSE())</f>
        <v>0.0654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2764086.78301525</v>
      </c>
      <c r="K22" s="99" t="n">
        <f aca="false">J22*E22</f>
        <v>180771.275609198</v>
      </c>
      <c r="L22" s="99" t="n">
        <f aca="false">J22+K22</f>
        <v>2944858.05862445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2944858.05862445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25000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30000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456.684790039049</v>
      </c>
      <c r="W22" s="99" t="n">
        <f aca="false">MIN(R22,T22)</f>
        <v>25000</v>
      </c>
      <c r="X22" s="99" t="n">
        <f aca="false">MIN(U22,R22-W22)</f>
        <v>0</v>
      </c>
      <c r="Y22" s="99" t="n">
        <f aca="false">MIN(S22,V22)</f>
        <v>456.684790039049</v>
      </c>
      <c r="Z22" s="99" t="n">
        <f aca="false">W22+X22+Y22</f>
        <v>25456.684790039</v>
      </c>
      <c r="AA22" s="100" t="n">
        <f aca="false">Q22+W22+X22+Y22</f>
        <v>2970314.74341449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71</v>
      </c>
      <c r="E23" s="97" t="n">
        <f aca="false">HLOOKUP($B$6,'RetireUp Market Returns'!A:CT,(1+$B$7+C23),FALSE())</f>
        <v>0.0807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2970314.74341449</v>
      </c>
      <c r="K23" s="99" t="n">
        <f aca="false">J23*E23</f>
        <v>239704.399793549</v>
      </c>
      <c r="L23" s="99" t="n">
        <f aca="false">J23+K23</f>
        <v>3210019.14320804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3210019.14320804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25000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30000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1093.10190979002</v>
      </c>
      <c r="W23" s="99" t="n">
        <f aca="false">MIN(R23,T23)</f>
        <v>25000</v>
      </c>
      <c r="X23" s="99" t="n">
        <f aca="false">MIN(U23,R23-W23)</f>
        <v>0</v>
      </c>
      <c r="Y23" s="99" t="n">
        <f aca="false">MIN(S23,V23)</f>
        <v>1093.10190979002</v>
      </c>
      <c r="Z23" s="99" t="n">
        <f aca="false">W23+X23+Y23</f>
        <v>26093.10190979</v>
      </c>
      <c r="AA23" s="100" t="n">
        <f aca="false">Q23+W23+X23+Y23</f>
        <v>3236112.24511783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72</v>
      </c>
      <c r="E24" s="97" t="n">
        <f aca="false">HLOOKUP($B$6,'RetireUp Market Returns'!A:CT,(1+$B$7+C24),FALSE())</f>
        <v>-0.0393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3236112.24511783</v>
      </c>
      <c r="K24" s="99" t="n">
        <f aca="false">J24*E24</f>
        <v>-127179.211233131</v>
      </c>
      <c r="L24" s="99" t="n">
        <f aca="false">J24+K24</f>
        <v>3108933.0338847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3108933.0338847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25000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30000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1745.42945753478</v>
      </c>
      <c r="W24" s="99" t="n">
        <f aca="false">MIN(R24,T24)</f>
        <v>25000</v>
      </c>
      <c r="X24" s="99" t="n">
        <f aca="false">MIN(U24,R24-W24)</f>
        <v>0</v>
      </c>
      <c r="Y24" s="99" t="n">
        <f aca="false">MIN(S24,V24)</f>
        <v>1745.42945753478</v>
      </c>
      <c r="Z24" s="99" t="n">
        <f aca="false">W24+X24+Y24</f>
        <v>26745.4294575348</v>
      </c>
      <c r="AA24" s="100" t="n">
        <f aca="false">Q24+W24+X24+Y24</f>
        <v>3135678.46334223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73</v>
      </c>
      <c r="E25" s="97" t="n">
        <f aca="false">HLOOKUP($B$6,'RetireUp Market Returns'!A:CT,(1+$B$7+C25),FALSE())</f>
        <v>0.0098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3135678.46334223</v>
      </c>
      <c r="K25" s="99" t="n">
        <f aca="false">J25*E25</f>
        <v>30729.6489407539</v>
      </c>
      <c r="L25" s="99" t="n">
        <f aca="false">J25+K25</f>
        <v>3166408.11228299</v>
      </c>
      <c r="M25" s="101" t="n">
        <f aca="false">IF(D25="-","-",IF($F$4="Roth","-",IF($E$3="Health Savings Account","-",IF(AND(A25=2033,D25=74),VLOOKUP(D25,Tables!G:H,2,FALSE()),IF(AND(A25&gt;2032,D25&lt;75),"-",IF(D25&lt;73,"-",VLOOKUP(D25,Tables!G:H,2,FALSE())))))))</f>
        <v>26.5</v>
      </c>
      <c r="N25" s="99" t="n">
        <f aca="false">IF($M25="-",0,J25/$M25)</f>
        <v>118327.489182726</v>
      </c>
      <c r="O25" s="99" t="n">
        <f aca="false">IF(D25&gt;$B$4,0,IF(D25&lt;$B$3,0,$B$8*(1+$B$10)^(C25-1)))</f>
        <v>0</v>
      </c>
      <c r="P25" s="99" t="n">
        <f aca="false">MAX(N25,O25)</f>
        <v>118327.489182726</v>
      </c>
      <c r="Q25" s="99" t="n">
        <f aca="false">MAX(0,L25-P25)</f>
        <v>3048080.62310026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25000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30000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2414.06519397314</v>
      </c>
      <c r="W25" s="99" t="n">
        <f aca="false">MIN(R25,T25)</f>
        <v>25000</v>
      </c>
      <c r="X25" s="99" t="n">
        <f aca="false">MIN(U25,R25-W25)</f>
        <v>0</v>
      </c>
      <c r="Y25" s="99" t="n">
        <f aca="false">MIN(S25,V25)</f>
        <v>2414.06519397314</v>
      </c>
      <c r="Z25" s="99" t="n">
        <f aca="false">W25+X25+Y25</f>
        <v>27414.0651939731</v>
      </c>
      <c r="AA25" s="100" t="n">
        <f aca="false">Q25+W25+X25+Y25</f>
        <v>3075494.68829424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74</v>
      </c>
      <c r="E26" s="97" t="n">
        <f aca="false">HLOOKUP($B$6,'RetireUp Market Returns'!A:CT,(1+$B$7+C26),FALSE())</f>
        <v>0.0513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3075494.68829424</v>
      </c>
      <c r="K26" s="99" t="n">
        <f aca="false">J26*E26</f>
        <v>157772.877509494</v>
      </c>
      <c r="L26" s="99" t="n">
        <f aca="false">J26+K26</f>
        <v>3233267.56580373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25.5</v>
      </c>
      <c r="N26" s="99" t="n">
        <f aca="false">IF($M26="-",0,J26/$M26)</f>
        <v>120607.634835068</v>
      </c>
      <c r="O26" s="99" t="n">
        <f aca="false">IF(D26&gt;$B$4,0,IF(D26&lt;$B$3,0,$B$8*(1+$B$10)^(C26-1)))</f>
        <v>0</v>
      </c>
      <c r="P26" s="99" t="n">
        <f aca="false">MAX(N26,O26)</f>
        <v>120607.634835068</v>
      </c>
      <c r="Q26" s="99" t="n">
        <f aca="false">MAX(0,L26-P26)</f>
        <v>3112659.93096866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25000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30000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3099.41682382247</v>
      </c>
      <c r="W26" s="99" t="n">
        <f aca="false">MIN(R26,T26)</f>
        <v>25000</v>
      </c>
      <c r="X26" s="99" t="n">
        <f aca="false">MIN(U26,R26-W26)</f>
        <v>0</v>
      </c>
      <c r="Y26" s="99" t="n">
        <f aca="false">MIN(S26,V26)</f>
        <v>3099.41682382247</v>
      </c>
      <c r="Z26" s="99" t="n">
        <f aca="false">W26+X26+Y26</f>
        <v>28099.4168238225</v>
      </c>
      <c r="AA26" s="100" t="n">
        <f aca="false">Q26+W26+X26+Y26</f>
        <v>3140759.34779248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75</v>
      </c>
      <c r="E27" s="97" t="n">
        <f aca="false">HLOOKUP($B$6,'RetireUp Market Returns'!A:CT,(1+$B$7+C27),FALSE())</f>
        <v>0.0857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3140759.34779248</v>
      </c>
      <c r="K27" s="99" t="n">
        <f aca="false">J27*E27</f>
        <v>269163.076105816</v>
      </c>
      <c r="L27" s="99" t="n">
        <f aca="false">J27+K27</f>
        <v>3409922.4238983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24.6</v>
      </c>
      <c r="N27" s="99" t="n">
        <f aca="false">IF($M27="-",0,J27/$M27)</f>
        <v>127673.144219207</v>
      </c>
      <c r="O27" s="99" t="n">
        <f aca="false">IF(D27&gt;$B$4,0,IF(D27&lt;$B$3,0,$B$8*(1+$B$10)^(C27-1)))</f>
        <v>0</v>
      </c>
      <c r="P27" s="99" t="n">
        <f aca="false">MAX(N27,O27)</f>
        <v>127673.144219207</v>
      </c>
      <c r="Q27" s="99" t="n">
        <f aca="false">MAX(0,L27-P27)</f>
        <v>3282249.27967909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25000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30000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3801.90224441802</v>
      </c>
      <c r="W27" s="99" t="n">
        <f aca="false">MIN(R27,T27)</f>
        <v>25000</v>
      </c>
      <c r="X27" s="99" t="n">
        <f aca="false">MIN(U27,R27-W27)</f>
        <v>0</v>
      </c>
      <c r="Y27" s="99" t="n">
        <f aca="false">MIN(S27,V27)</f>
        <v>3801.90224441802</v>
      </c>
      <c r="Z27" s="99" t="n">
        <f aca="false">W27+X27+Y27</f>
        <v>28801.902244418</v>
      </c>
      <c r="AA27" s="100" t="n">
        <f aca="false">Q27+W27+X27+Y27</f>
        <v>3311051.18192351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76</v>
      </c>
      <c r="E28" s="97" t="n">
        <f aca="false">HLOOKUP($B$6,'RetireUp Market Returns'!A:CT,(1+$B$7+C28),FALSE())</f>
        <v>0.0521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3311051.18192351</v>
      </c>
      <c r="K28" s="99" t="n">
        <f aca="false">J28*E28</f>
        <v>172505.766578215</v>
      </c>
      <c r="L28" s="99" t="n">
        <f aca="false">J28+K28</f>
        <v>3483556.94850173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23.7</v>
      </c>
      <c r="N28" s="99" t="n">
        <f aca="false">IF($M28="-",0,J28/$M28)</f>
        <v>139706.800925043</v>
      </c>
      <c r="O28" s="99" t="n">
        <f aca="false">IF(D28&gt;$B$4,0,IF(D28&lt;$B$3,0,$B$8*(1+$B$10)^(C28-1)))</f>
        <v>131208.665780127</v>
      </c>
      <c r="P28" s="99" t="n">
        <f aca="false">MAX(N28,O28)</f>
        <v>139706.800925043</v>
      </c>
      <c r="Q28" s="99" t="n">
        <f aca="false">MAX(0,L28-P28)</f>
        <v>3343850.14757668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29521.9498005285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3343850.14757668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77</v>
      </c>
      <c r="E29" s="97" t="n">
        <f aca="false">HLOOKUP($B$6,'RetireUp Market Returns'!A:CT,(1+$B$7+C29),FALSE())</f>
        <v>0.064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3343850.14757668</v>
      </c>
      <c r="K29" s="99" t="n">
        <f aca="false">J29*E29</f>
        <v>214006.409444908</v>
      </c>
      <c r="L29" s="99" t="n">
        <f aca="false">J29+K29</f>
        <v>3557856.55702159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22.9</v>
      </c>
      <c r="N29" s="99" t="n">
        <f aca="false">IF($M29="-",0,J29/$M29)</f>
        <v>146019.657099419</v>
      </c>
      <c r="O29" s="99" t="n">
        <f aca="false">IF(D29&gt;$B$4,0,IF(D29&lt;$B$3,0,$B$8*(1+$B$10)^(C29-1)))</f>
        <v>134488.88242463</v>
      </c>
      <c r="P29" s="99" t="n">
        <f aca="false">MAX(N29,O29)</f>
        <v>146019.657099419</v>
      </c>
      <c r="Q29" s="99" t="n">
        <f aca="false">MAX(0,L29-P29)</f>
        <v>3411836.89992217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30259.9985455417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3411836.89992217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78</v>
      </c>
      <c r="E30" s="97" t="n">
        <f aca="false">HLOOKUP($B$6,'RetireUp Market Returns'!A:CT,(1+$B$7+C30),FALSE())</f>
        <v>0.0249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3411836.89992217</v>
      </c>
      <c r="K30" s="99" t="n">
        <f aca="false">J30*E30</f>
        <v>84954.7388080621</v>
      </c>
      <c r="L30" s="99" t="n">
        <f aca="false">J30+K30</f>
        <v>3496791.63873024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</v>
      </c>
      <c r="N30" s="99" t="n">
        <f aca="false">IF($M30="-",0,J30/$M30)</f>
        <v>155083.495451008</v>
      </c>
      <c r="O30" s="99" t="n">
        <f aca="false">IF(D30&gt;$B$4,0,IF(D30&lt;$B$3,0,$B$8*(1+$B$10)^(C30-1)))</f>
        <v>137851.104485245</v>
      </c>
      <c r="P30" s="99" t="n">
        <f aca="false">MAX(N30,O30)</f>
        <v>155083.495451008</v>
      </c>
      <c r="Q30" s="99" t="n">
        <f aca="false">MAX(0,L30-P30)</f>
        <v>3341708.14327923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31016.4985091802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3341708.14327923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79</v>
      </c>
      <c r="E31" s="97" t="n">
        <f aca="false">HLOOKUP($B$6,'RetireUp Market Returns'!A:CT,(1+$B$7+C31),FALSE())</f>
        <v>0.0451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3341708.14327923</v>
      </c>
      <c r="K31" s="99" t="n">
        <f aca="false">J31*E31</f>
        <v>150711.037261893</v>
      </c>
      <c r="L31" s="99" t="n">
        <f aca="false">J31+K31</f>
        <v>3492419.18054112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21.1</v>
      </c>
      <c r="N31" s="99" t="n">
        <f aca="false">IF($M31="-",0,J31/$M31)</f>
        <v>158374.793520343</v>
      </c>
      <c r="O31" s="99" t="n">
        <f aca="false">IF(D31&gt;$B$4,0,IF(D31&lt;$B$3,0,$B$8*(1+$B$10)^(C31-1)))</f>
        <v>141297.382097377</v>
      </c>
      <c r="P31" s="99" t="n">
        <f aca="false">MAX(N31,O31)</f>
        <v>158374.793520343</v>
      </c>
      <c r="Q31" s="99" t="n">
        <f aca="false">MAX(0,L31-P31)</f>
        <v>3334044.38702078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31791.9109719097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3334044.38702078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80</v>
      </c>
      <c r="E32" s="97" t="n">
        <f aca="false">HLOOKUP($B$6,'RetireUp Market Returns'!A:CT,(1+$B$7+C32),FALSE())</f>
        <v>0.0217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3334044.38702078</v>
      </c>
      <c r="K32" s="99" t="n">
        <f aca="false">J32*E32</f>
        <v>72348.7631983509</v>
      </c>
      <c r="L32" s="99" t="n">
        <f aca="false">J32+K32</f>
        <v>3406393.15021913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20.2</v>
      </c>
      <c r="N32" s="99" t="n">
        <f aca="false">IF($M32="-",0,J32/$M32)</f>
        <v>165051.702327761</v>
      </c>
      <c r="O32" s="99" t="n">
        <f aca="false">IF(D32&gt;$B$4,0,IF(D32&lt;$B$3,0,$B$8*(1+$B$10)^(C32-1)))</f>
        <v>144829.816649811</v>
      </c>
      <c r="P32" s="99" t="n">
        <f aca="false">MAX(N32,O32)</f>
        <v>165051.702327761</v>
      </c>
      <c r="Q32" s="99" t="n">
        <f aca="false">MAX(0,L32-P32)</f>
        <v>3241341.44789137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32586.7087462075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3241341.44789137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81</v>
      </c>
      <c r="E33" s="97" t="n">
        <f aca="false">HLOOKUP($B$6,'RetireUp Market Returns'!A:CT,(1+$B$7+C33),FALSE())</f>
        <v>0.1318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3241341.44789137</v>
      </c>
      <c r="K33" s="99" t="n">
        <f aca="false">J33*E33</f>
        <v>427208.802832082</v>
      </c>
      <c r="L33" s="99" t="n">
        <f aca="false">J33+K33</f>
        <v>3668550.25072345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19.4</v>
      </c>
      <c r="N33" s="99" t="n">
        <f aca="false">IF($M33="-",0,J33/$M33)</f>
        <v>167079.456076875</v>
      </c>
      <c r="O33" s="99" t="n">
        <f aca="false">IF(D33&gt;$B$4,0,IF(D33&lt;$B$3,0,$B$8*(1+$B$10)^(C33-1)))</f>
        <v>148450.562066056</v>
      </c>
      <c r="P33" s="99" t="n">
        <f aca="false">MAX(N33,O33)</f>
        <v>167079.456076875</v>
      </c>
      <c r="Q33" s="99" t="n">
        <f aca="false">MAX(0,L33-P33)</f>
        <v>3501470.79464657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33401.3764648627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3501470.79464657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82</v>
      </c>
      <c r="E34" s="97" t="n">
        <f aca="false">HLOOKUP($B$6,'RetireUp Market Returns'!A:CT,(1+$B$7+C34),FALSE())</f>
        <v>-0.054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3501470.79464657</v>
      </c>
      <c r="K34" s="99" t="n">
        <f aca="false">J34*E34</f>
        <v>-189079.422910915</v>
      </c>
      <c r="L34" s="99" t="n">
        <f aca="false">J34+K34</f>
        <v>3312391.37173566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18.5</v>
      </c>
      <c r="N34" s="99" t="n">
        <f aca="false">IF($M34="-",0,J34/$M34)</f>
        <v>189268.691602518</v>
      </c>
      <c r="O34" s="99" t="n">
        <f aca="false">IF(D34&gt;$B$4,0,IF(D34&lt;$B$3,0,$B$8*(1+$B$10)^(C34-1)))</f>
        <v>152161.826117708</v>
      </c>
      <c r="P34" s="99" t="n">
        <f aca="false">MAX(N34,O34)</f>
        <v>189268.691602518</v>
      </c>
      <c r="Q34" s="99" t="n">
        <f aca="false">MAX(0,L34-P34)</f>
        <v>3123122.68013314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34236.4108764842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3123122.68013314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83</v>
      </c>
      <c r="E35" s="97" t="n">
        <f aca="false">HLOOKUP($B$6,'RetireUp Market Returns'!A:CT,(1+$B$7+C35),FALSE())</f>
        <v>0.1062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3123122.68013314</v>
      </c>
      <c r="K35" s="99" t="n">
        <f aca="false">J35*E35</f>
        <v>331675.62863014</v>
      </c>
      <c r="L35" s="99" t="n">
        <f aca="false">J35+K35</f>
        <v>3454798.30876328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17.7</v>
      </c>
      <c r="N35" s="99" t="n">
        <f aca="false">IF($M35="-",0,J35/$M35)</f>
        <v>176447.60904707</v>
      </c>
      <c r="O35" s="99" t="n">
        <f aca="false">IF(D35&gt;$B$4,0,IF(D35&lt;$B$3,0,$B$8*(1+$B$10)^(C35-1)))</f>
        <v>155965.87177065</v>
      </c>
      <c r="P35" s="99" t="n">
        <f aca="false">MAX(N35,O35)</f>
        <v>176447.60904707</v>
      </c>
      <c r="Q35" s="99" t="n">
        <f aca="false">MAX(0,L35-P35)</f>
        <v>3278350.69971621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35092.3211483963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3278350.69971621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84</v>
      </c>
      <c r="E36" s="97" t="n">
        <f aca="false">HLOOKUP($B$6,'RetireUp Market Returns'!A:CT,(1+$B$7+C36),FALSE())</f>
        <v>0.0367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3278350.69971621</v>
      </c>
      <c r="K36" s="99" t="n">
        <f aca="false">J36*E36</f>
        <v>120315.470679585</v>
      </c>
      <c r="L36" s="99" t="n">
        <f aca="false">J36+K36</f>
        <v>3398666.1703958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16.8</v>
      </c>
      <c r="N36" s="99" t="n">
        <f aca="false">IF($M36="-",0,J36/$M36)</f>
        <v>195139.922602155</v>
      </c>
      <c r="O36" s="99" t="n">
        <f aca="false">IF(D36&gt;$B$4,0,IF(D36&lt;$B$3,0,$B$8*(1+$B$10)^(C36-1)))</f>
        <v>159865.018564917</v>
      </c>
      <c r="P36" s="99" t="n">
        <f aca="false">MAX(N36,O36)</f>
        <v>195139.922602155</v>
      </c>
      <c r="Q36" s="99" t="n">
        <f aca="false">MAX(0,L36-P36)</f>
        <v>3203526.24779364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35969.6291771062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3203526.24779364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85</v>
      </c>
      <c r="E37" s="97" t="n">
        <f aca="false">HLOOKUP($B$6,'RetireUp Market Returns'!A:CT,(1+$B$7+C37),FALSE())</f>
        <v>0.0723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3203526.24779364</v>
      </c>
      <c r="K37" s="99" t="n">
        <f aca="false">J37*E37</f>
        <v>231614.94771548</v>
      </c>
      <c r="L37" s="99" t="n">
        <f aca="false">J37+K37</f>
        <v>3435141.19550912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</v>
      </c>
      <c r="N37" s="99" t="n">
        <f aca="false">IF($M37="-",0,J37/$M37)</f>
        <v>200220.390487103</v>
      </c>
      <c r="O37" s="99" t="n">
        <f aca="false">IF(D37&gt;$B$4,0,IF(D37&lt;$B$3,0,$B$8*(1+$B$10)^(C37-1)))</f>
        <v>163861.644029039</v>
      </c>
      <c r="P37" s="99" t="n">
        <f aca="false">MAX(N37,O37)</f>
        <v>200220.390487103</v>
      </c>
      <c r="Q37" s="99" t="n">
        <f aca="false">MAX(0,L37-P37)</f>
        <v>3234920.80502202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36868.8699065339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3234920.80502202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86</v>
      </c>
      <c r="E38" s="97" t="n">
        <f aca="false">HLOOKUP($B$6,'RetireUp Market Returns'!A:CT,(1+$B$7+C38),FALSE())</f>
        <v>0.0542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3234920.80502202</v>
      </c>
      <c r="K38" s="99" t="n">
        <f aca="false">J38*E38</f>
        <v>175332.707632193</v>
      </c>
      <c r="L38" s="99" t="n">
        <f aca="false">J38+K38</f>
        <v>3410253.51265421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15.2</v>
      </c>
      <c r="N38" s="99" t="n">
        <f aca="false">IF($M38="-",0,J38/$M38)</f>
        <v>212823.737172501</v>
      </c>
      <c r="O38" s="99" t="n">
        <f aca="false">IF(D38&gt;$B$4,0,IF(D38&lt;$B$3,0,$B$8*(1+$B$10)^(C38-1)))</f>
        <v>167958.185129765</v>
      </c>
      <c r="P38" s="99" t="n">
        <f aca="false">MAX(N38,O38)</f>
        <v>212823.737172501</v>
      </c>
      <c r="Q38" s="99" t="n">
        <f aca="false">MAX(0,L38-P38)</f>
        <v>3197429.77548171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37790.5916541972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3197429.77548171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87</v>
      </c>
      <c r="E39" s="97" t="n">
        <f aca="false">HLOOKUP($B$6,'RetireUp Market Returns'!A:CT,(1+$B$7+C39),FALSE())</f>
        <v>0.0427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3197429.77548171</v>
      </c>
      <c r="K39" s="99" t="n">
        <f aca="false">J39*E39</f>
        <v>136530.251413069</v>
      </c>
      <c r="L39" s="99" t="n">
        <f aca="false">J39+K39</f>
        <v>3333960.02689478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14.4</v>
      </c>
      <c r="N39" s="99" t="n">
        <f aca="false">IF($M39="-",0,J39/$M39)</f>
        <v>222043.734408452</v>
      </c>
      <c r="O39" s="99" t="n">
        <f aca="false">IF(D39&gt;$B$4,0,IF(D39&lt;$B$3,0,$B$8*(1+$B$10)^(C39-1)))</f>
        <v>172157.13975801</v>
      </c>
      <c r="P39" s="99" t="n">
        <f aca="false">MAX(N39,O39)</f>
        <v>222043.734408452</v>
      </c>
      <c r="Q39" s="99" t="n">
        <f aca="false">MAX(0,L39-P39)</f>
        <v>3111916.29248633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38735.3564455521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3111916.29248633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88</v>
      </c>
      <c r="E40" s="97" t="n">
        <f aca="false">HLOOKUP($B$6,'RetireUp Market Returns'!A:CT,(1+$B$7+C40),FALSE())</f>
        <v>0.0593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3111916.29248633</v>
      </c>
      <c r="K40" s="99" t="n">
        <f aca="false">J40*E40</f>
        <v>184536.636144439</v>
      </c>
      <c r="L40" s="99" t="n">
        <f aca="false">J40+K40</f>
        <v>3296452.92863077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13.7</v>
      </c>
      <c r="N40" s="99" t="n">
        <f aca="false">IF($M40="-",0,J40/$M40)</f>
        <v>227147.174634039</v>
      </c>
      <c r="O40" s="99" t="n">
        <f aca="false">IF(D40&gt;$B$4,0,IF(D40&lt;$B$3,0,$B$8*(1+$B$10)^(C40-1)))</f>
        <v>176461.06825196</v>
      </c>
      <c r="P40" s="99" t="n">
        <f aca="false">MAX(N40,O40)</f>
        <v>227147.174634039</v>
      </c>
      <c r="Q40" s="99" t="n">
        <f aca="false">MAX(0,L40-P40)</f>
        <v>3069305.75399673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39703.7403566909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3069305.75399673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89</v>
      </c>
      <c r="E41" s="97" t="n">
        <f aca="false">HLOOKUP($B$6,'RetireUp Market Returns'!A:CT,(1+$B$7+C41),FALSE())</f>
        <v>0.052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3069305.75399673</v>
      </c>
      <c r="K41" s="99" t="n">
        <f aca="false">J41*E41</f>
        <v>159603.89920783</v>
      </c>
      <c r="L41" s="99" t="n">
        <f aca="false">J41+K41</f>
        <v>3228909.65320456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12.9</v>
      </c>
      <c r="N41" s="99" t="n">
        <f aca="false">IF($M41="-",0,J41/$M41)</f>
        <v>237930.678604398</v>
      </c>
      <c r="O41" s="99" t="n">
        <f aca="false">IF(D41&gt;$B$4,0,IF(D41&lt;$B$3,0,$B$8*(1+$B$10)^(C41-1)))</f>
        <v>180872.594958259</v>
      </c>
      <c r="P41" s="99" t="n">
        <f aca="false">MAX(N41,O41)</f>
        <v>237930.678604398</v>
      </c>
      <c r="Q41" s="99" t="n">
        <f aca="false">MAX(0,L41-P41)</f>
        <v>2990978.97460016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40696.3338656082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2990978.97460016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90</v>
      </c>
      <c r="E42" s="97" t="n">
        <f aca="false">HLOOKUP($B$6,'RetireUp Market Returns'!A:CT,(1+$B$7+C42),FALSE())</f>
        <v>-0.028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2990978.97460016</v>
      </c>
      <c r="K42" s="99" t="n">
        <f aca="false">J42*E42</f>
        <v>-83747.4112888045</v>
      </c>
      <c r="L42" s="99" t="n">
        <f aca="false">J42+K42</f>
        <v>2907231.56331136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12.2</v>
      </c>
      <c r="N42" s="99" t="n">
        <f aca="false">IF($M42="-",0,J42/$M42)</f>
        <v>245162.2110328</v>
      </c>
      <c r="O42" s="99" t="n">
        <f aca="false">IF(D42&gt;$B$4,0,IF(D42&lt;$B$3,0,$B$8*(1+$B$10)^(C42-1)))</f>
        <v>185394.409832215</v>
      </c>
      <c r="P42" s="99" t="n">
        <f aca="false">MAX(N42,O42)</f>
        <v>245162.2110328</v>
      </c>
      <c r="Q42" s="99" t="n">
        <f aca="false">MAX(0,L42-P42)</f>
        <v>2662069.35227856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41713.7422122484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2662069.35227856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str">
        <f aca="false">IF(D42="-","-",IF(D42+1&gt;B$4,"-",D42+1))</f>
        <v>-</v>
      </c>
      <c r="E43" s="97" t="n">
        <f aca="false">HLOOKUP($B$6,'RetireUp Market Returns'!A:CT,(1+$B$7+C43),FALSE())</f>
        <v>0.064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2662069.35227856</v>
      </c>
      <c r="K43" s="99" t="n">
        <f aca="false">J43*E43</f>
        <v>170372.438545828</v>
      </c>
      <c r="L43" s="99" t="n">
        <f aca="false">J43+K43</f>
        <v>2832441.79082438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0</v>
      </c>
      <c r="P43" s="99" t="n">
        <f aca="false">MAX(N43,O43)</f>
        <v>0</v>
      </c>
      <c r="Q43" s="99" t="n">
        <f aca="false">MAX(0,L43-P43)</f>
        <v>2832441.79082438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42756.5857675546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2832441.79082438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0.0433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2832441.79082438</v>
      </c>
      <c r="K44" s="99" t="n">
        <f aca="false">J44*E44</f>
        <v>122644.729542696</v>
      </c>
      <c r="L44" s="99" t="n">
        <f aca="false">J44+K44</f>
        <v>2955086.52036708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2955086.52036708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43825.5004117435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2955086.52036708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0.0633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2955086.52036708</v>
      </c>
      <c r="K45" s="99" t="n">
        <f aca="false">J45*E45</f>
        <v>187056.976739236</v>
      </c>
      <c r="L45" s="99" t="n">
        <f aca="false">J45+K45</f>
        <v>3142143.49710632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3142143.49710632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44921.1379220371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3142143.49710632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0.0301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3142143.49710632</v>
      </c>
      <c r="K46" s="99" t="n">
        <f aca="false">J46*E46</f>
        <v>94578.5192629001</v>
      </c>
      <c r="L46" s="99" t="n">
        <f aca="false">J46+K46</f>
        <v>3236722.01636922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3236722.01636922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46044.166370088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3236722.01636922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0.0735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3236722.01636922</v>
      </c>
      <c r="K47" s="99" t="n">
        <f aca="false">J47*E47</f>
        <v>237899.068203137</v>
      </c>
      <c r="L47" s="99" t="n">
        <f aca="false">J47+K47</f>
        <v>3474621.08457235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3474621.08457235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47195.2705293402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3474621.08457235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0.0269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3474621.08457235</v>
      </c>
      <c r="K48" s="99" t="n">
        <f aca="false">J48*E48</f>
        <v>93467.3071749963</v>
      </c>
      <c r="L48" s="99" t="n">
        <f aca="false">J48+K48</f>
        <v>3568088.39174735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3568088.39174735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48375.1522925737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3568088.39174735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0.036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3568088.39174735</v>
      </c>
      <c r="K49" s="99" t="n">
        <f aca="false">J49*E49</f>
        <v>128451.182102905</v>
      </c>
      <c r="L49" s="99" t="n">
        <f aca="false">J49+K49</f>
        <v>3696539.57385026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3696539.57385026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49584.531099888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3696539.57385026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0.088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3696539.57385026</v>
      </c>
      <c r="K50" s="99" t="n">
        <f aca="false">J50*E50</f>
        <v>325295.482498822</v>
      </c>
      <c r="L50" s="99" t="n">
        <f aca="false">J50+K50</f>
        <v>4021835.05634908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4021835.05634908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50824.1443773852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4021835.05634908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0.07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4021835.05634908</v>
      </c>
      <c r="K51" s="99" t="n">
        <f aca="false">J51*E51</f>
        <v>281528.453944435</v>
      </c>
      <c r="L51" s="99" t="n">
        <f aca="false">J51+K51</f>
        <v>4303363.51029351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4303363.51029351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52094.7479868198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4303363.51029351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-0.0373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4303363.51029351</v>
      </c>
      <c r="K52" s="99" t="n">
        <f aca="false">J52*E52</f>
        <v>-160515.458933948</v>
      </c>
      <c r="L52" s="99" t="n">
        <f aca="false">J52+K52</f>
        <v>4142848.05135957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4142848.05135957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53397.1166864903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4142848.05135957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-0.0567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4142848.05135957</v>
      </c>
      <c r="K53" s="99" t="n">
        <f aca="false">J53*E53</f>
        <v>-234899.484512087</v>
      </c>
      <c r="L53" s="99" t="n">
        <f aca="false">J53+K53</f>
        <v>3907948.56684748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3907948.56684748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54732.0446036526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3907948.56684748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-0.1079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3907948.56684748</v>
      </c>
      <c r="K54" s="99" t="n">
        <f aca="false">J54*E54</f>
        <v>-421667.650362843</v>
      </c>
      <c r="L54" s="99" t="n">
        <f aca="false">J54+K54</f>
        <v>3486280.91648464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3486280.91648464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56100.3457187439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3486280.91648464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29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L1" activeCellId="0" sqref="L1"/>
    </sheetView>
  </sheetViews>
  <sheetFormatPr defaultColWidth="10.9921875" defaultRowHeight="15.75" zeroHeight="false" outlineLevelRow="0" outlineLevelCol="0"/>
  <sheetData>
    <row r="1" customFormat="false" ht="15.75" hidden="false" customHeight="false" outlineLevel="0" collapsed="false">
      <c r="A1" s="103" t="s">
        <v>105</v>
      </c>
      <c r="B1" s="104" t="n">
        <v>0</v>
      </c>
      <c r="C1" s="104" t="n">
        <v>0.005</v>
      </c>
      <c r="D1" s="104" t="n">
        <v>0.01</v>
      </c>
      <c r="E1" s="104" t="n">
        <v>0.015</v>
      </c>
      <c r="F1" s="104" t="n">
        <v>0.02</v>
      </c>
      <c r="G1" s="104" t="n">
        <v>0.025</v>
      </c>
      <c r="H1" s="104" t="n">
        <v>0.03</v>
      </c>
      <c r="I1" s="104" t="n">
        <v>0.035</v>
      </c>
      <c r="J1" s="104" t="n">
        <v>0.04</v>
      </c>
      <c r="K1" s="104" t="n">
        <v>0.045</v>
      </c>
      <c r="L1" s="104" t="n">
        <v>0.05</v>
      </c>
      <c r="M1" s="104" t="n">
        <v>0.055</v>
      </c>
      <c r="N1" s="104" t="n">
        <v>0.06</v>
      </c>
      <c r="O1" s="104" t="n">
        <v>0.065</v>
      </c>
      <c r="P1" s="104" t="n">
        <v>0.07</v>
      </c>
      <c r="Q1" s="104" t="n">
        <v>0.075</v>
      </c>
      <c r="R1" s="104" t="n">
        <v>0.08</v>
      </c>
      <c r="S1" s="104" t="n">
        <v>0.085</v>
      </c>
      <c r="T1" s="104" t="n">
        <v>0.09</v>
      </c>
      <c r="U1" s="104" t="n">
        <v>0.095</v>
      </c>
      <c r="V1" s="104" t="n">
        <v>0.1</v>
      </c>
      <c r="W1" s="103" t="s">
        <v>106</v>
      </c>
      <c r="X1" s="103" t="s">
        <v>107</v>
      </c>
      <c r="Y1" s="103" t="s">
        <v>108</v>
      </c>
      <c r="Z1" s="105" t="s">
        <v>109</v>
      </c>
    </row>
    <row r="2" customFormat="false" ht="15.75" hidden="false" customHeight="false" outlineLevel="0" collapsed="false">
      <c r="A2" s="103"/>
      <c r="B2" s="103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3"/>
      <c r="X2" s="103"/>
      <c r="Y2" s="103"/>
      <c r="Z2" s="105"/>
    </row>
    <row r="3" customFormat="false" ht="15.75" hidden="false" customHeight="false" outlineLevel="0" collapsed="false">
      <c r="A3" s="57" t="n">
        <v>1</v>
      </c>
      <c r="B3" s="107" t="n">
        <v>0.0082</v>
      </c>
      <c r="C3" s="108" t="n">
        <v>0.0132</v>
      </c>
      <c r="D3" s="108" t="n">
        <v>0.0182</v>
      </c>
      <c r="E3" s="108" t="n">
        <v>0.0273</v>
      </c>
      <c r="F3" s="108" t="n">
        <v>0.0365</v>
      </c>
      <c r="G3" s="108" t="n">
        <v>0.0456</v>
      </c>
      <c r="H3" s="108" t="n">
        <v>0.0547</v>
      </c>
      <c r="I3" s="108" t="n">
        <v>0.0638</v>
      </c>
      <c r="J3" s="108" t="n">
        <v>0.0729</v>
      </c>
      <c r="K3" s="108" t="n">
        <v>0.082</v>
      </c>
      <c r="L3" s="108" t="n">
        <v>0.0912</v>
      </c>
      <c r="M3" s="108" t="n">
        <v>0.1003</v>
      </c>
      <c r="N3" s="108" t="n">
        <v>0.1094</v>
      </c>
      <c r="O3" s="108" t="n">
        <v>0.1185</v>
      </c>
      <c r="P3" s="108" t="n">
        <v>0.1276</v>
      </c>
      <c r="Q3" s="108" t="n">
        <v>0.1367</v>
      </c>
      <c r="R3" s="108" t="n">
        <v>0.1459</v>
      </c>
      <c r="S3" s="108" t="n">
        <v>0.155</v>
      </c>
      <c r="T3" s="108" t="n">
        <v>0.1641</v>
      </c>
      <c r="U3" s="108" t="n">
        <v>0.1732</v>
      </c>
      <c r="V3" s="108" t="n">
        <v>0.1823</v>
      </c>
      <c r="W3" s="109" t="n">
        <v>0.2467</v>
      </c>
      <c r="X3" s="108" t="n">
        <v>0</v>
      </c>
      <c r="Y3" s="110" t="n">
        <v>0.03</v>
      </c>
      <c r="Z3" s="108" t="n">
        <v>0.05</v>
      </c>
    </row>
    <row r="4" customFormat="false" ht="15.75" hidden="false" customHeight="false" outlineLevel="0" collapsed="false">
      <c r="A4" s="57" t="n">
        <v>2</v>
      </c>
      <c r="B4" s="111" t="n">
        <v>-0.0004</v>
      </c>
      <c r="C4" s="108" t="n">
        <v>0.0046</v>
      </c>
      <c r="D4" s="108" t="n">
        <v>0.0096</v>
      </c>
      <c r="E4" s="108" t="n">
        <v>0.0144</v>
      </c>
      <c r="F4" s="108" t="n">
        <v>0.0192</v>
      </c>
      <c r="G4" s="108" t="n">
        <v>0.024</v>
      </c>
      <c r="H4" s="108" t="n">
        <v>0.0287</v>
      </c>
      <c r="I4" s="108" t="n">
        <v>0.0335</v>
      </c>
      <c r="J4" s="108" t="n">
        <v>0.0383</v>
      </c>
      <c r="K4" s="108" t="n">
        <v>0.0431</v>
      </c>
      <c r="L4" s="108" t="n">
        <v>0.0479</v>
      </c>
      <c r="M4" s="108" t="n">
        <v>0.0527</v>
      </c>
      <c r="N4" s="108" t="n">
        <v>0.0575</v>
      </c>
      <c r="O4" s="108" t="n">
        <v>0.0623</v>
      </c>
      <c r="P4" s="108" t="n">
        <v>0.0671</v>
      </c>
      <c r="Q4" s="108" t="n">
        <v>0.0719</v>
      </c>
      <c r="R4" s="108" t="n">
        <v>0.0767</v>
      </c>
      <c r="S4" s="108" t="n">
        <v>0.0815</v>
      </c>
      <c r="T4" s="108" t="n">
        <v>0.0862</v>
      </c>
      <c r="U4" s="108" t="n">
        <v>0.091</v>
      </c>
      <c r="V4" s="108" t="n">
        <v>0.0958</v>
      </c>
      <c r="W4" s="109" t="n">
        <v>0.1459</v>
      </c>
      <c r="X4" s="110" t="n">
        <v>0</v>
      </c>
      <c r="Y4" s="110" t="n">
        <v>0.03</v>
      </c>
      <c r="Z4" s="110" t="n">
        <v>0.05</v>
      </c>
    </row>
    <row r="5" customFormat="false" ht="15.75" hidden="false" customHeight="false" outlineLevel="0" collapsed="false">
      <c r="A5" s="57" t="n">
        <v>3</v>
      </c>
      <c r="B5" s="111" t="n">
        <v>-0.0057</v>
      </c>
      <c r="C5" s="112" t="n">
        <v>-0.0007</v>
      </c>
      <c r="D5" s="108" t="n">
        <v>0.0043</v>
      </c>
      <c r="E5" s="108" t="n">
        <v>0.0064</v>
      </c>
      <c r="F5" s="108" t="n">
        <v>0.0085</v>
      </c>
      <c r="G5" s="108" t="n">
        <v>0.0107</v>
      </c>
      <c r="H5" s="108" t="n">
        <v>0.0128</v>
      </c>
      <c r="I5" s="108" t="n">
        <v>0.0149</v>
      </c>
      <c r="J5" s="108" t="n">
        <v>0.0171</v>
      </c>
      <c r="K5" s="108" t="n">
        <v>0.0192</v>
      </c>
      <c r="L5" s="108" t="n">
        <v>0.0213</v>
      </c>
      <c r="M5" s="108" t="n">
        <v>0.0235</v>
      </c>
      <c r="N5" s="108" t="n">
        <v>0.0256</v>
      </c>
      <c r="O5" s="108" t="n">
        <v>0.0277</v>
      </c>
      <c r="P5" s="108" t="n">
        <v>0.0299</v>
      </c>
      <c r="Q5" s="108" t="n">
        <v>0.032</v>
      </c>
      <c r="R5" s="108" t="n">
        <v>0.0341</v>
      </c>
      <c r="S5" s="108" t="n">
        <v>0.0363</v>
      </c>
      <c r="T5" s="108" t="n">
        <v>0.0384</v>
      </c>
      <c r="U5" s="108" t="n">
        <v>0.0405</v>
      </c>
      <c r="V5" s="108" t="n">
        <v>0.0427</v>
      </c>
      <c r="W5" s="109" t="n">
        <v>0.1151</v>
      </c>
      <c r="X5" s="110" t="n">
        <v>0</v>
      </c>
      <c r="Y5" s="110" t="n">
        <v>0.03</v>
      </c>
      <c r="Z5" s="110" t="n">
        <v>0.05</v>
      </c>
    </row>
    <row r="6" customFormat="false" ht="15.75" hidden="false" customHeight="false" outlineLevel="0" collapsed="false">
      <c r="A6" s="57" t="n">
        <v>4</v>
      </c>
      <c r="B6" s="107" t="n">
        <v>0.0211</v>
      </c>
      <c r="C6" s="108" t="n">
        <v>0.026</v>
      </c>
      <c r="D6" s="108" t="n">
        <v>0.022</v>
      </c>
      <c r="E6" s="108" t="n">
        <v>0.033</v>
      </c>
      <c r="F6" s="108" t="n">
        <v>0.044</v>
      </c>
      <c r="G6" s="108" t="n">
        <v>0.055</v>
      </c>
      <c r="H6" s="108" t="n">
        <v>0.066</v>
      </c>
      <c r="I6" s="108" t="n">
        <v>0.077</v>
      </c>
      <c r="J6" s="108" t="n">
        <v>0.088</v>
      </c>
      <c r="K6" s="108" t="n">
        <v>0.099</v>
      </c>
      <c r="L6" s="108" t="n">
        <v>0.11</v>
      </c>
      <c r="M6" s="108" t="n">
        <v>0.121</v>
      </c>
      <c r="N6" s="108" t="n">
        <v>0.132</v>
      </c>
      <c r="O6" s="108" t="n">
        <v>0.143</v>
      </c>
      <c r="P6" s="108" t="n">
        <v>0.154</v>
      </c>
      <c r="Q6" s="108" t="n">
        <v>0.165</v>
      </c>
      <c r="R6" s="108" t="n">
        <v>0.176</v>
      </c>
      <c r="S6" s="108" t="n">
        <v>0.187</v>
      </c>
      <c r="T6" s="108" t="n">
        <v>0.198</v>
      </c>
      <c r="U6" s="108" t="n">
        <v>0.209</v>
      </c>
      <c r="V6" s="108" t="n">
        <v>0.22</v>
      </c>
      <c r="W6" s="109" t="n">
        <v>-0.0599</v>
      </c>
      <c r="X6" s="110" t="n">
        <v>0</v>
      </c>
      <c r="Y6" s="110" t="n">
        <v>0.03</v>
      </c>
      <c r="Z6" s="110" t="n">
        <v>0.05</v>
      </c>
    </row>
    <row r="7" customFormat="false" ht="15.75" hidden="false" customHeight="false" outlineLevel="0" collapsed="false">
      <c r="A7" s="57" t="n">
        <v>5</v>
      </c>
      <c r="B7" s="107" t="n">
        <v>0.006</v>
      </c>
      <c r="C7" s="108" t="n">
        <v>0.011</v>
      </c>
      <c r="D7" s="108" t="n">
        <v>0.016</v>
      </c>
      <c r="E7" s="108" t="n">
        <v>0.024</v>
      </c>
      <c r="F7" s="108" t="n">
        <v>0.0321</v>
      </c>
      <c r="G7" s="108" t="n">
        <v>0.0401</v>
      </c>
      <c r="H7" s="108" t="n">
        <v>0.0481</v>
      </c>
      <c r="I7" s="108" t="n">
        <v>0.0561</v>
      </c>
      <c r="J7" s="108" t="n">
        <v>0.0641</v>
      </c>
      <c r="K7" s="108" t="n">
        <v>0.0721</v>
      </c>
      <c r="L7" s="108" t="n">
        <v>0.0802</v>
      </c>
      <c r="M7" s="108" t="n">
        <v>0.0882</v>
      </c>
      <c r="N7" s="108" t="n">
        <v>0.0962</v>
      </c>
      <c r="O7" s="108" t="n">
        <v>0.1042</v>
      </c>
      <c r="P7" s="108" t="n">
        <v>0.1122</v>
      </c>
      <c r="Q7" s="108" t="n">
        <v>0.1202</v>
      </c>
      <c r="R7" s="108" t="n">
        <v>0.1283</v>
      </c>
      <c r="S7" s="108" t="n">
        <v>0.1363</v>
      </c>
      <c r="T7" s="108" t="n">
        <v>0.1443</v>
      </c>
      <c r="U7" s="108" t="n">
        <v>0.1523</v>
      </c>
      <c r="V7" s="108" t="n">
        <v>0.1603</v>
      </c>
      <c r="W7" s="109" t="n">
        <v>0.4729</v>
      </c>
      <c r="X7" s="110" t="n">
        <v>0</v>
      </c>
      <c r="Y7" s="110" t="n">
        <v>0.03</v>
      </c>
      <c r="Z7" s="110" t="n">
        <v>0.05</v>
      </c>
    </row>
    <row r="8" customFormat="false" ht="15.75" hidden="false" customHeight="false" outlineLevel="0" collapsed="false">
      <c r="A8" s="57" t="n">
        <v>6</v>
      </c>
      <c r="B8" s="107" t="n">
        <v>0.0063</v>
      </c>
      <c r="C8" s="108" t="n">
        <v>0.0113</v>
      </c>
      <c r="D8" s="108" t="n">
        <v>0.0163</v>
      </c>
      <c r="E8" s="108" t="n">
        <v>0.0245</v>
      </c>
      <c r="F8" s="108" t="n">
        <v>0.0327</v>
      </c>
      <c r="G8" s="108" t="n">
        <v>0.0409</v>
      </c>
      <c r="H8" s="108" t="n">
        <v>0.0491</v>
      </c>
      <c r="I8" s="108" t="n">
        <v>0.0572</v>
      </c>
      <c r="J8" s="108" t="n">
        <v>0.0654</v>
      </c>
      <c r="K8" s="108" t="n">
        <v>0.0736</v>
      </c>
      <c r="L8" s="108" t="n">
        <v>0.0818</v>
      </c>
      <c r="M8" s="108" t="n">
        <v>0.0899</v>
      </c>
      <c r="N8" s="108" t="n">
        <v>0.0981</v>
      </c>
      <c r="O8" s="108" t="n">
        <v>0.1063</v>
      </c>
      <c r="P8" s="108" t="n">
        <v>0.1144</v>
      </c>
      <c r="Q8" s="108" t="n">
        <v>0.1226</v>
      </c>
      <c r="R8" s="108" t="n">
        <v>0.1308</v>
      </c>
      <c r="S8" s="108" t="n">
        <v>0.139</v>
      </c>
      <c r="T8" s="108" t="n">
        <v>0.1472</v>
      </c>
      <c r="U8" s="108" t="n">
        <v>0.1553</v>
      </c>
      <c r="V8" s="108" t="n">
        <v>0.1635</v>
      </c>
      <c r="W8" s="109" t="n">
        <v>0.2288</v>
      </c>
      <c r="X8" s="110" t="n">
        <v>0</v>
      </c>
      <c r="Y8" s="110" t="n">
        <v>0.03</v>
      </c>
      <c r="Z8" s="110" t="n">
        <v>0.05</v>
      </c>
    </row>
    <row r="9" customFormat="false" ht="15.75" hidden="false" customHeight="false" outlineLevel="0" collapsed="false">
      <c r="A9" s="57" t="n">
        <v>7</v>
      </c>
      <c r="B9" s="107" t="n">
        <v>0.0155</v>
      </c>
      <c r="C9" s="108" t="n">
        <v>0.0205</v>
      </c>
      <c r="D9" s="108" t="n">
        <v>0.0202</v>
      </c>
      <c r="E9" s="108" t="n">
        <v>0.0303</v>
      </c>
      <c r="F9" s="108" t="n">
        <v>0.0403</v>
      </c>
      <c r="G9" s="108" t="n">
        <v>0.0504</v>
      </c>
      <c r="H9" s="108" t="n">
        <v>0.0605</v>
      </c>
      <c r="I9" s="108" t="n">
        <v>0.0706</v>
      </c>
      <c r="J9" s="108" t="n">
        <v>0.0807</v>
      </c>
      <c r="K9" s="108" t="n">
        <v>0.0908</v>
      </c>
      <c r="L9" s="108" t="n">
        <v>0.1008</v>
      </c>
      <c r="M9" s="108" t="n">
        <v>0.1109</v>
      </c>
      <c r="N9" s="108" t="n">
        <v>0.121</v>
      </c>
      <c r="O9" s="108" t="n">
        <v>0.1311</v>
      </c>
      <c r="P9" s="108" t="n">
        <v>0.1412</v>
      </c>
      <c r="Q9" s="108" t="n">
        <v>0.1513</v>
      </c>
      <c r="R9" s="108" t="n">
        <v>0.1613</v>
      </c>
      <c r="S9" s="108" t="n">
        <v>0.1714</v>
      </c>
      <c r="T9" s="108" t="n">
        <v>0.1815</v>
      </c>
      <c r="U9" s="108" t="n">
        <v>0.1916</v>
      </c>
      <c r="V9" s="108" t="n">
        <v>0.2017</v>
      </c>
      <c r="W9" s="109" t="n">
        <v>0.023</v>
      </c>
      <c r="X9" s="110" t="n">
        <v>0</v>
      </c>
      <c r="Y9" s="110" t="n">
        <v>0.03</v>
      </c>
      <c r="Z9" s="110" t="n">
        <v>0.05</v>
      </c>
    </row>
    <row r="10" customFormat="false" ht="15.75" hidden="false" customHeight="false" outlineLevel="0" collapsed="false">
      <c r="A10" s="57" t="n">
        <v>8</v>
      </c>
      <c r="B10" s="111" t="n">
        <v>-0.0067</v>
      </c>
      <c r="C10" s="112" t="n">
        <v>-0.0017</v>
      </c>
      <c r="D10" s="112" t="n">
        <v>-0.0098</v>
      </c>
      <c r="E10" s="112" t="n">
        <v>-0.0147</v>
      </c>
      <c r="F10" s="112" t="n">
        <v>-0.0197</v>
      </c>
      <c r="G10" s="112" t="n">
        <v>-0.0246</v>
      </c>
      <c r="H10" s="112" t="n">
        <v>-0.0295</v>
      </c>
      <c r="I10" s="112" t="n">
        <v>-0.0344</v>
      </c>
      <c r="J10" s="112" t="n">
        <v>-0.0393</v>
      </c>
      <c r="K10" s="112" t="n">
        <v>-0.0442</v>
      </c>
      <c r="L10" s="112" t="n">
        <v>-0.0492</v>
      </c>
      <c r="M10" s="112" t="n">
        <v>-0.0541</v>
      </c>
      <c r="N10" s="112" t="n">
        <v>-0.059</v>
      </c>
      <c r="O10" s="112" t="n">
        <v>-0.0639</v>
      </c>
      <c r="P10" s="112" t="n">
        <v>-0.0688</v>
      </c>
      <c r="Q10" s="112" t="n">
        <v>-0.0737</v>
      </c>
      <c r="R10" s="112" t="n">
        <v>-0.0787</v>
      </c>
      <c r="S10" s="112" t="n">
        <v>-0.0836</v>
      </c>
      <c r="T10" s="112" t="n">
        <v>-0.0885</v>
      </c>
      <c r="U10" s="112" t="n">
        <v>-0.0934</v>
      </c>
      <c r="V10" s="112" t="n">
        <v>-0.0983</v>
      </c>
      <c r="W10" s="109" t="n">
        <v>-0.1271</v>
      </c>
      <c r="X10" s="110" t="n">
        <v>0</v>
      </c>
      <c r="Y10" s="110" t="n">
        <v>0.03</v>
      </c>
      <c r="Z10" s="110" t="n">
        <v>0.05</v>
      </c>
    </row>
    <row r="11" customFormat="false" ht="15.75" hidden="false" customHeight="false" outlineLevel="0" collapsed="false">
      <c r="A11" s="57" t="n">
        <v>9</v>
      </c>
      <c r="B11" s="111" t="n">
        <v>-0.0075</v>
      </c>
      <c r="C11" s="112" t="n">
        <v>-0.0025</v>
      </c>
      <c r="D11" s="108" t="n">
        <v>0.0024</v>
      </c>
      <c r="E11" s="108" t="n">
        <v>0.0037</v>
      </c>
      <c r="F11" s="108" t="n">
        <v>0.0049</v>
      </c>
      <c r="G11" s="108" t="n">
        <v>0.0061</v>
      </c>
      <c r="H11" s="108" t="n">
        <v>0.0073</v>
      </c>
      <c r="I11" s="108" t="n">
        <v>0.0086</v>
      </c>
      <c r="J11" s="108" t="n">
        <v>0.0098</v>
      </c>
      <c r="K11" s="108" t="n">
        <v>0.011</v>
      </c>
      <c r="L11" s="108" t="n">
        <v>0.0123</v>
      </c>
      <c r="M11" s="108" t="n">
        <v>0.0135</v>
      </c>
      <c r="N11" s="108" t="n">
        <v>0.0147</v>
      </c>
      <c r="O11" s="108" t="n">
        <v>0.0159</v>
      </c>
      <c r="P11" s="108" t="n">
        <v>0.0171</v>
      </c>
      <c r="Q11" s="108" t="n">
        <v>0.0184</v>
      </c>
      <c r="R11" s="108" t="n">
        <v>0.0196</v>
      </c>
      <c r="S11" s="108" t="n">
        <v>0.0208</v>
      </c>
      <c r="T11" s="108" t="n">
        <v>0.0221</v>
      </c>
      <c r="U11" s="108" t="n">
        <v>0.0233</v>
      </c>
      <c r="V11" s="108" t="n">
        <v>0.0245</v>
      </c>
      <c r="W11" s="109" t="n">
        <v>0.3747</v>
      </c>
      <c r="X11" s="110" t="n">
        <v>0</v>
      </c>
      <c r="Y11" s="110" t="n">
        <v>0.03</v>
      </c>
      <c r="Z11" s="110" t="n">
        <v>0.05</v>
      </c>
    </row>
    <row r="12" customFormat="false" ht="15.75" hidden="false" customHeight="false" outlineLevel="0" collapsed="false">
      <c r="A12" s="57" t="n">
        <v>10</v>
      </c>
      <c r="B12" s="107" t="n">
        <v>0.0028</v>
      </c>
      <c r="C12" s="108" t="n">
        <v>0.0077</v>
      </c>
      <c r="D12" s="108" t="n">
        <v>0.0128</v>
      </c>
      <c r="E12" s="108" t="n">
        <v>0.0192</v>
      </c>
      <c r="F12" s="108" t="n">
        <v>0.0256</v>
      </c>
      <c r="G12" s="108" t="n">
        <v>0.032</v>
      </c>
      <c r="H12" s="108" t="n">
        <v>0.0385</v>
      </c>
      <c r="I12" s="108" t="n">
        <v>0.0449</v>
      </c>
      <c r="J12" s="108" t="n">
        <v>0.0513</v>
      </c>
      <c r="K12" s="108" t="n">
        <v>0.0577</v>
      </c>
      <c r="L12" s="108" t="n">
        <v>0.0641</v>
      </c>
      <c r="M12" s="108" t="n">
        <v>0.0705</v>
      </c>
      <c r="N12" s="108" t="n">
        <v>0.0769</v>
      </c>
      <c r="O12" s="108" t="n">
        <v>0.0833</v>
      </c>
      <c r="P12" s="108" t="n">
        <v>0.0897</v>
      </c>
      <c r="Q12" s="108" t="n">
        <v>0.0961</v>
      </c>
      <c r="R12" s="108" t="n">
        <v>0.1025</v>
      </c>
      <c r="S12" s="108" t="n">
        <v>0.1089</v>
      </c>
      <c r="T12" s="108" t="n">
        <v>0.1154</v>
      </c>
      <c r="U12" s="108" t="n">
        <v>0.1218</v>
      </c>
      <c r="V12" s="108" t="n">
        <v>0.1282</v>
      </c>
      <c r="W12" s="109" t="n">
        <v>0.0806</v>
      </c>
      <c r="X12" s="110" t="n">
        <v>0</v>
      </c>
      <c r="Y12" s="110" t="n">
        <v>0.03</v>
      </c>
      <c r="Z12" s="110" t="n">
        <v>0.05</v>
      </c>
    </row>
    <row r="13" customFormat="false" ht="15.75" hidden="false" customHeight="false" outlineLevel="0" collapsed="false">
      <c r="A13" s="57" t="n">
        <v>11</v>
      </c>
      <c r="B13" s="107" t="n">
        <v>0.0114</v>
      </c>
      <c r="C13" s="108" t="n">
        <v>0.0164</v>
      </c>
      <c r="D13" s="108" t="n">
        <v>0.0214</v>
      </c>
      <c r="E13" s="108" t="n">
        <v>0.0321</v>
      </c>
      <c r="F13" s="108" t="n">
        <v>0.0428</v>
      </c>
      <c r="G13" s="108" t="n">
        <v>0.0535</v>
      </c>
      <c r="H13" s="108" t="n">
        <v>0.0643</v>
      </c>
      <c r="I13" s="108" t="n">
        <v>0.075</v>
      </c>
      <c r="J13" s="108" t="n">
        <v>0.0857</v>
      </c>
      <c r="K13" s="108" t="n">
        <v>0.0964</v>
      </c>
      <c r="L13" s="108" t="n">
        <v>0.1071</v>
      </c>
      <c r="M13" s="108" t="n">
        <v>0.1178</v>
      </c>
      <c r="N13" s="108" t="n">
        <v>0.1285</v>
      </c>
      <c r="O13" s="108" t="n">
        <v>0.1392</v>
      </c>
      <c r="P13" s="108" t="n">
        <v>0.1499</v>
      </c>
      <c r="Q13" s="108" t="n">
        <v>0.1606</v>
      </c>
      <c r="R13" s="108" t="n">
        <v>0.1713</v>
      </c>
      <c r="S13" s="108" t="n">
        <v>0.182</v>
      </c>
      <c r="T13" s="108" t="n">
        <v>0.1928</v>
      </c>
      <c r="U13" s="108" t="n">
        <v>0.2035</v>
      </c>
      <c r="V13" s="108" t="n">
        <v>0.2142</v>
      </c>
      <c r="W13" s="109" t="n">
        <v>-0.0391</v>
      </c>
      <c r="X13" s="110" t="n">
        <v>0</v>
      </c>
      <c r="Y13" s="110" t="n">
        <v>0.03</v>
      </c>
      <c r="Z13" s="110" t="n">
        <v>0.05</v>
      </c>
    </row>
    <row r="14" customFormat="false" ht="15.75" hidden="false" customHeight="false" outlineLevel="0" collapsed="false">
      <c r="A14" s="57" t="n">
        <v>12</v>
      </c>
      <c r="B14" s="107" t="n">
        <v>0.003</v>
      </c>
      <c r="C14" s="108" t="n">
        <v>0.008</v>
      </c>
      <c r="D14" s="108" t="n">
        <v>0.013</v>
      </c>
      <c r="E14" s="108" t="n">
        <v>0.0195</v>
      </c>
      <c r="F14" s="108" t="n">
        <v>0.026</v>
      </c>
      <c r="G14" s="108" t="n">
        <v>0.0325</v>
      </c>
      <c r="H14" s="108" t="n">
        <v>0.039</v>
      </c>
      <c r="I14" s="108" t="n">
        <v>0.0456</v>
      </c>
      <c r="J14" s="108" t="n">
        <v>0.0521</v>
      </c>
      <c r="K14" s="108" t="n">
        <v>0.0586</v>
      </c>
      <c r="L14" s="108" t="n">
        <v>0.0651</v>
      </c>
      <c r="M14" s="108" t="n">
        <v>0.0716</v>
      </c>
      <c r="N14" s="108" t="n">
        <v>0.0781</v>
      </c>
      <c r="O14" s="108" t="n">
        <v>0.0846</v>
      </c>
      <c r="P14" s="108" t="n">
        <v>0.0911</v>
      </c>
      <c r="Q14" s="108" t="n">
        <v>0.0976</v>
      </c>
      <c r="R14" s="108" t="n">
        <v>0.1041</v>
      </c>
      <c r="S14" s="108" t="n">
        <v>0.1106</v>
      </c>
      <c r="T14" s="108" t="n">
        <v>0.1171</v>
      </c>
      <c r="U14" s="108" t="n">
        <v>0.1237</v>
      </c>
      <c r="V14" s="108" t="n">
        <v>0.1302</v>
      </c>
      <c r="W14" s="109" t="n">
        <v>0.2326</v>
      </c>
      <c r="X14" s="110" t="n">
        <v>0</v>
      </c>
      <c r="Y14" s="110" t="n">
        <v>0.03</v>
      </c>
      <c r="Z14" s="110" t="n">
        <v>0.05</v>
      </c>
    </row>
    <row r="15" customFormat="false" ht="15.75" hidden="false" customHeight="false" outlineLevel="0" collapsed="false">
      <c r="A15" s="57" t="n">
        <v>13</v>
      </c>
      <c r="B15" s="107" t="n">
        <v>0.0001</v>
      </c>
      <c r="C15" s="108" t="n">
        <v>0.0051</v>
      </c>
      <c r="D15" s="108" t="n">
        <v>0.016</v>
      </c>
      <c r="E15" s="108" t="n">
        <v>0.024</v>
      </c>
      <c r="F15" s="108" t="n">
        <v>0.032</v>
      </c>
      <c r="G15" s="108" t="n">
        <v>0.04</v>
      </c>
      <c r="H15" s="108" t="n">
        <v>0.048</v>
      </c>
      <c r="I15" s="108" t="n">
        <v>0.056</v>
      </c>
      <c r="J15" s="108" t="n">
        <v>0.064</v>
      </c>
      <c r="K15" s="108" t="n">
        <v>0.072</v>
      </c>
      <c r="L15" s="108" t="n">
        <v>0.08</v>
      </c>
      <c r="M15" s="108" t="n">
        <v>0.088</v>
      </c>
      <c r="N15" s="108" t="n">
        <v>0.096</v>
      </c>
      <c r="O15" s="108" t="n">
        <v>0.104</v>
      </c>
      <c r="P15" s="108" t="n">
        <v>0.112</v>
      </c>
      <c r="Q15" s="108" t="n">
        <v>0.12</v>
      </c>
      <c r="R15" s="108" t="n">
        <v>0.128</v>
      </c>
      <c r="S15" s="108" t="n">
        <v>0.136</v>
      </c>
      <c r="T15" s="108" t="n">
        <v>0.144</v>
      </c>
      <c r="U15" s="108" t="n">
        <v>0.152</v>
      </c>
      <c r="V15" s="108" t="n">
        <v>0.16</v>
      </c>
      <c r="W15" s="109" t="n">
        <v>-0.1165</v>
      </c>
      <c r="X15" s="110" t="n">
        <v>0</v>
      </c>
      <c r="Y15" s="110" t="n">
        <v>0.03</v>
      </c>
      <c r="Z15" s="110" t="n">
        <v>0.05</v>
      </c>
    </row>
    <row r="16" customFormat="false" ht="15.75" hidden="false" customHeight="false" outlineLevel="0" collapsed="false">
      <c r="A16" s="57" t="n">
        <v>14</v>
      </c>
      <c r="B16" s="111" t="n">
        <v>-0.0038</v>
      </c>
      <c r="C16" s="108" t="n">
        <v>0.0012</v>
      </c>
      <c r="D16" s="108" t="n">
        <v>0.0062</v>
      </c>
      <c r="E16" s="108" t="n">
        <v>0.0093</v>
      </c>
      <c r="F16" s="108" t="n">
        <v>0.0124</v>
      </c>
      <c r="G16" s="108" t="n">
        <v>0.0155</v>
      </c>
      <c r="H16" s="108" t="n">
        <v>0.0187</v>
      </c>
      <c r="I16" s="108" t="n">
        <v>0.0218</v>
      </c>
      <c r="J16" s="108" t="n">
        <v>0.0249</v>
      </c>
      <c r="K16" s="108" t="n">
        <v>0.028</v>
      </c>
      <c r="L16" s="108" t="n">
        <v>0.0311</v>
      </c>
      <c r="M16" s="108" t="n">
        <v>0.0342</v>
      </c>
      <c r="N16" s="108" t="n">
        <v>0.0373</v>
      </c>
      <c r="O16" s="108" t="n">
        <v>0.0404</v>
      </c>
      <c r="P16" s="108" t="n">
        <v>0.0435</v>
      </c>
      <c r="Q16" s="108" t="n">
        <v>0.0466</v>
      </c>
      <c r="R16" s="108" t="n">
        <v>0.0497</v>
      </c>
      <c r="S16" s="108" t="n">
        <v>0.0528</v>
      </c>
      <c r="T16" s="108" t="n">
        <v>0.056</v>
      </c>
      <c r="U16" s="108" t="n">
        <v>0.0591</v>
      </c>
      <c r="V16" s="108" t="n">
        <v>0.0622</v>
      </c>
      <c r="W16" s="109" t="n">
        <v>0.2032</v>
      </c>
      <c r="X16" s="110" t="n">
        <v>0</v>
      </c>
      <c r="Y16" s="110" t="n">
        <v>0.03</v>
      </c>
      <c r="Z16" s="110" t="n">
        <v>0.05</v>
      </c>
    </row>
    <row r="17" customFormat="false" ht="15.75" hidden="false" customHeight="false" outlineLevel="0" collapsed="false">
      <c r="A17" s="57" t="n">
        <v>15</v>
      </c>
      <c r="B17" s="107" t="n">
        <v>0.0013</v>
      </c>
      <c r="C17" s="108" t="n">
        <v>0.0063</v>
      </c>
      <c r="D17" s="108" t="n">
        <v>0.0113</v>
      </c>
      <c r="E17" s="108" t="n">
        <v>0.0169</v>
      </c>
      <c r="F17" s="108" t="n">
        <v>0.0225</v>
      </c>
      <c r="G17" s="108" t="n">
        <v>0.0282</v>
      </c>
      <c r="H17" s="108" t="n">
        <v>0.0338</v>
      </c>
      <c r="I17" s="108" t="n">
        <v>0.0394</v>
      </c>
      <c r="J17" s="108" t="n">
        <v>0.0451</v>
      </c>
      <c r="K17" s="108" t="n">
        <v>0.0507</v>
      </c>
      <c r="L17" s="108" t="n">
        <v>0.0563</v>
      </c>
      <c r="M17" s="108" t="n">
        <v>0.062</v>
      </c>
      <c r="N17" s="108" t="n">
        <v>0.0676</v>
      </c>
      <c r="O17" s="108" t="n">
        <v>0.0732</v>
      </c>
      <c r="P17" s="108" t="n">
        <v>0.0789</v>
      </c>
      <c r="Q17" s="108" t="n">
        <v>0.0845</v>
      </c>
      <c r="R17" s="108" t="n">
        <v>0.0901</v>
      </c>
      <c r="S17" s="108" t="n">
        <v>0.0958</v>
      </c>
      <c r="T17" s="108" t="n">
        <v>0.1014</v>
      </c>
      <c r="U17" s="108" t="n">
        <v>0.107</v>
      </c>
      <c r="V17" s="108" t="n">
        <v>0.1127</v>
      </c>
      <c r="W17" s="109" t="n">
        <v>0.1167</v>
      </c>
      <c r="X17" s="110" t="n">
        <v>0</v>
      </c>
      <c r="Y17" s="110" t="n">
        <v>0.03</v>
      </c>
      <c r="Z17" s="110" t="n">
        <v>0.05</v>
      </c>
    </row>
    <row r="18" customFormat="false" ht="15.75" hidden="false" customHeight="false" outlineLevel="0" collapsed="false">
      <c r="A18" s="57" t="n">
        <v>16</v>
      </c>
      <c r="B18" s="107" t="n">
        <v>0.0192</v>
      </c>
      <c r="C18" s="108" t="n">
        <v>0.0242</v>
      </c>
      <c r="D18" s="108" t="n">
        <v>0.0054</v>
      </c>
      <c r="E18" s="108" t="n">
        <v>0.0081</v>
      </c>
      <c r="F18" s="108" t="n">
        <v>0.0109</v>
      </c>
      <c r="G18" s="108" t="n">
        <v>0.0136</v>
      </c>
      <c r="H18" s="108" t="n">
        <v>0.0163</v>
      </c>
      <c r="I18" s="108" t="n">
        <v>0.019</v>
      </c>
      <c r="J18" s="108" t="n">
        <v>0.0217</v>
      </c>
      <c r="K18" s="108" t="n">
        <v>0.0244</v>
      </c>
      <c r="L18" s="108" t="n">
        <v>0.0272</v>
      </c>
      <c r="M18" s="108" t="n">
        <v>0.0299</v>
      </c>
      <c r="N18" s="108" t="n">
        <v>0.0326</v>
      </c>
      <c r="O18" s="108" t="n">
        <v>0.0353</v>
      </c>
      <c r="P18" s="108" t="n">
        <v>0.038</v>
      </c>
      <c r="Q18" s="108" t="n">
        <v>0.0407</v>
      </c>
      <c r="R18" s="108" t="n">
        <v>0.0435</v>
      </c>
      <c r="S18" s="108" t="n">
        <v>0.0462</v>
      </c>
      <c r="T18" s="108" t="n">
        <v>0.0489</v>
      </c>
      <c r="U18" s="108" t="n">
        <v>0.0516</v>
      </c>
      <c r="V18" s="108" t="n">
        <v>0.0543</v>
      </c>
      <c r="W18" s="109" t="n">
        <v>0.0944</v>
      </c>
      <c r="X18" s="110" t="n">
        <v>0</v>
      </c>
      <c r="Y18" s="110" t="n">
        <v>0.03</v>
      </c>
      <c r="Z18" s="110" t="n">
        <v>0.05</v>
      </c>
    </row>
    <row r="19" customFormat="false" ht="15.75" hidden="false" customHeight="false" outlineLevel="0" collapsed="false">
      <c r="A19" s="57" t="n">
        <v>17</v>
      </c>
      <c r="B19" s="107" t="n">
        <v>0.0229</v>
      </c>
      <c r="C19" s="108" t="n">
        <v>0.0279</v>
      </c>
      <c r="D19" s="108" t="n">
        <v>0.033</v>
      </c>
      <c r="E19" s="108" t="n">
        <v>0.0494</v>
      </c>
      <c r="F19" s="108" t="n">
        <v>0.0659</v>
      </c>
      <c r="G19" s="108" t="n">
        <v>0.0824</v>
      </c>
      <c r="H19" s="108" t="n">
        <v>0.0988</v>
      </c>
      <c r="I19" s="108" t="n">
        <v>0.1153</v>
      </c>
      <c r="J19" s="108" t="n">
        <v>0.1318</v>
      </c>
      <c r="K19" s="108" t="n">
        <v>0.1483</v>
      </c>
      <c r="L19" s="108" t="n">
        <v>0.1648</v>
      </c>
      <c r="M19" s="108" t="n">
        <v>0.1812</v>
      </c>
      <c r="N19" s="108" t="n">
        <v>0.1977</v>
      </c>
      <c r="O19" s="108" t="n">
        <v>0.2142</v>
      </c>
      <c r="P19" s="108" t="n">
        <v>0.2306</v>
      </c>
      <c r="Q19" s="108" t="n">
        <v>0.2471</v>
      </c>
      <c r="R19" s="108" t="n">
        <v>0.2636</v>
      </c>
      <c r="S19" s="108" t="n">
        <v>0.2801</v>
      </c>
      <c r="T19" s="108" t="n">
        <v>0.2966</v>
      </c>
      <c r="U19" s="108" t="n">
        <v>0.313</v>
      </c>
      <c r="V19" s="108" t="n">
        <v>0.3295</v>
      </c>
      <c r="W19" s="109" t="n">
        <v>-0.128</v>
      </c>
      <c r="X19" s="110" t="n">
        <v>0</v>
      </c>
      <c r="Y19" s="110" t="n">
        <v>0.03</v>
      </c>
      <c r="Z19" s="110" t="n">
        <v>0.05</v>
      </c>
    </row>
    <row r="20" customFormat="false" ht="15.75" hidden="false" customHeight="false" outlineLevel="0" collapsed="false">
      <c r="A20" s="57" t="n">
        <v>18</v>
      </c>
      <c r="B20" s="111" t="n">
        <v>-0.0235</v>
      </c>
      <c r="C20" s="112" t="n">
        <v>-0.0185</v>
      </c>
      <c r="D20" s="112" t="n">
        <v>-0.0135</v>
      </c>
      <c r="E20" s="112" t="n">
        <v>-0.0203</v>
      </c>
      <c r="F20" s="112" t="n">
        <v>-0.027</v>
      </c>
      <c r="G20" s="112" t="n">
        <v>-0.0338</v>
      </c>
      <c r="H20" s="112" t="n">
        <v>-0.0405</v>
      </c>
      <c r="I20" s="112" t="n">
        <v>-0.0472</v>
      </c>
      <c r="J20" s="112" t="n">
        <v>-0.054</v>
      </c>
      <c r="K20" s="112" t="n">
        <v>-0.0608</v>
      </c>
      <c r="L20" s="112" t="n">
        <v>-0.0675</v>
      </c>
      <c r="M20" s="112" t="n">
        <v>-0.0743</v>
      </c>
      <c r="N20" s="112" t="n">
        <v>-0.081</v>
      </c>
      <c r="O20" s="112" t="n">
        <v>-0.0878</v>
      </c>
      <c r="P20" s="112" t="n">
        <v>-0.0945</v>
      </c>
      <c r="Q20" s="112" t="n">
        <v>-0.1013</v>
      </c>
      <c r="R20" s="112" t="n">
        <v>-0.108</v>
      </c>
      <c r="S20" s="112" t="n">
        <v>-0.1148</v>
      </c>
      <c r="T20" s="112" t="n">
        <v>-0.1215</v>
      </c>
      <c r="U20" s="112" t="n">
        <v>-0.1283</v>
      </c>
      <c r="V20" s="112" t="n">
        <v>-0.135</v>
      </c>
      <c r="W20" s="109" t="n">
        <v>0.1957</v>
      </c>
      <c r="X20" s="110" t="n">
        <v>0</v>
      </c>
      <c r="Y20" s="110" t="n">
        <v>0.03</v>
      </c>
      <c r="Z20" s="110" t="n">
        <v>0.05</v>
      </c>
    </row>
    <row r="21" customFormat="false" ht="15.75" hidden="false" customHeight="false" outlineLevel="0" collapsed="false">
      <c r="A21" s="57" t="n">
        <v>19</v>
      </c>
      <c r="B21" s="107" t="n">
        <v>0.0165</v>
      </c>
      <c r="C21" s="108" t="n">
        <v>0.0215</v>
      </c>
      <c r="D21" s="108" t="n">
        <v>0.0266</v>
      </c>
      <c r="E21" s="108" t="n">
        <v>0.0398</v>
      </c>
      <c r="F21" s="108" t="n">
        <v>0.0531</v>
      </c>
      <c r="G21" s="108" t="n">
        <v>0.0664</v>
      </c>
      <c r="H21" s="108" t="n">
        <v>0.0796</v>
      </c>
      <c r="I21" s="108" t="n">
        <v>0.0929</v>
      </c>
      <c r="J21" s="108" t="n">
        <v>0.1062</v>
      </c>
      <c r="K21" s="108" t="n">
        <v>0.1195</v>
      </c>
      <c r="L21" s="108" t="n">
        <v>0.1328</v>
      </c>
      <c r="M21" s="108" t="n">
        <v>0.146</v>
      </c>
      <c r="N21" s="108" t="n">
        <v>0.1593</v>
      </c>
      <c r="O21" s="108" t="n">
        <v>0.1726</v>
      </c>
      <c r="P21" s="108" t="n">
        <v>0.1859</v>
      </c>
      <c r="Q21" s="108" t="n">
        <v>0.1991</v>
      </c>
      <c r="R21" s="108" t="n">
        <v>0.2124</v>
      </c>
      <c r="S21" s="108" t="n">
        <v>0.2257</v>
      </c>
      <c r="T21" s="108" t="n">
        <v>0.2389</v>
      </c>
      <c r="U21" s="108" t="n">
        <v>0.2522</v>
      </c>
      <c r="V21" s="108" t="n">
        <v>0.2655</v>
      </c>
      <c r="W21" s="109" t="n">
        <v>0.0814</v>
      </c>
      <c r="X21" s="110" t="n">
        <v>0</v>
      </c>
      <c r="Y21" s="110" t="n">
        <v>0.03</v>
      </c>
      <c r="Z21" s="110" t="n">
        <v>0.05</v>
      </c>
    </row>
    <row r="22" customFormat="false" ht="15.75" hidden="false" customHeight="false" outlineLevel="0" collapsed="false">
      <c r="A22" s="57" t="n">
        <v>20</v>
      </c>
      <c r="B22" s="111" t="n">
        <v>-0.0008</v>
      </c>
      <c r="C22" s="108" t="n">
        <v>0.0042</v>
      </c>
      <c r="D22" s="108" t="n">
        <v>0.0092</v>
      </c>
      <c r="E22" s="108" t="n">
        <v>0.0138</v>
      </c>
      <c r="F22" s="108" t="n">
        <v>0.0183</v>
      </c>
      <c r="G22" s="108" t="n">
        <v>0.0229</v>
      </c>
      <c r="H22" s="108" t="n">
        <v>0.0275</v>
      </c>
      <c r="I22" s="108" t="n">
        <v>0.0321</v>
      </c>
      <c r="J22" s="108" t="n">
        <v>0.0367</v>
      </c>
      <c r="K22" s="108" t="n">
        <v>0.0413</v>
      </c>
      <c r="L22" s="108" t="n">
        <v>0.0458</v>
      </c>
      <c r="M22" s="108" t="n">
        <v>0.0504</v>
      </c>
      <c r="N22" s="108" t="n">
        <v>0.055</v>
      </c>
      <c r="O22" s="108" t="n">
        <v>0.0596</v>
      </c>
      <c r="P22" s="108" t="n">
        <v>0.0642</v>
      </c>
      <c r="Q22" s="108" t="n">
        <v>0.0688</v>
      </c>
      <c r="R22" s="108" t="n">
        <v>0.0733</v>
      </c>
      <c r="S22" s="108" t="n">
        <v>0.0779</v>
      </c>
      <c r="T22" s="108" t="n">
        <v>0.0825</v>
      </c>
      <c r="U22" s="108" t="n">
        <v>0.0871</v>
      </c>
      <c r="V22" s="108" t="n">
        <v>0.0917</v>
      </c>
      <c r="W22" s="109" t="n">
        <v>-0.1052</v>
      </c>
      <c r="X22" s="110" t="n">
        <v>0</v>
      </c>
      <c r="Y22" s="110" t="n">
        <v>0.03</v>
      </c>
      <c r="Z22" s="110" t="n">
        <v>0.05</v>
      </c>
    </row>
    <row r="23" customFormat="false" ht="15.75" hidden="false" customHeight="false" outlineLevel="0" collapsed="false">
      <c r="A23" s="57" t="n">
        <v>21</v>
      </c>
      <c r="B23" s="107" t="n">
        <v>0.0081</v>
      </c>
      <c r="C23" s="108" t="n">
        <v>0.0131</v>
      </c>
      <c r="D23" s="108" t="n">
        <v>0.0181</v>
      </c>
      <c r="E23" s="108" t="n">
        <v>0.0271</v>
      </c>
      <c r="F23" s="108" t="n">
        <v>0.0362</v>
      </c>
      <c r="G23" s="108" t="n">
        <v>0.0452</v>
      </c>
      <c r="H23" s="108" t="n">
        <v>0.0542</v>
      </c>
      <c r="I23" s="108" t="n">
        <v>0.0633</v>
      </c>
      <c r="J23" s="108" t="n">
        <v>0.0723</v>
      </c>
      <c r="K23" s="108" t="n">
        <v>0.0814</v>
      </c>
      <c r="L23" s="108" t="n">
        <v>0.0904</v>
      </c>
      <c r="M23" s="108" t="n">
        <v>0.0995</v>
      </c>
      <c r="N23" s="108" t="n">
        <v>0.1085</v>
      </c>
      <c r="O23" s="108" t="n">
        <v>0.1175</v>
      </c>
      <c r="P23" s="108" t="n">
        <v>0.1266</v>
      </c>
      <c r="Q23" s="108" t="n">
        <v>0.1356</v>
      </c>
      <c r="R23" s="108" t="n">
        <v>0.1447</v>
      </c>
      <c r="S23" s="108" t="n">
        <v>0.1537</v>
      </c>
      <c r="T23" s="108" t="n">
        <v>0.1627</v>
      </c>
      <c r="U23" s="108" t="n">
        <v>0.1718</v>
      </c>
      <c r="V23" s="108" t="n">
        <v>0.1808</v>
      </c>
      <c r="W23" s="109" t="n">
        <v>-0.0199</v>
      </c>
      <c r="X23" s="110" t="n">
        <v>0</v>
      </c>
      <c r="Y23" s="110" t="n">
        <v>0.03</v>
      </c>
      <c r="Z23" s="110" t="n">
        <v>0.05</v>
      </c>
    </row>
    <row r="24" customFormat="false" ht="15.75" hidden="false" customHeight="false" outlineLevel="0" collapsed="false">
      <c r="A24" s="57" t="n">
        <v>22</v>
      </c>
      <c r="B24" s="107" t="n">
        <v>0.0036</v>
      </c>
      <c r="C24" s="108" t="n">
        <v>0.0086</v>
      </c>
      <c r="D24" s="108" t="n">
        <v>0.0135</v>
      </c>
      <c r="E24" s="108" t="n">
        <v>0.0203</v>
      </c>
      <c r="F24" s="108" t="n">
        <v>0.0271</v>
      </c>
      <c r="G24" s="108" t="n">
        <v>0.0339</v>
      </c>
      <c r="H24" s="108" t="n">
        <v>0.0406</v>
      </c>
      <c r="I24" s="108" t="n">
        <v>0.0474</v>
      </c>
      <c r="J24" s="108" t="n">
        <v>0.0542</v>
      </c>
      <c r="K24" s="108" t="n">
        <v>0.061</v>
      </c>
      <c r="L24" s="108" t="n">
        <v>0.0678</v>
      </c>
      <c r="M24" s="108" t="n">
        <v>0.0745</v>
      </c>
      <c r="N24" s="108" t="n">
        <v>0.0813</v>
      </c>
      <c r="O24" s="108" t="n">
        <v>0.0881</v>
      </c>
      <c r="P24" s="108" t="n">
        <v>0.0948</v>
      </c>
      <c r="Q24" s="108" t="n">
        <v>0.1016</v>
      </c>
      <c r="R24" s="108" t="n">
        <v>0.1084</v>
      </c>
      <c r="S24" s="108" t="n">
        <v>0.1152</v>
      </c>
      <c r="T24" s="108" t="n">
        <v>0.122</v>
      </c>
      <c r="U24" s="108" t="n">
        <v>0.1287</v>
      </c>
      <c r="V24" s="108" t="n">
        <v>0.1355</v>
      </c>
      <c r="W24" s="109" t="n">
        <v>0.1154</v>
      </c>
      <c r="X24" s="110" t="n">
        <v>0</v>
      </c>
      <c r="Y24" s="110" t="n">
        <v>0.03</v>
      </c>
      <c r="Z24" s="110" t="n">
        <v>0.05</v>
      </c>
    </row>
    <row r="25" customFormat="false" ht="15.75" hidden="false" customHeight="false" outlineLevel="0" collapsed="false">
      <c r="A25" s="57" t="n">
        <v>23</v>
      </c>
      <c r="B25" s="107" t="n">
        <v>0.0007</v>
      </c>
      <c r="C25" s="108" t="n">
        <v>0.0057</v>
      </c>
      <c r="D25" s="108" t="n">
        <v>0.0107</v>
      </c>
      <c r="E25" s="108" t="n">
        <v>0.016</v>
      </c>
      <c r="F25" s="108" t="n">
        <v>0.0213</v>
      </c>
      <c r="G25" s="108" t="n">
        <v>0.0267</v>
      </c>
      <c r="H25" s="108" t="n">
        <v>0.032</v>
      </c>
      <c r="I25" s="108" t="n">
        <v>0.0373</v>
      </c>
      <c r="J25" s="108" t="n">
        <v>0.0427</v>
      </c>
      <c r="K25" s="108" t="n">
        <v>0.048</v>
      </c>
      <c r="L25" s="108" t="n">
        <v>0.0533</v>
      </c>
      <c r="M25" s="108" t="n">
        <v>0.0587</v>
      </c>
      <c r="N25" s="108" t="n">
        <v>0.064</v>
      </c>
      <c r="O25" s="108" t="n">
        <v>0.0693</v>
      </c>
      <c r="P25" s="108" t="n">
        <v>0.0747</v>
      </c>
      <c r="Q25" s="108" t="n">
        <v>0.08</v>
      </c>
      <c r="R25" s="108" t="n">
        <v>0.0853</v>
      </c>
      <c r="S25" s="108" t="n">
        <v>0.0907</v>
      </c>
      <c r="T25" s="108" t="n">
        <v>0.096</v>
      </c>
      <c r="U25" s="108" t="n">
        <v>0.1013</v>
      </c>
      <c r="V25" s="108" t="n">
        <v>0.1067</v>
      </c>
      <c r="W25" s="109" t="n">
        <v>0.1714</v>
      </c>
      <c r="X25" s="110" t="n">
        <v>0</v>
      </c>
      <c r="Y25" s="110" t="n">
        <v>0.03</v>
      </c>
      <c r="Z25" s="110" t="n">
        <v>0.05</v>
      </c>
    </row>
    <row r="26" customFormat="false" ht="15.75" hidden="false" customHeight="false" outlineLevel="0" collapsed="false">
      <c r="A26" s="57" t="n">
        <v>24</v>
      </c>
      <c r="B26" s="111" t="n">
        <v>-0.0156</v>
      </c>
      <c r="C26" s="112" t="n">
        <v>-0.0106</v>
      </c>
      <c r="D26" s="108" t="n">
        <v>0.0148</v>
      </c>
      <c r="E26" s="108" t="n">
        <v>0.0222</v>
      </c>
      <c r="F26" s="108" t="n">
        <v>0.0297</v>
      </c>
      <c r="G26" s="108" t="n">
        <v>0.0371</v>
      </c>
      <c r="H26" s="108" t="n">
        <v>0.0445</v>
      </c>
      <c r="I26" s="108" t="n">
        <v>0.0519</v>
      </c>
      <c r="J26" s="108" t="n">
        <v>0.0593</v>
      </c>
      <c r="K26" s="108" t="n">
        <v>0.0667</v>
      </c>
      <c r="L26" s="108" t="n">
        <v>0.0742</v>
      </c>
      <c r="M26" s="108" t="n">
        <v>0.0816</v>
      </c>
      <c r="N26" s="108" t="n">
        <v>0.089</v>
      </c>
      <c r="O26" s="108" t="n">
        <v>0.0964</v>
      </c>
      <c r="P26" s="108" t="n">
        <v>0.1038</v>
      </c>
      <c r="Q26" s="108" t="n">
        <v>0.1112</v>
      </c>
      <c r="R26" s="108" t="n">
        <v>0.1187</v>
      </c>
      <c r="S26" s="108" t="n">
        <v>0.1261</v>
      </c>
      <c r="T26" s="108" t="n">
        <v>0.1335</v>
      </c>
      <c r="U26" s="108" t="n">
        <v>0.1409</v>
      </c>
      <c r="V26" s="108" t="n">
        <v>0.1483</v>
      </c>
      <c r="W26" s="109" t="n">
        <v>-0.1798</v>
      </c>
      <c r="X26" s="110" t="n">
        <v>0</v>
      </c>
      <c r="Y26" s="110" t="n">
        <v>0.03</v>
      </c>
      <c r="Z26" s="110" t="n">
        <v>0.05</v>
      </c>
    </row>
    <row r="27" customFormat="false" ht="15.75" hidden="false" customHeight="false" outlineLevel="0" collapsed="false">
      <c r="A27" s="57" t="n">
        <v>25</v>
      </c>
      <c r="B27" s="107" t="n">
        <v>0.0049</v>
      </c>
      <c r="C27" s="108" t="n">
        <v>0.0099</v>
      </c>
      <c r="D27" s="108" t="n">
        <v>0.013</v>
      </c>
      <c r="E27" s="108" t="n">
        <v>0.0195</v>
      </c>
      <c r="F27" s="108" t="n">
        <v>0.026</v>
      </c>
      <c r="G27" s="108" t="n">
        <v>0.0325</v>
      </c>
      <c r="H27" s="108" t="n">
        <v>0.039</v>
      </c>
      <c r="I27" s="108" t="n">
        <v>0.0455</v>
      </c>
      <c r="J27" s="108" t="n">
        <v>0.052</v>
      </c>
      <c r="K27" s="108" t="n">
        <v>0.0585</v>
      </c>
      <c r="L27" s="108" t="n">
        <v>0.065</v>
      </c>
      <c r="M27" s="108" t="n">
        <v>0.0715</v>
      </c>
      <c r="N27" s="108" t="n">
        <v>0.078</v>
      </c>
      <c r="O27" s="108" t="n">
        <v>0.0845</v>
      </c>
      <c r="P27" s="108" t="n">
        <v>0.091</v>
      </c>
      <c r="Q27" s="108" t="n">
        <v>0.0975</v>
      </c>
      <c r="R27" s="108" t="n">
        <v>0.104</v>
      </c>
      <c r="S27" s="108" t="n">
        <v>0.1105</v>
      </c>
      <c r="T27" s="108" t="n">
        <v>0.117</v>
      </c>
      <c r="U27" s="108" t="n">
        <v>0.1235</v>
      </c>
      <c r="V27" s="108" t="n">
        <v>0.13</v>
      </c>
      <c r="W27" s="109" t="n">
        <v>-0.281</v>
      </c>
      <c r="X27" s="110" t="n">
        <v>0</v>
      </c>
      <c r="Y27" s="110" t="n">
        <v>0.03</v>
      </c>
      <c r="Z27" s="110" t="n">
        <v>0.05</v>
      </c>
    </row>
    <row r="28" customFormat="false" ht="15.75" hidden="false" customHeight="false" outlineLevel="0" collapsed="false">
      <c r="A28" s="57" t="n">
        <v>26</v>
      </c>
      <c r="B28" s="111" t="n">
        <v>-0.011</v>
      </c>
      <c r="C28" s="112" t="n">
        <v>-0.006</v>
      </c>
      <c r="D28" s="112" t="n">
        <v>-0.007</v>
      </c>
      <c r="E28" s="112" t="n">
        <v>-0.0105</v>
      </c>
      <c r="F28" s="112" t="n">
        <v>-0.014</v>
      </c>
      <c r="G28" s="112" t="n">
        <v>-0.0175</v>
      </c>
      <c r="H28" s="112" t="n">
        <v>-0.021</v>
      </c>
      <c r="I28" s="112" t="n">
        <v>-0.0245</v>
      </c>
      <c r="J28" s="112" t="n">
        <v>-0.028</v>
      </c>
      <c r="K28" s="112" t="n">
        <v>-0.0315</v>
      </c>
      <c r="L28" s="112" t="n">
        <v>-0.035</v>
      </c>
      <c r="M28" s="112" t="n">
        <v>-0.0385</v>
      </c>
      <c r="N28" s="112" t="n">
        <v>-0.042</v>
      </c>
      <c r="O28" s="112" t="n">
        <v>-0.0455</v>
      </c>
      <c r="P28" s="112" t="n">
        <v>-0.049</v>
      </c>
      <c r="Q28" s="112" t="n">
        <v>-0.0525</v>
      </c>
      <c r="R28" s="112" t="n">
        <v>-0.056</v>
      </c>
      <c r="S28" s="112" t="n">
        <v>-0.0595</v>
      </c>
      <c r="T28" s="112" t="n">
        <v>-0.063</v>
      </c>
      <c r="U28" s="112" t="n">
        <v>-0.0665</v>
      </c>
      <c r="V28" s="112" t="n">
        <v>-0.07</v>
      </c>
      <c r="W28" s="109" t="n">
        <v>0.2943</v>
      </c>
      <c r="X28" s="110" t="n">
        <v>0</v>
      </c>
      <c r="Y28" s="110" t="n">
        <v>0.03</v>
      </c>
      <c r="Z28" s="110" t="n">
        <v>0.05</v>
      </c>
    </row>
    <row r="29" customFormat="false" ht="15.75" hidden="false" customHeight="false" outlineLevel="0" collapsed="false">
      <c r="A29" s="57" t="n">
        <v>27</v>
      </c>
      <c r="B29" s="107" t="n">
        <v>0.0004</v>
      </c>
      <c r="C29" s="108" t="n">
        <v>0.0054</v>
      </c>
      <c r="D29" s="108" t="n">
        <v>0.016</v>
      </c>
      <c r="E29" s="108" t="n">
        <v>0.024</v>
      </c>
      <c r="F29" s="108" t="n">
        <v>0.032</v>
      </c>
      <c r="G29" s="108" t="n">
        <v>0.04</v>
      </c>
      <c r="H29" s="108" t="n">
        <v>0.048</v>
      </c>
      <c r="I29" s="108" t="n">
        <v>0.056</v>
      </c>
      <c r="J29" s="108" t="n">
        <v>0.064</v>
      </c>
      <c r="K29" s="108" t="n">
        <v>0.072</v>
      </c>
      <c r="L29" s="108" t="n">
        <v>0.08</v>
      </c>
      <c r="M29" s="108" t="n">
        <v>0.088</v>
      </c>
      <c r="N29" s="108" t="n">
        <v>0.096</v>
      </c>
      <c r="O29" s="108" t="n">
        <v>0.104</v>
      </c>
      <c r="P29" s="108" t="n">
        <v>0.112</v>
      </c>
      <c r="Q29" s="108" t="n">
        <v>0.12</v>
      </c>
      <c r="R29" s="108" t="n">
        <v>0.128</v>
      </c>
      <c r="S29" s="108" t="n">
        <v>0.136</v>
      </c>
      <c r="T29" s="108" t="n">
        <v>0.144</v>
      </c>
      <c r="U29" s="108" t="n">
        <v>0.152</v>
      </c>
      <c r="V29" s="108" t="n">
        <v>0.16</v>
      </c>
      <c r="W29" s="109" t="n">
        <v>0.1771</v>
      </c>
      <c r="X29" s="110" t="n">
        <v>0</v>
      </c>
      <c r="Y29" s="110" t="n">
        <v>0.03</v>
      </c>
      <c r="Z29" s="110" t="n">
        <v>0.05</v>
      </c>
    </row>
    <row r="30" customFormat="false" ht="15.75" hidden="false" customHeight="false" outlineLevel="0" collapsed="false">
      <c r="A30" s="57" t="n">
        <v>28</v>
      </c>
      <c r="B30" s="111" t="n">
        <v>-0.0146</v>
      </c>
      <c r="C30" s="112" t="n">
        <v>-0.0096</v>
      </c>
      <c r="D30" s="108" t="n">
        <v>0.0108</v>
      </c>
      <c r="E30" s="108" t="n">
        <v>0.0162</v>
      </c>
      <c r="F30" s="108" t="n">
        <v>0.0217</v>
      </c>
      <c r="G30" s="108" t="n">
        <v>0.0271</v>
      </c>
      <c r="H30" s="108" t="n">
        <v>0.0325</v>
      </c>
      <c r="I30" s="108" t="n">
        <v>0.0379</v>
      </c>
      <c r="J30" s="108" t="n">
        <v>0.0433</v>
      </c>
      <c r="K30" s="108" t="n">
        <v>0.0487</v>
      </c>
      <c r="L30" s="108" t="n">
        <v>0.0542</v>
      </c>
      <c r="M30" s="108" t="n">
        <v>0.0596</v>
      </c>
      <c r="N30" s="108" t="n">
        <v>0.065</v>
      </c>
      <c r="O30" s="108" t="n">
        <v>0.0704</v>
      </c>
      <c r="P30" s="108" t="n">
        <v>0.0758</v>
      </c>
      <c r="Q30" s="108" t="n">
        <v>0.0812</v>
      </c>
      <c r="R30" s="108" t="n">
        <v>0.0867</v>
      </c>
      <c r="S30" s="108" t="n">
        <v>0.0921</v>
      </c>
      <c r="T30" s="108" t="n">
        <v>0.0975</v>
      </c>
      <c r="U30" s="108" t="n">
        <v>0.1029</v>
      </c>
      <c r="V30" s="108" t="n">
        <v>0.1083</v>
      </c>
      <c r="W30" s="109" t="n">
        <v>-0.1232</v>
      </c>
      <c r="X30" s="110" t="n">
        <v>0</v>
      </c>
      <c r="Y30" s="110" t="n">
        <v>0.03</v>
      </c>
      <c r="Z30" s="110" t="n">
        <v>0.05</v>
      </c>
    </row>
    <row r="31" customFormat="false" ht="15.75" hidden="false" customHeight="false" outlineLevel="0" collapsed="false">
      <c r="A31" s="57" t="n">
        <v>29</v>
      </c>
      <c r="B31" s="107" t="n">
        <v>0.0058</v>
      </c>
      <c r="C31" s="108" t="n">
        <v>0.0108</v>
      </c>
      <c r="D31" s="108" t="n">
        <v>0.0158</v>
      </c>
      <c r="E31" s="108" t="n">
        <v>0.0237</v>
      </c>
      <c r="F31" s="108" t="n">
        <v>0.0316</v>
      </c>
      <c r="G31" s="108" t="n">
        <v>0.0395</v>
      </c>
      <c r="H31" s="108" t="n">
        <v>0.0475</v>
      </c>
      <c r="I31" s="108" t="n">
        <v>0.0554</v>
      </c>
      <c r="J31" s="108" t="n">
        <v>0.0633</v>
      </c>
      <c r="K31" s="108" t="n">
        <v>0.0712</v>
      </c>
      <c r="L31" s="108" t="n">
        <v>0.0791</v>
      </c>
      <c r="M31" s="108" t="n">
        <v>0.087</v>
      </c>
      <c r="N31" s="108" t="n">
        <v>0.0949</v>
      </c>
      <c r="O31" s="108" t="n">
        <v>0.1028</v>
      </c>
      <c r="P31" s="108" t="n">
        <v>0.1107</v>
      </c>
      <c r="Q31" s="108" t="n">
        <v>0.1186</v>
      </c>
      <c r="R31" s="108" t="n">
        <v>0.1265</v>
      </c>
      <c r="S31" s="108" t="n">
        <v>0.1344</v>
      </c>
      <c r="T31" s="108" t="n">
        <v>0.1424</v>
      </c>
      <c r="U31" s="108" t="n">
        <v>0.1503</v>
      </c>
      <c r="V31" s="108" t="n">
        <v>0.1582</v>
      </c>
      <c r="W31" s="109" t="n">
        <v>0.031</v>
      </c>
      <c r="X31" s="110" t="n">
        <v>0</v>
      </c>
      <c r="Y31" s="110" t="n">
        <v>0.03</v>
      </c>
      <c r="Z31" s="110" t="n">
        <v>0.05</v>
      </c>
    </row>
    <row r="32" customFormat="false" ht="15.75" hidden="false" customHeight="false" outlineLevel="0" collapsed="false">
      <c r="A32" s="57" t="n">
        <v>30</v>
      </c>
      <c r="B32" s="111" t="n">
        <v>-0.0025</v>
      </c>
      <c r="C32" s="108" t="n">
        <v>0.0025</v>
      </c>
      <c r="D32" s="108" t="n">
        <v>0.0075</v>
      </c>
      <c r="E32" s="108" t="n">
        <v>0.0113</v>
      </c>
      <c r="F32" s="108" t="n">
        <v>0.0151</v>
      </c>
      <c r="G32" s="108" t="n">
        <v>0.0188</v>
      </c>
      <c r="H32" s="108" t="n">
        <v>0.0226</v>
      </c>
      <c r="I32" s="108" t="n">
        <v>0.0264</v>
      </c>
      <c r="J32" s="108" t="n">
        <v>0.0301</v>
      </c>
      <c r="K32" s="108" t="n">
        <v>0.0339</v>
      </c>
      <c r="L32" s="108" t="n">
        <v>0.0377</v>
      </c>
      <c r="M32" s="108" t="n">
        <v>0.0414</v>
      </c>
      <c r="N32" s="108" t="n">
        <v>0.0452</v>
      </c>
      <c r="O32" s="108" t="n">
        <v>0.049</v>
      </c>
      <c r="P32" s="108" t="n">
        <v>0.0527</v>
      </c>
      <c r="Q32" s="108" t="n">
        <v>0.0565</v>
      </c>
      <c r="R32" s="108" t="n">
        <v>0.0603</v>
      </c>
      <c r="S32" s="108" t="n">
        <v>0.064</v>
      </c>
      <c r="T32" s="108" t="n">
        <v>0.0678</v>
      </c>
      <c r="U32" s="108" t="n">
        <v>0.0716</v>
      </c>
      <c r="V32" s="108" t="n">
        <v>0.0753</v>
      </c>
      <c r="W32" s="109" t="n">
        <v>0.0934</v>
      </c>
      <c r="X32" s="110" t="n">
        <v>0</v>
      </c>
      <c r="Y32" s="110" t="n">
        <v>0.03</v>
      </c>
      <c r="Z32" s="110" t="n">
        <v>0.05</v>
      </c>
    </row>
    <row r="33" customFormat="false" ht="15.75" hidden="false" customHeight="false" outlineLevel="0" collapsed="false">
      <c r="A33" s="57" t="n">
        <v>31</v>
      </c>
      <c r="B33" s="107" t="n">
        <v>0.0084</v>
      </c>
      <c r="C33" s="108" t="n">
        <v>0.0134</v>
      </c>
      <c r="D33" s="108" t="n">
        <v>0.0184</v>
      </c>
      <c r="E33" s="108" t="n">
        <v>0.0276</v>
      </c>
      <c r="F33" s="108" t="n">
        <v>0.0368</v>
      </c>
      <c r="G33" s="108" t="n">
        <v>0.046</v>
      </c>
      <c r="H33" s="108" t="n">
        <v>0.0551</v>
      </c>
      <c r="I33" s="108" t="n">
        <v>0.0643</v>
      </c>
      <c r="J33" s="108" t="n">
        <v>0.0735</v>
      </c>
      <c r="K33" s="108" t="n">
        <v>0.0827</v>
      </c>
      <c r="L33" s="108" t="n">
        <v>0.0919</v>
      </c>
      <c r="M33" s="108" t="n">
        <v>0.1011</v>
      </c>
      <c r="N33" s="108" t="n">
        <v>0.1103</v>
      </c>
      <c r="O33" s="108" t="n">
        <v>0.1195</v>
      </c>
      <c r="P33" s="108" t="n">
        <v>0.1287</v>
      </c>
      <c r="Q33" s="108" t="n">
        <v>0.1379</v>
      </c>
      <c r="R33" s="108" t="n">
        <v>0.1471</v>
      </c>
      <c r="S33" s="108" t="n">
        <v>0.1563</v>
      </c>
      <c r="T33" s="108" t="n">
        <v>0.1654</v>
      </c>
      <c r="U33" s="108" t="n">
        <v>0.1746</v>
      </c>
      <c r="V33" s="108" t="n">
        <v>0.1838</v>
      </c>
      <c r="W33" s="109" t="n">
        <v>0.2891</v>
      </c>
      <c r="X33" s="110" t="n">
        <v>0</v>
      </c>
      <c r="Y33" s="110" t="n">
        <v>0.03</v>
      </c>
      <c r="Z33" s="110" t="n">
        <v>0.05</v>
      </c>
    </row>
    <row r="34" customFormat="false" ht="15.75" hidden="false" customHeight="false" outlineLevel="0" collapsed="false">
      <c r="A34" s="57" t="n">
        <v>32</v>
      </c>
      <c r="B34" s="111" t="n">
        <v>-0.0033</v>
      </c>
      <c r="C34" s="108" t="n">
        <v>0.0017</v>
      </c>
      <c r="D34" s="108" t="n">
        <v>0.0067</v>
      </c>
      <c r="E34" s="108" t="n">
        <v>0.0101</v>
      </c>
      <c r="F34" s="108" t="n">
        <v>0.0135</v>
      </c>
      <c r="G34" s="108" t="n">
        <v>0.0168</v>
      </c>
      <c r="H34" s="108" t="n">
        <v>0.0202</v>
      </c>
      <c r="I34" s="108" t="n">
        <v>0.0236</v>
      </c>
      <c r="J34" s="108" t="n">
        <v>0.0269</v>
      </c>
      <c r="K34" s="108" t="n">
        <v>0.0303</v>
      </c>
      <c r="L34" s="108" t="n">
        <v>0.0337</v>
      </c>
      <c r="M34" s="108" t="n">
        <v>0.037</v>
      </c>
      <c r="N34" s="108" t="n">
        <v>0.0404</v>
      </c>
      <c r="O34" s="108" t="n">
        <v>0.0438</v>
      </c>
      <c r="P34" s="108" t="n">
        <v>0.0471</v>
      </c>
      <c r="Q34" s="108" t="n">
        <v>0.0505</v>
      </c>
      <c r="R34" s="108" t="n">
        <v>0.0539</v>
      </c>
      <c r="S34" s="108" t="n">
        <v>0.0572</v>
      </c>
      <c r="T34" s="108" t="n">
        <v>0.0606</v>
      </c>
      <c r="U34" s="108" t="n">
        <v>0.064</v>
      </c>
      <c r="V34" s="108" t="n">
        <v>0.0673</v>
      </c>
      <c r="W34" s="109" t="n">
        <v>-0.0998</v>
      </c>
      <c r="X34" s="110" t="n">
        <v>0</v>
      </c>
      <c r="Y34" s="110" t="n">
        <v>0.03</v>
      </c>
      <c r="Z34" s="110" t="n">
        <v>0.05</v>
      </c>
    </row>
    <row r="35" customFormat="false" ht="15.75" hidden="false" customHeight="false" outlineLevel="0" collapsed="false">
      <c r="A35" s="57" t="n">
        <v>33</v>
      </c>
      <c r="B35" s="111" t="n">
        <v>-0.0132</v>
      </c>
      <c r="C35" s="112" t="n">
        <v>-0.0082</v>
      </c>
      <c r="D35" s="108" t="n">
        <v>0.009</v>
      </c>
      <c r="E35" s="108" t="n">
        <v>0.0135</v>
      </c>
      <c r="F35" s="108" t="n">
        <v>0.018</v>
      </c>
      <c r="G35" s="108" t="n">
        <v>0.0225</v>
      </c>
      <c r="H35" s="108" t="n">
        <v>0.027</v>
      </c>
      <c r="I35" s="108" t="n">
        <v>0.0315</v>
      </c>
      <c r="J35" s="108" t="n">
        <v>0.036</v>
      </c>
      <c r="K35" s="108" t="n">
        <v>0.0405</v>
      </c>
      <c r="L35" s="108" t="n">
        <v>0.045</v>
      </c>
      <c r="M35" s="108" t="n">
        <v>0.0495</v>
      </c>
      <c r="N35" s="108" t="n">
        <v>0.054</v>
      </c>
      <c r="O35" s="108" t="n">
        <v>0.0585</v>
      </c>
      <c r="P35" s="108" t="n">
        <v>0.063</v>
      </c>
      <c r="Q35" s="108" t="n">
        <v>0.0675</v>
      </c>
      <c r="R35" s="108" t="n">
        <v>0.072</v>
      </c>
      <c r="S35" s="108" t="n">
        <v>0.0765</v>
      </c>
      <c r="T35" s="108" t="n">
        <v>0.081</v>
      </c>
      <c r="U35" s="108" t="n">
        <v>0.0855</v>
      </c>
      <c r="V35" s="108" t="n">
        <v>0.09</v>
      </c>
      <c r="W35" s="109" t="n">
        <v>0.1271</v>
      </c>
      <c r="X35" s="110" t="n">
        <v>0</v>
      </c>
      <c r="Y35" s="110" t="n">
        <v>0.03</v>
      </c>
      <c r="Z35" s="110" t="n">
        <v>0.05</v>
      </c>
    </row>
    <row r="36" customFormat="false" ht="15.75" hidden="false" customHeight="false" outlineLevel="0" collapsed="false">
      <c r="A36" s="57" t="n">
        <v>34</v>
      </c>
      <c r="B36" s="107" t="n">
        <v>0.0134</v>
      </c>
      <c r="C36" s="108" t="n">
        <v>0.0184</v>
      </c>
      <c r="D36" s="108" t="n">
        <v>0.022</v>
      </c>
      <c r="E36" s="108" t="n">
        <v>0.033</v>
      </c>
      <c r="F36" s="108" t="n">
        <v>0.044</v>
      </c>
      <c r="G36" s="108" t="n">
        <v>0.055</v>
      </c>
      <c r="H36" s="108" t="n">
        <v>0.066</v>
      </c>
      <c r="I36" s="108" t="n">
        <v>0.077</v>
      </c>
      <c r="J36" s="108" t="n">
        <v>0.088</v>
      </c>
      <c r="K36" s="108" t="n">
        <v>0.099</v>
      </c>
      <c r="L36" s="108" t="n">
        <v>0.11</v>
      </c>
      <c r="M36" s="108" t="n">
        <v>0.121</v>
      </c>
      <c r="N36" s="108" t="n">
        <v>0.132</v>
      </c>
      <c r="O36" s="108" t="n">
        <v>0.143</v>
      </c>
      <c r="P36" s="108" t="n">
        <v>0.154</v>
      </c>
      <c r="Q36" s="108" t="n">
        <v>0.165</v>
      </c>
      <c r="R36" s="108" t="n">
        <v>0.176</v>
      </c>
      <c r="S36" s="108" t="n">
        <v>0.187</v>
      </c>
      <c r="T36" s="108" t="n">
        <v>0.198</v>
      </c>
      <c r="U36" s="108" t="n">
        <v>0.209</v>
      </c>
      <c r="V36" s="108" t="n">
        <v>0.22</v>
      </c>
      <c r="W36" s="109" t="n">
        <v>0.1858</v>
      </c>
      <c r="X36" s="110" t="n">
        <v>0</v>
      </c>
      <c r="Y36" s="110" t="n">
        <v>0.03</v>
      </c>
      <c r="Z36" s="110" t="n">
        <v>0.05</v>
      </c>
    </row>
    <row r="37" customFormat="false" ht="15.75" hidden="false" customHeight="false" outlineLevel="0" collapsed="false">
      <c r="A37" s="57" t="n">
        <v>35</v>
      </c>
      <c r="B37" s="107" t="n">
        <v>0.011</v>
      </c>
      <c r="C37" s="108" t="n">
        <v>0.016</v>
      </c>
      <c r="D37" s="108" t="n">
        <v>0.0175</v>
      </c>
      <c r="E37" s="108" t="n">
        <v>0.0262</v>
      </c>
      <c r="F37" s="108" t="n">
        <v>0.035</v>
      </c>
      <c r="G37" s="108" t="n">
        <v>0.0437</v>
      </c>
      <c r="H37" s="108" t="n">
        <v>0.0525</v>
      </c>
      <c r="I37" s="108" t="n">
        <v>0.0612</v>
      </c>
      <c r="J37" s="108" t="n">
        <v>0.07</v>
      </c>
      <c r="K37" s="108" t="n">
        <v>0.0788</v>
      </c>
      <c r="L37" s="108" t="n">
        <v>0.0875</v>
      </c>
      <c r="M37" s="108" t="n">
        <v>0.0963</v>
      </c>
      <c r="N37" s="108" t="n">
        <v>0.105</v>
      </c>
      <c r="O37" s="108" t="n">
        <v>0.1138</v>
      </c>
      <c r="P37" s="108" t="n">
        <v>0.1225</v>
      </c>
      <c r="Q37" s="108" t="n">
        <v>0.1313</v>
      </c>
      <c r="R37" s="108" t="n">
        <v>0.14</v>
      </c>
      <c r="S37" s="108" t="n">
        <v>0.1487</v>
      </c>
      <c r="T37" s="108" t="n">
        <v>0.1575</v>
      </c>
      <c r="U37" s="108" t="n">
        <v>0.1663</v>
      </c>
      <c r="V37" s="108" t="n">
        <v>0.175</v>
      </c>
      <c r="W37" s="109" t="n">
        <v>0.0081</v>
      </c>
      <c r="X37" s="110" t="n">
        <v>0</v>
      </c>
      <c r="Y37" s="110" t="n">
        <v>0.03</v>
      </c>
      <c r="Z37" s="110" t="n">
        <v>0.05</v>
      </c>
    </row>
    <row r="38" customFormat="false" ht="15.75" hidden="false" customHeight="false" outlineLevel="0" collapsed="false">
      <c r="A38" s="57" t="n">
        <v>36</v>
      </c>
      <c r="B38" s="111" t="n">
        <v>-0.0075</v>
      </c>
      <c r="C38" s="112" t="n">
        <v>-0.0025</v>
      </c>
      <c r="D38" s="112" t="n">
        <v>-0.0093</v>
      </c>
      <c r="E38" s="112" t="n">
        <v>-0.014</v>
      </c>
      <c r="F38" s="112" t="n">
        <v>-0.0187</v>
      </c>
      <c r="G38" s="112" t="n">
        <v>-0.0233</v>
      </c>
      <c r="H38" s="112" t="n">
        <v>-0.028</v>
      </c>
      <c r="I38" s="112" t="n">
        <v>-0.0327</v>
      </c>
      <c r="J38" s="112" t="n">
        <v>-0.0373</v>
      </c>
      <c r="K38" s="112" t="n">
        <v>-0.042</v>
      </c>
      <c r="L38" s="112" t="n">
        <v>-0.0467</v>
      </c>
      <c r="M38" s="112" t="n">
        <v>-0.0513</v>
      </c>
      <c r="N38" s="112" t="n">
        <v>-0.056</v>
      </c>
      <c r="O38" s="112" t="n">
        <v>-0.0607</v>
      </c>
      <c r="P38" s="112" t="n">
        <v>-0.0653</v>
      </c>
      <c r="Q38" s="112" t="n">
        <v>-0.07</v>
      </c>
      <c r="R38" s="112" t="n">
        <v>-0.0747</v>
      </c>
      <c r="S38" s="112" t="n">
        <v>-0.0793</v>
      </c>
      <c r="T38" s="112" t="n">
        <v>-0.084</v>
      </c>
      <c r="U38" s="112" t="n">
        <v>-0.0887</v>
      </c>
      <c r="V38" s="112" t="n">
        <v>-0.0933</v>
      </c>
      <c r="W38" s="109" t="n">
        <v>0.2674</v>
      </c>
      <c r="X38" s="110" t="n">
        <v>0</v>
      </c>
      <c r="Y38" s="110" t="n">
        <v>0.03</v>
      </c>
      <c r="Z38" s="110" t="n">
        <v>0.05</v>
      </c>
    </row>
    <row r="39" customFormat="false" ht="15.75" hidden="false" customHeight="false" outlineLevel="0" collapsed="false">
      <c r="A39" s="57" t="n">
        <v>37</v>
      </c>
      <c r="B39" s="111" t="n">
        <v>-0.0181</v>
      </c>
      <c r="C39" s="112" t="n">
        <v>-0.0131</v>
      </c>
      <c r="D39" s="112" t="n">
        <v>-0.0142</v>
      </c>
      <c r="E39" s="112" t="n">
        <v>-0.0213</v>
      </c>
      <c r="F39" s="112" t="n">
        <v>-0.0283</v>
      </c>
      <c r="G39" s="112" t="n">
        <v>-0.0354</v>
      </c>
      <c r="H39" s="112" t="n">
        <v>-0.0425</v>
      </c>
      <c r="I39" s="112" t="n">
        <v>-0.0496</v>
      </c>
      <c r="J39" s="112" t="n">
        <v>-0.0567</v>
      </c>
      <c r="K39" s="112" t="n">
        <v>-0.0638</v>
      </c>
      <c r="L39" s="112" t="n">
        <v>-0.0708</v>
      </c>
      <c r="M39" s="112" t="n">
        <v>-0.0779</v>
      </c>
      <c r="N39" s="112" t="n">
        <v>-0.085</v>
      </c>
      <c r="O39" s="112" t="n">
        <v>-0.0921</v>
      </c>
      <c r="P39" s="112" t="n">
        <v>-0.0992</v>
      </c>
      <c r="Q39" s="112" t="n">
        <v>-0.1063</v>
      </c>
      <c r="R39" s="112" t="n">
        <v>-0.1133</v>
      </c>
      <c r="S39" s="112" t="n">
        <v>-0.1204</v>
      </c>
      <c r="T39" s="112" t="n">
        <v>-0.1275</v>
      </c>
      <c r="U39" s="112" t="n">
        <v>-0.1346</v>
      </c>
      <c r="V39" s="112" t="n">
        <v>-0.1417</v>
      </c>
      <c r="W39" s="109" t="n">
        <v>0.1759</v>
      </c>
      <c r="X39" s="110" t="n">
        <v>0</v>
      </c>
      <c r="Y39" s="110" t="n">
        <v>0.03</v>
      </c>
      <c r="Z39" s="110" t="n">
        <v>0.05</v>
      </c>
    </row>
    <row r="40" customFormat="false" ht="15.75" hidden="false" customHeight="false" outlineLevel="0" collapsed="false">
      <c r="A40" s="57" t="n">
        <v>38</v>
      </c>
      <c r="B40" s="111" t="n">
        <v>-0.037</v>
      </c>
      <c r="C40" s="112" t="n">
        <v>-0.031</v>
      </c>
      <c r="D40" s="112" t="n">
        <v>-0.027</v>
      </c>
      <c r="E40" s="112" t="n">
        <v>-0.0405</v>
      </c>
      <c r="F40" s="112" t="n">
        <v>-0.0539</v>
      </c>
      <c r="G40" s="112" t="n">
        <v>-0.0674</v>
      </c>
      <c r="H40" s="112" t="n">
        <v>-0.0809</v>
      </c>
      <c r="I40" s="112" t="n">
        <v>-0.0944</v>
      </c>
      <c r="J40" s="112" t="n">
        <v>-0.1079</v>
      </c>
      <c r="K40" s="112" t="n">
        <v>-0.1214</v>
      </c>
      <c r="L40" s="112" t="n">
        <v>-0.1348</v>
      </c>
      <c r="M40" s="112" t="n">
        <v>-0.1483</v>
      </c>
      <c r="N40" s="112" t="n">
        <v>-0.1618</v>
      </c>
      <c r="O40" s="112" t="n">
        <v>-0.1753</v>
      </c>
      <c r="P40" s="112" t="n">
        <v>-0.1888</v>
      </c>
      <c r="Q40" s="112" t="n">
        <v>-0.2023</v>
      </c>
      <c r="R40" s="112" t="n">
        <v>-0.2157</v>
      </c>
      <c r="S40" s="112" t="n">
        <v>-0.2292</v>
      </c>
      <c r="T40" s="112" t="n">
        <v>-0.2427</v>
      </c>
      <c r="U40" s="112" t="n">
        <v>-0.2562</v>
      </c>
      <c r="V40" s="112" t="n">
        <v>-0.2697</v>
      </c>
      <c r="W40" s="109" t="n">
        <v>0.0385</v>
      </c>
      <c r="X40" s="110" t="n">
        <v>0</v>
      </c>
      <c r="Y40" s="110" t="n">
        <v>0.03</v>
      </c>
      <c r="Z40" s="110" t="n">
        <v>0.05</v>
      </c>
    </row>
    <row r="41" customFormat="false" ht="15.75" hidden="false" customHeight="false" outlineLevel="0" collapsed="false">
      <c r="A41" s="57" t="n">
        <v>39</v>
      </c>
      <c r="B41" s="111" t="n">
        <v>-0.0203</v>
      </c>
      <c r="C41" s="112" t="n">
        <v>-0.0153</v>
      </c>
      <c r="D41" s="108" t="n">
        <v>0.0152</v>
      </c>
      <c r="E41" s="108" t="n">
        <v>0.0228</v>
      </c>
      <c r="F41" s="108" t="n">
        <v>0.0303</v>
      </c>
      <c r="G41" s="108" t="n">
        <v>0.0379</v>
      </c>
      <c r="H41" s="108" t="n">
        <v>0.0455</v>
      </c>
      <c r="I41" s="108" t="n">
        <v>0.0531</v>
      </c>
      <c r="J41" s="108" t="n">
        <v>0.0607</v>
      </c>
      <c r="K41" s="108" t="n">
        <v>0.0683</v>
      </c>
      <c r="L41" s="108" t="n">
        <v>0.0758</v>
      </c>
      <c r="M41" s="108" t="n">
        <v>0.0834</v>
      </c>
      <c r="N41" s="108" t="n">
        <v>0.091</v>
      </c>
      <c r="O41" s="108" t="n">
        <v>0.0986</v>
      </c>
      <c r="P41" s="108" t="n">
        <v>0.1062</v>
      </c>
      <c r="Q41" s="108" t="n">
        <v>0.1138</v>
      </c>
      <c r="R41" s="108" t="n">
        <v>0.1213</v>
      </c>
      <c r="S41" s="108" t="n">
        <v>0.1289</v>
      </c>
      <c r="T41" s="108" t="n">
        <v>0.1365</v>
      </c>
      <c r="U41" s="108" t="n">
        <v>0.1441</v>
      </c>
      <c r="V41" s="108" t="n">
        <v>0.1517</v>
      </c>
      <c r="W41" s="109" t="n">
        <v>0.0757</v>
      </c>
      <c r="X41" s="110" t="n">
        <v>0</v>
      </c>
      <c r="Y41" s="110" t="n">
        <v>0.03</v>
      </c>
      <c r="Z41" s="110" t="n">
        <v>0.05</v>
      </c>
    </row>
    <row r="42" customFormat="false" ht="15.75" hidden="false" customHeight="false" outlineLevel="0" collapsed="false">
      <c r="A42" s="57" t="n">
        <v>40</v>
      </c>
      <c r="B42" s="111" t="n">
        <v>-0.005</v>
      </c>
      <c r="C42" s="108" t="n">
        <v>0</v>
      </c>
      <c r="D42" s="108" t="n">
        <v>0.0087</v>
      </c>
      <c r="E42" s="108" t="n">
        <v>0.013</v>
      </c>
      <c r="F42" s="108" t="n">
        <v>0.0173</v>
      </c>
      <c r="G42" s="108" t="n">
        <v>0.0217</v>
      </c>
      <c r="H42" s="108" t="n">
        <v>0.026</v>
      </c>
      <c r="I42" s="108" t="n">
        <v>0.0303</v>
      </c>
      <c r="J42" s="108" t="n">
        <v>0.0347</v>
      </c>
      <c r="K42" s="108" t="n">
        <v>0.039</v>
      </c>
      <c r="L42" s="108" t="n">
        <v>0.0433</v>
      </c>
      <c r="M42" s="108" t="n">
        <v>0.0477</v>
      </c>
      <c r="N42" s="108" t="n">
        <v>0.052</v>
      </c>
      <c r="O42" s="108" t="n">
        <v>0.0563</v>
      </c>
      <c r="P42" s="108" t="n">
        <v>0.0607</v>
      </c>
      <c r="Q42" s="108" t="n">
        <v>0.065</v>
      </c>
      <c r="R42" s="108" t="n">
        <v>0.0693</v>
      </c>
      <c r="S42" s="108" t="n">
        <v>0.0737</v>
      </c>
      <c r="T42" s="108" t="n">
        <v>0.078</v>
      </c>
      <c r="U42" s="108" t="n">
        <v>0.0823</v>
      </c>
      <c r="V42" s="108" t="n">
        <v>0.0867</v>
      </c>
      <c r="W42" s="109" t="n">
        <v>0.3065</v>
      </c>
      <c r="X42" s="110" t="n">
        <v>0</v>
      </c>
      <c r="Y42" s="110" t="n">
        <v>0.03</v>
      </c>
      <c r="Z42" s="110" t="n">
        <v>0.05</v>
      </c>
    </row>
    <row r="43" customFormat="false" ht="15.75" hidden="false" customHeight="false" outlineLevel="0" collapsed="false">
      <c r="A43" s="57" t="n">
        <v>41</v>
      </c>
      <c r="B43" s="111" t="n">
        <v>-0.0064</v>
      </c>
      <c r="C43" s="112" t="n">
        <v>-0.0014</v>
      </c>
      <c r="D43" s="108" t="n">
        <v>0.0202</v>
      </c>
      <c r="E43" s="108" t="n">
        <v>0.0303</v>
      </c>
      <c r="F43" s="108" t="n">
        <v>0.0403</v>
      </c>
      <c r="G43" s="108" t="n">
        <v>0.0504</v>
      </c>
      <c r="H43" s="108" t="n">
        <v>0.0605</v>
      </c>
      <c r="I43" s="108" t="n">
        <v>0.0706</v>
      </c>
      <c r="J43" s="108" t="n">
        <v>0.0807</v>
      </c>
      <c r="K43" s="108" t="n">
        <v>0.0908</v>
      </c>
      <c r="L43" s="108" t="n">
        <v>0.1008</v>
      </c>
      <c r="M43" s="108" t="n">
        <v>0.1109</v>
      </c>
      <c r="N43" s="108" t="n">
        <v>0.121</v>
      </c>
      <c r="O43" s="108" t="n">
        <v>0.1311</v>
      </c>
      <c r="P43" s="108" t="n">
        <v>0.1412</v>
      </c>
      <c r="Q43" s="108" t="n">
        <v>0.1513</v>
      </c>
      <c r="R43" s="108" t="n">
        <v>0.1613</v>
      </c>
      <c r="S43" s="108" t="n">
        <v>0.1714</v>
      </c>
      <c r="T43" s="108" t="n">
        <v>0.1815</v>
      </c>
      <c r="U43" s="108" t="n">
        <v>0.1916</v>
      </c>
      <c r="V43" s="108" t="n">
        <v>0.2017</v>
      </c>
      <c r="W43" s="109" t="n">
        <v>-0.0924</v>
      </c>
      <c r="X43" s="110" t="n">
        <v>0</v>
      </c>
      <c r="Y43" s="110" t="n">
        <v>0.03</v>
      </c>
      <c r="Z43" s="110" t="n">
        <v>0.05</v>
      </c>
    </row>
    <row r="44" customFormat="false" ht="15.75" hidden="false" customHeight="false" outlineLevel="0" collapsed="false">
      <c r="A44" s="57" t="n">
        <v>42</v>
      </c>
      <c r="B44" s="111" t="n">
        <v>-0.0057</v>
      </c>
      <c r="C44" s="112" t="n">
        <v>-0.0007</v>
      </c>
      <c r="D44" s="108" t="n">
        <v>0.0168</v>
      </c>
      <c r="E44" s="108" t="n">
        <v>0.0252</v>
      </c>
      <c r="F44" s="108" t="n">
        <v>0.0337</v>
      </c>
      <c r="G44" s="108" t="n">
        <v>0.0421</v>
      </c>
      <c r="H44" s="108" t="n">
        <v>0.0505</v>
      </c>
      <c r="I44" s="108" t="n">
        <v>0.0589</v>
      </c>
      <c r="J44" s="108" t="n">
        <v>0.0673</v>
      </c>
      <c r="K44" s="108" t="n">
        <v>0.0757</v>
      </c>
      <c r="L44" s="108" t="n">
        <v>0.0842</v>
      </c>
      <c r="M44" s="108" t="n">
        <v>0.0926</v>
      </c>
      <c r="N44" s="108" t="n">
        <v>0.101</v>
      </c>
      <c r="O44" s="108" t="n">
        <v>0.1094</v>
      </c>
      <c r="P44" s="108" t="n">
        <v>0.1178</v>
      </c>
      <c r="Q44" s="108" t="n">
        <v>0.1262</v>
      </c>
      <c r="R44" s="108" t="n">
        <v>0.1347</v>
      </c>
      <c r="S44" s="108" t="n">
        <v>0.1431</v>
      </c>
      <c r="T44" s="108" t="n">
        <v>0.1515</v>
      </c>
      <c r="U44" s="108" t="n">
        <v>0.1599</v>
      </c>
      <c r="V44" s="108" t="n">
        <v>0.1683</v>
      </c>
      <c r="W44" s="109" t="n">
        <v>0.2782</v>
      </c>
      <c r="X44" s="110" t="n">
        <v>0</v>
      </c>
      <c r="Y44" s="110" t="n">
        <v>0.03</v>
      </c>
      <c r="Z44" s="110" t="n">
        <v>0.05</v>
      </c>
    </row>
    <row r="45" customFormat="false" ht="15.75" hidden="false" customHeight="false" outlineLevel="0" collapsed="false">
      <c r="A45" s="57" t="n">
        <v>43</v>
      </c>
      <c r="B45" s="107" t="n">
        <v>0.0023</v>
      </c>
      <c r="C45" s="108" t="n">
        <v>0.0073</v>
      </c>
      <c r="D45" s="108" t="n">
        <v>0.0163</v>
      </c>
      <c r="E45" s="108" t="n">
        <v>0.0245</v>
      </c>
      <c r="F45" s="108" t="n">
        <v>0.0327</v>
      </c>
      <c r="G45" s="108" t="n">
        <v>0.0408</v>
      </c>
      <c r="H45" s="108" t="n">
        <v>0.049</v>
      </c>
      <c r="I45" s="108" t="n">
        <v>0.0572</v>
      </c>
      <c r="J45" s="108" t="n">
        <v>0.0653</v>
      </c>
      <c r="K45" s="108" t="n">
        <v>0.0735</v>
      </c>
      <c r="L45" s="108" t="n">
        <v>0.0817</v>
      </c>
      <c r="M45" s="108" t="n">
        <v>0.0898</v>
      </c>
      <c r="N45" s="108" t="n">
        <v>0.098</v>
      </c>
      <c r="O45" s="108" t="n">
        <v>0.1062</v>
      </c>
      <c r="P45" s="108" t="n">
        <v>0.1143</v>
      </c>
      <c r="Q45" s="108" t="n">
        <v>0.1225</v>
      </c>
      <c r="R45" s="108" t="n">
        <v>0.1307</v>
      </c>
      <c r="S45" s="108" t="n">
        <v>0.1388</v>
      </c>
      <c r="T45" s="108" t="n">
        <v>0.147</v>
      </c>
      <c r="U45" s="108" t="n">
        <v>0.1552</v>
      </c>
      <c r="V45" s="108" t="n">
        <v>0.1633</v>
      </c>
      <c r="W45" s="109" t="n">
        <v>0.0434</v>
      </c>
      <c r="X45" s="110" t="n">
        <v>0</v>
      </c>
      <c r="Y45" s="110" t="n">
        <v>0.03</v>
      </c>
      <c r="Z45" s="110" t="n">
        <v>0.05</v>
      </c>
    </row>
    <row r="46" customFormat="false" ht="15.75" hidden="false" customHeight="false" outlineLevel="0" collapsed="false">
      <c r="A46" s="57" t="n">
        <v>44</v>
      </c>
      <c r="B46" s="107" t="n">
        <v>0.0125</v>
      </c>
      <c r="C46" s="108" t="n">
        <v>0.0175</v>
      </c>
      <c r="D46" s="112" t="n">
        <v>-0.0422</v>
      </c>
      <c r="E46" s="112" t="n">
        <v>-0.0633</v>
      </c>
      <c r="F46" s="112" t="n">
        <v>-0.0843</v>
      </c>
      <c r="G46" s="112" t="n">
        <v>-0.1054</v>
      </c>
      <c r="H46" s="112" t="n">
        <v>-0.1265</v>
      </c>
      <c r="I46" s="112" t="n">
        <v>-0.1476</v>
      </c>
      <c r="J46" s="112" t="n">
        <v>-0.1687</v>
      </c>
      <c r="K46" s="112" t="n">
        <v>-0.1898</v>
      </c>
      <c r="L46" s="112" t="n">
        <v>-0.2108</v>
      </c>
      <c r="M46" s="112" t="n">
        <v>-0.2319</v>
      </c>
      <c r="N46" s="112" t="n">
        <v>-0.253</v>
      </c>
      <c r="O46" s="112" t="n">
        <v>-0.2741</v>
      </c>
      <c r="P46" s="112" t="n">
        <v>-0.2952</v>
      </c>
      <c r="Q46" s="112" t="n">
        <v>-0.3163</v>
      </c>
      <c r="R46" s="112" t="n">
        <v>-0.3373</v>
      </c>
      <c r="S46" s="112" t="n">
        <v>-0.3584</v>
      </c>
      <c r="T46" s="112" t="n">
        <v>-0.3795</v>
      </c>
      <c r="U46" s="112" t="n">
        <v>-0.4006</v>
      </c>
      <c r="V46" s="112" t="n">
        <v>-0.4217</v>
      </c>
      <c r="W46" s="109" t="n">
        <v>0.069</v>
      </c>
      <c r="X46" s="110" t="n">
        <v>0</v>
      </c>
      <c r="Y46" s="110" t="n">
        <v>0.03</v>
      </c>
      <c r="Z46" s="110" t="n">
        <v>0.05</v>
      </c>
    </row>
    <row r="47" customFormat="false" ht="15.75" hidden="false" customHeight="false" outlineLevel="0" collapsed="false">
      <c r="A47" s="57" t="n">
        <v>45</v>
      </c>
      <c r="B47" s="107" t="n">
        <v>0.006</v>
      </c>
      <c r="C47" s="108" t="n">
        <v>0.011</v>
      </c>
      <c r="D47" s="108" t="n">
        <v>0.022</v>
      </c>
      <c r="E47" s="108" t="n">
        <v>0.033</v>
      </c>
      <c r="F47" s="108" t="n">
        <v>0.044</v>
      </c>
      <c r="G47" s="108" t="n">
        <v>0.055</v>
      </c>
      <c r="H47" s="108" t="n">
        <v>0.066</v>
      </c>
      <c r="I47" s="108" t="n">
        <v>0.077</v>
      </c>
      <c r="J47" s="108" t="n">
        <v>0.088</v>
      </c>
      <c r="K47" s="108" t="n">
        <v>0.099</v>
      </c>
      <c r="L47" s="108" t="n">
        <v>0.11</v>
      </c>
      <c r="M47" s="108" t="n">
        <v>0.121</v>
      </c>
      <c r="N47" s="108" t="n">
        <v>0.132</v>
      </c>
      <c r="O47" s="108" t="n">
        <v>0.143</v>
      </c>
      <c r="P47" s="108" t="n">
        <v>0.154</v>
      </c>
      <c r="Q47" s="108" t="n">
        <v>0.165</v>
      </c>
      <c r="R47" s="108" t="n">
        <v>0.176</v>
      </c>
      <c r="S47" s="108" t="n">
        <v>0.187</v>
      </c>
      <c r="T47" s="108" t="n">
        <v>0.198</v>
      </c>
      <c r="U47" s="108" t="n">
        <v>0.209</v>
      </c>
      <c r="V47" s="108" t="n">
        <v>0.22</v>
      </c>
      <c r="W47" s="109" t="n">
        <v>-0.0136</v>
      </c>
      <c r="X47" s="110" t="n">
        <v>0</v>
      </c>
      <c r="Y47" s="110" t="n">
        <v>0.03</v>
      </c>
      <c r="Z47" s="110" t="n">
        <v>0.05</v>
      </c>
    </row>
    <row r="48" customFormat="false" ht="15.75" hidden="false" customHeight="false" outlineLevel="0" collapsed="false">
      <c r="A48" s="57" t="n">
        <v>46</v>
      </c>
      <c r="B48" s="111" t="n">
        <v>-0.0217</v>
      </c>
      <c r="C48" s="112" t="n">
        <v>-0.0167</v>
      </c>
      <c r="D48" s="108" t="n">
        <v>0.0087</v>
      </c>
      <c r="E48" s="108" t="n">
        <v>0.013</v>
      </c>
      <c r="F48" s="108" t="n">
        <v>0.0173</v>
      </c>
      <c r="G48" s="108" t="n">
        <v>0.0217</v>
      </c>
      <c r="H48" s="108" t="n">
        <v>0.026</v>
      </c>
      <c r="I48" s="108" t="n">
        <v>0.0303</v>
      </c>
      <c r="J48" s="108" t="n">
        <v>0.0347</v>
      </c>
      <c r="K48" s="108" t="n">
        <v>0.039</v>
      </c>
      <c r="L48" s="108" t="n">
        <v>0.0433</v>
      </c>
      <c r="M48" s="108" t="n">
        <v>0.0477</v>
      </c>
      <c r="N48" s="108" t="n">
        <v>0.052</v>
      </c>
      <c r="O48" s="108" t="n">
        <v>0.0563</v>
      </c>
      <c r="P48" s="108" t="n">
        <v>0.0607</v>
      </c>
      <c r="Q48" s="108" t="n">
        <v>0.065</v>
      </c>
      <c r="R48" s="108" t="n">
        <v>0.0693</v>
      </c>
      <c r="S48" s="108" t="n">
        <v>0.0737</v>
      </c>
      <c r="T48" s="108" t="n">
        <v>0.078</v>
      </c>
      <c r="U48" s="108" t="n">
        <v>0.0823</v>
      </c>
      <c r="V48" s="108" t="n">
        <v>0.0867</v>
      </c>
      <c r="W48" s="109" t="n">
        <v>0.352</v>
      </c>
      <c r="X48" s="110" t="n">
        <v>0</v>
      </c>
      <c r="Y48" s="110" t="n">
        <v>0.03</v>
      </c>
      <c r="Z48" s="110" t="n">
        <v>0.05</v>
      </c>
    </row>
    <row r="49" customFormat="false" ht="15.75" hidden="false" customHeight="false" outlineLevel="0" collapsed="false">
      <c r="A49" s="57" t="n">
        <v>47</v>
      </c>
      <c r="B49" s="111" t="n">
        <v>-0.0026</v>
      </c>
      <c r="C49" s="108" t="n">
        <v>0.0024</v>
      </c>
      <c r="D49" s="108" t="n">
        <v>0.0074</v>
      </c>
      <c r="E49" s="108" t="n">
        <v>0.0111</v>
      </c>
      <c r="F49" s="108" t="n">
        <v>0.0149</v>
      </c>
      <c r="G49" s="108" t="n">
        <v>0.0186</v>
      </c>
      <c r="H49" s="108" t="n">
        <v>0.0223</v>
      </c>
      <c r="I49" s="108" t="n">
        <v>0.026</v>
      </c>
      <c r="J49" s="108" t="n">
        <v>0.0297</v>
      </c>
      <c r="K49" s="108" t="n">
        <v>0.0334</v>
      </c>
      <c r="L49" s="108" t="n">
        <v>0.0372</v>
      </c>
      <c r="M49" s="108" t="n">
        <v>0.0409</v>
      </c>
      <c r="N49" s="108" t="n">
        <v>0.0446</v>
      </c>
      <c r="O49" s="108" t="n">
        <v>0.0483</v>
      </c>
      <c r="P49" s="108" t="n">
        <v>0.052</v>
      </c>
      <c r="Q49" s="108" t="n">
        <v>0.0557</v>
      </c>
      <c r="R49" s="108" t="n">
        <v>0.0595</v>
      </c>
      <c r="S49" s="108" t="n">
        <v>0.0632</v>
      </c>
      <c r="T49" s="108" t="n">
        <v>0.0669</v>
      </c>
      <c r="U49" s="108" t="n">
        <v>0.0706</v>
      </c>
      <c r="V49" s="108" t="n">
        <v>0.0743</v>
      </c>
      <c r="W49" s="109" t="n">
        <v>0.1873</v>
      </c>
      <c r="X49" s="110" t="n">
        <v>0</v>
      </c>
      <c r="Y49" s="110" t="n">
        <v>0.03</v>
      </c>
      <c r="Z49" s="110" t="n">
        <v>0.05</v>
      </c>
    </row>
    <row r="50" customFormat="false" ht="15.75" hidden="false" customHeight="false" outlineLevel="0" collapsed="false">
      <c r="A50" s="57" t="n">
        <v>48</v>
      </c>
      <c r="B50" s="107" t="n">
        <v>0.0101</v>
      </c>
      <c r="C50" s="108" t="n">
        <v>0.0151</v>
      </c>
      <c r="D50" s="108" t="n">
        <v>0.0201</v>
      </c>
      <c r="E50" s="108" t="n">
        <v>0.0302</v>
      </c>
      <c r="F50" s="108" t="n">
        <v>0.0402</v>
      </c>
      <c r="G50" s="108" t="n">
        <v>0.0503</v>
      </c>
      <c r="H50" s="108" t="n">
        <v>0.0604</v>
      </c>
      <c r="I50" s="108" t="n">
        <v>0.0704</v>
      </c>
      <c r="J50" s="108" t="n">
        <v>0.0805</v>
      </c>
      <c r="K50" s="108" t="n">
        <v>0.0905</v>
      </c>
      <c r="L50" s="108" t="n">
        <v>0.1006</v>
      </c>
      <c r="M50" s="108" t="n">
        <v>0.1106</v>
      </c>
      <c r="N50" s="108" t="n">
        <v>0.1207</v>
      </c>
      <c r="O50" s="108" t="n">
        <v>0.1308</v>
      </c>
      <c r="P50" s="108" t="n">
        <v>0.1408</v>
      </c>
      <c r="Q50" s="108" t="n">
        <v>0.1509</v>
      </c>
      <c r="R50" s="108" t="n">
        <v>0.1609</v>
      </c>
      <c r="S50" s="108" t="n">
        <v>0.171</v>
      </c>
      <c r="T50" s="108" t="n">
        <v>0.1811</v>
      </c>
      <c r="U50" s="108" t="n">
        <v>0.1911</v>
      </c>
      <c r="V50" s="108" t="n">
        <v>0.2012</v>
      </c>
      <c r="W50" s="109" t="n">
        <v>0.323</v>
      </c>
      <c r="X50" s="110" t="n">
        <v>0</v>
      </c>
      <c r="Y50" s="110" t="n">
        <v>0.03</v>
      </c>
      <c r="Z50" s="110" t="n">
        <v>0.05</v>
      </c>
    </row>
    <row r="51" customFormat="false" ht="15.75" hidden="false" customHeight="false" outlineLevel="0" collapsed="false">
      <c r="A51" s="57" t="n">
        <v>49</v>
      </c>
      <c r="B51" s="107" t="n">
        <v>0.0135</v>
      </c>
      <c r="C51" s="108" t="n">
        <v>0.0185</v>
      </c>
      <c r="D51" s="108" t="n">
        <v>0.0038</v>
      </c>
      <c r="E51" s="108" t="n">
        <v>0.0057</v>
      </c>
      <c r="F51" s="108" t="n">
        <v>0.0077</v>
      </c>
      <c r="G51" s="108" t="n">
        <v>0.0096</v>
      </c>
      <c r="H51" s="108" t="n">
        <v>0.0115</v>
      </c>
      <c r="I51" s="108" t="n">
        <v>0.0134</v>
      </c>
      <c r="J51" s="108" t="n">
        <v>0.0153</v>
      </c>
      <c r="K51" s="108" t="n">
        <v>0.0172</v>
      </c>
      <c r="L51" s="108" t="n">
        <v>0.0192</v>
      </c>
      <c r="M51" s="108" t="n">
        <v>0.0211</v>
      </c>
      <c r="N51" s="108" t="n">
        <v>0.023</v>
      </c>
      <c r="O51" s="108" t="n">
        <v>0.0249</v>
      </c>
      <c r="P51" s="108" t="n">
        <v>0.0268</v>
      </c>
      <c r="Q51" s="108" t="n">
        <v>0.0287</v>
      </c>
      <c r="R51" s="108" t="n">
        <v>0.0307</v>
      </c>
      <c r="S51" s="108" t="n">
        <v>0.0326</v>
      </c>
      <c r="T51" s="108" t="n">
        <v>0.0345</v>
      </c>
      <c r="U51" s="108" t="n">
        <v>0.0364</v>
      </c>
      <c r="V51" s="108" t="n">
        <v>0.0383</v>
      </c>
      <c r="W51" s="109" t="n">
        <v>0.2595</v>
      </c>
      <c r="X51" s="110" t="n">
        <v>0</v>
      </c>
      <c r="Y51" s="110" t="n">
        <v>0.03</v>
      </c>
      <c r="Z51" s="110" t="n">
        <v>0.05</v>
      </c>
    </row>
    <row r="52" customFormat="false" ht="15.75" hidden="false" customHeight="false" outlineLevel="0" collapsed="false">
      <c r="A52" s="57" t="n">
        <v>50</v>
      </c>
      <c r="B52" s="107" t="n">
        <v>0.0189</v>
      </c>
      <c r="C52" s="108" t="n">
        <v>0.0237</v>
      </c>
      <c r="D52" s="108" t="n">
        <v>0.0108</v>
      </c>
      <c r="E52" s="108" t="n">
        <v>0.0162</v>
      </c>
      <c r="F52" s="108" t="n">
        <v>0.0217</v>
      </c>
      <c r="G52" s="108" t="n">
        <v>0.0271</v>
      </c>
      <c r="H52" s="108" t="n">
        <v>0.0325</v>
      </c>
      <c r="I52" s="108" t="n">
        <v>0.0379</v>
      </c>
      <c r="J52" s="108" t="n">
        <v>0.0433</v>
      </c>
      <c r="K52" s="108" t="n">
        <v>0.0487</v>
      </c>
      <c r="L52" s="108" t="n">
        <v>0.0542</v>
      </c>
      <c r="M52" s="108" t="n">
        <v>0.0596</v>
      </c>
      <c r="N52" s="108" t="n">
        <v>0.065</v>
      </c>
      <c r="O52" s="108" t="n">
        <v>0.0704</v>
      </c>
      <c r="P52" s="108" t="n">
        <v>0.0758</v>
      </c>
      <c r="Q52" s="108" t="n">
        <v>0.0812</v>
      </c>
      <c r="R52" s="108" t="n">
        <v>0.0867</v>
      </c>
      <c r="S52" s="108" t="n">
        <v>0.0921</v>
      </c>
      <c r="T52" s="108" t="n">
        <v>0.0975</v>
      </c>
      <c r="U52" s="108" t="n">
        <v>0.1029</v>
      </c>
      <c r="V52" s="108" t="n">
        <v>0.1083</v>
      </c>
      <c r="W52" s="109" t="n">
        <v>0.1849</v>
      </c>
      <c r="X52" s="110" t="n">
        <v>0</v>
      </c>
      <c r="Y52" s="110" t="n">
        <v>0.03</v>
      </c>
      <c r="Z52" s="110" t="n">
        <v>0.05</v>
      </c>
    </row>
    <row r="53" customFormat="false" ht="15.75" hidden="false" customHeight="false" outlineLevel="0" collapsed="false">
      <c r="A53" s="57" t="n">
        <v>51</v>
      </c>
      <c r="B53" s="107" t="n">
        <v>0.0126</v>
      </c>
      <c r="C53" s="108" t="n">
        <v>0.0176</v>
      </c>
      <c r="D53" s="108" t="n">
        <v>0.0226</v>
      </c>
      <c r="E53" s="108" t="n">
        <v>0.0339</v>
      </c>
      <c r="F53" s="108" t="n">
        <v>0.0451</v>
      </c>
      <c r="G53" s="108" t="n">
        <v>0.0564</v>
      </c>
      <c r="H53" s="108" t="n">
        <v>0.0677</v>
      </c>
      <c r="I53" s="108" t="n">
        <v>0.079</v>
      </c>
      <c r="J53" s="108" t="n">
        <v>0.0903</v>
      </c>
      <c r="K53" s="108" t="n">
        <v>0.1016</v>
      </c>
      <c r="L53" s="108" t="n">
        <v>0.1128</v>
      </c>
      <c r="M53" s="108" t="n">
        <v>0.1241</v>
      </c>
      <c r="N53" s="108" t="n">
        <v>0.1354</v>
      </c>
      <c r="O53" s="108" t="n">
        <v>0.1467</v>
      </c>
      <c r="P53" s="108" t="n">
        <v>0.158</v>
      </c>
      <c r="Q53" s="108" t="n">
        <v>0.1693</v>
      </c>
      <c r="R53" s="108" t="n">
        <v>0.1805</v>
      </c>
      <c r="S53" s="108" t="n">
        <v>0.1918</v>
      </c>
      <c r="T53" s="108" t="n">
        <v>0.2031</v>
      </c>
      <c r="U53" s="108" t="n">
        <v>0.2144</v>
      </c>
      <c r="V53" s="108" t="n">
        <v>0.2257</v>
      </c>
      <c r="W53" s="109" t="n">
        <v>-0.1182</v>
      </c>
      <c r="X53" s="110" t="n">
        <v>0</v>
      </c>
      <c r="Y53" s="110" t="n">
        <v>0.03</v>
      </c>
      <c r="Z53" s="110" t="n">
        <v>0.05</v>
      </c>
    </row>
    <row r="54" customFormat="false" ht="15.75" hidden="false" customHeight="false" outlineLevel="0" collapsed="false">
      <c r="A54" s="57" t="n">
        <v>52</v>
      </c>
      <c r="B54" s="107" t="n">
        <v>0.0177</v>
      </c>
      <c r="C54" s="108" t="n">
        <v>0.0227</v>
      </c>
      <c r="D54" s="108" t="n">
        <v>0.0148</v>
      </c>
      <c r="E54" s="108" t="n">
        <v>0.0222</v>
      </c>
      <c r="F54" s="108" t="n">
        <v>0.0297</v>
      </c>
      <c r="G54" s="108" t="n">
        <v>0.0371</v>
      </c>
      <c r="H54" s="108" t="n">
        <v>0.0445</v>
      </c>
      <c r="I54" s="108" t="n">
        <v>0.0519</v>
      </c>
      <c r="J54" s="108" t="n">
        <v>0.0593</v>
      </c>
      <c r="K54" s="108" t="n">
        <v>0.0667</v>
      </c>
      <c r="L54" s="108" t="n">
        <v>0.0742</v>
      </c>
      <c r="M54" s="108" t="n">
        <v>0.0816</v>
      </c>
      <c r="N54" s="108" t="n">
        <v>0.089</v>
      </c>
      <c r="O54" s="108" t="n">
        <v>0.0964</v>
      </c>
      <c r="P54" s="108" t="n">
        <v>0.1038</v>
      </c>
      <c r="Q54" s="108" t="n">
        <v>0.1112</v>
      </c>
      <c r="R54" s="108" t="n">
        <v>0.1187</v>
      </c>
      <c r="S54" s="108" t="n">
        <v>0.1261</v>
      </c>
      <c r="T54" s="108" t="n">
        <v>0.1335</v>
      </c>
      <c r="U54" s="108" t="n">
        <v>0.1409</v>
      </c>
      <c r="V54" s="108" t="n">
        <v>0.1483</v>
      </c>
      <c r="W54" s="109" t="n">
        <v>-0.1002</v>
      </c>
      <c r="X54" s="110" t="n">
        <v>0</v>
      </c>
      <c r="Y54" s="110" t="n">
        <v>0.03</v>
      </c>
      <c r="Z54" s="110" t="n">
        <v>0.05</v>
      </c>
    </row>
    <row r="55" customFormat="false" ht="15.75" hidden="false" customHeight="false" outlineLevel="0" collapsed="false">
      <c r="A55" s="57" t="n">
        <v>53</v>
      </c>
      <c r="B55" s="107" t="n">
        <v>0.0291</v>
      </c>
      <c r="C55" s="108" t="n">
        <v>0.0341</v>
      </c>
      <c r="D55" s="108" t="n">
        <v>0.0237</v>
      </c>
      <c r="E55" s="108" t="n">
        <v>0.0355</v>
      </c>
      <c r="F55" s="108" t="n">
        <v>0.0473</v>
      </c>
      <c r="G55" s="108" t="n">
        <v>0.0592</v>
      </c>
      <c r="H55" s="108" t="n">
        <v>0.071</v>
      </c>
      <c r="I55" s="108" t="n">
        <v>0.0828</v>
      </c>
      <c r="J55" s="108" t="n">
        <v>0.0947</v>
      </c>
      <c r="K55" s="108" t="n">
        <v>0.1065</v>
      </c>
      <c r="L55" s="108" t="n">
        <v>0.1183</v>
      </c>
      <c r="M55" s="108" t="n">
        <v>0.1302</v>
      </c>
      <c r="N55" s="108" t="n">
        <v>0.142</v>
      </c>
      <c r="O55" s="108" t="n">
        <v>0.1538</v>
      </c>
      <c r="P55" s="108" t="n">
        <v>0.1657</v>
      </c>
      <c r="Q55" s="108" t="n">
        <v>0.1775</v>
      </c>
      <c r="R55" s="108" t="n">
        <v>0.1893</v>
      </c>
      <c r="S55" s="108" t="n">
        <v>0.2012</v>
      </c>
      <c r="T55" s="108" t="n">
        <v>0.213</v>
      </c>
      <c r="U55" s="108" t="n">
        <v>0.2248</v>
      </c>
      <c r="V55" s="108" t="n">
        <v>0.2367</v>
      </c>
      <c r="W55" s="109" t="n">
        <v>-0.2127</v>
      </c>
      <c r="X55" s="110" t="n">
        <v>0</v>
      </c>
      <c r="Y55" s="110" t="n">
        <v>0.03</v>
      </c>
      <c r="Z55" s="110" t="n">
        <v>0.05</v>
      </c>
    </row>
    <row r="56" customFormat="false" ht="15.75" hidden="false" customHeight="false" outlineLevel="0" collapsed="false">
      <c r="A56" s="57" t="n">
        <v>54</v>
      </c>
      <c r="B56" s="111" t="n">
        <v>-0.0071</v>
      </c>
      <c r="C56" s="112" t="n">
        <v>-0.0021</v>
      </c>
      <c r="D56" s="108" t="n">
        <v>0.0163</v>
      </c>
      <c r="E56" s="108" t="n">
        <v>0.0245</v>
      </c>
      <c r="F56" s="108" t="n">
        <v>0.0327</v>
      </c>
      <c r="G56" s="108" t="n">
        <v>0.0408</v>
      </c>
      <c r="H56" s="108" t="n">
        <v>0.049</v>
      </c>
      <c r="I56" s="108" t="n">
        <v>0.0572</v>
      </c>
      <c r="J56" s="108" t="n">
        <v>0.0653</v>
      </c>
      <c r="K56" s="108" t="n">
        <v>0.0735</v>
      </c>
      <c r="L56" s="108" t="n">
        <v>0.0817</v>
      </c>
      <c r="M56" s="108" t="n">
        <v>0.0898</v>
      </c>
      <c r="N56" s="108" t="n">
        <v>0.098</v>
      </c>
      <c r="O56" s="108" t="n">
        <v>0.1062</v>
      </c>
      <c r="P56" s="108" t="n">
        <v>0.1143</v>
      </c>
      <c r="Q56" s="108" t="n">
        <v>0.1225</v>
      </c>
      <c r="R56" s="108" t="n">
        <v>0.1307</v>
      </c>
      <c r="S56" s="108" t="n">
        <v>0.1388</v>
      </c>
      <c r="T56" s="108" t="n">
        <v>0.147</v>
      </c>
      <c r="U56" s="108" t="n">
        <v>0.1552</v>
      </c>
      <c r="V56" s="108" t="n">
        <v>0.1633</v>
      </c>
      <c r="W56" s="109" t="n">
        <v>0.2194</v>
      </c>
      <c r="X56" s="110" t="n">
        <v>0</v>
      </c>
      <c r="Y56" s="110" t="n">
        <v>0.03</v>
      </c>
      <c r="Z56" s="110" t="n">
        <v>0.05</v>
      </c>
    </row>
    <row r="57" customFormat="false" ht="15.75" hidden="false" customHeight="false" outlineLevel="0" collapsed="false">
      <c r="A57" s="57" t="n">
        <v>55</v>
      </c>
      <c r="B57" s="107" t="n">
        <v>0.0023</v>
      </c>
      <c r="C57" s="108" t="n">
        <v>0.0073</v>
      </c>
      <c r="D57" s="108" t="n">
        <v>0.0202</v>
      </c>
      <c r="E57" s="108" t="n">
        <v>0.0303</v>
      </c>
      <c r="F57" s="108" t="n">
        <v>0.0403</v>
      </c>
      <c r="G57" s="108" t="n">
        <v>0.0504</v>
      </c>
      <c r="H57" s="108" t="n">
        <v>0.0605</v>
      </c>
      <c r="I57" s="108" t="n">
        <v>0.0706</v>
      </c>
      <c r="J57" s="108" t="n">
        <v>0.0807</v>
      </c>
      <c r="K57" s="108" t="n">
        <v>0.0908</v>
      </c>
      <c r="L57" s="108" t="n">
        <v>0.1008</v>
      </c>
      <c r="M57" s="108" t="n">
        <v>0.1109</v>
      </c>
      <c r="N57" s="108" t="n">
        <v>0.121</v>
      </c>
      <c r="O57" s="108" t="n">
        <v>0.1311</v>
      </c>
      <c r="P57" s="108" t="n">
        <v>0.1412</v>
      </c>
      <c r="Q57" s="108" t="n">
        <v>0.1513</v>
      </c>
      <c r="R57" s="108" t="n">
        <v>0.1613</v>
      </c>
      <c r="S57" s="108" t="n">
        <v>0.1714</v>
      </c>
      <c r="T57" s="108" t="n">
        <v>0.1815</v>
      </c>
      <c r="U57" s="108" t="n">
        <v>0.1916</v>
      </c>
      <c r="V57" s="108" t="n">
        <v>0.2017</v>
      </c>
      <c r="W57" s="109" t="n">
        <v>0.0844</v>
      </c>
      <c r="X57" s="110" t="n">
        <v>0</v>
      </c>
      <c r="Y57" s="110" t="n">
        <v>0.03</v>
      </c>
      <c r="Z57" s="110" t="n">
        <v>0.05</v>
      </c>
    </row>
    <row r="58" customFormat="false" ht="15.75" hidden="false" customHeight="false" outlineLevel="0" collapsed="false">
      <c r="A58" s="57" t="n">
        <v>56</v>
      </c>
      <c r="B58" s="111" t="n">
        <v>-0.0125</v>
      </c>
      <c r="C58" s="112" t="n">
        <v>-0.0075</v>
      </c>
      <c r="D58" s="112" t="n">
        <v>-0.0025</v>
      </c>
      <c r="E58" s="112" t="n">
        <v>-0.0037</v>
      </c>
      <c r="F58" s="112" t="n">
        <v>-0.005</v>
      </c>
      <c r="G58" s="112" t="n">
        <v>-0.0062</v>
      </c>
      <c r="H58" s="112" t="n">
        <v>-0.0074</v>
      </c>
      <c r="I58" s="112" t="n">
        <v>-0.0087</v>
      </c>
      <c r="J58" s="112" t="n">
        <v>-0.0099</v>
      </c>
      <c r="K58" s="112" t="n">
        <v>-0.0112</v>
      </c>
      <c r="L58" s="112" t="n">
        <v>-0.0124</v>
      </c>
      <c r="M58" s="112" t="n">
        <v>-0.0137</v>
      </c>
      <c r="N58" s="112" t="n">
        <v>-0.0149</v>
      </c>
      <c r="O58" s="112" t="n">
        <v>-0.0161</v>
      </c>
      <c r="P58" s="112" t="n">
        <v>-0.0174</v>
      </c>
      <c r="Q58" s="112" t="n">
        <v>-0.0186</v>
      </c>
      <c r="R58" s="112" t="n">
        <v>-0.0199</v>
      </c>
      <c r="S58" s="112" t="n">
        <v>-0.0211</v>
      </c>
      <c r="T58" s="112" t="n">
        <v>-0.0223</v>
      </c>
      <c r="U58" s="112" t="n">
        <v>-0.0236</v>
      </c>
      <c r="V58" s="112" t="n">
        <v>-0.0248</v>
      </c>
      <c r="W58" s="109" t="n">
        <v>0.0555</v>
      </c>
      <c r="X58" s="110" t="n">
        <v>0</v>
      </c>
      <c r="Y58" s="110" t="n">
        <v>0.03</v>
      </c>
      <c r="Z58" s="110" t="n">
        <v>0.05</v>
      </c>
    </row>
    <row r="59" customFormat="false" ht="15.75" hidden="false" customHeight="false" outlineLevel="0" collapsed="false">
      <c r="A59" s="57" t="n">
        <v>57</v>
      </c>
      <c r="B59" s="107" t="n">
        <v>0.0245</v>
      </c>
      <c r="C59" s="108" t="n">
        <v>0.0293</v>
      </c>
      <c r="D59" s="108" t="n">
        <v>0.0345</v>
      </c>
      <c r="E59" s="108" t="n">
        <v>0.0518</v>
      </c>
      <c r="F59" s="108" t="n">
        <v>0.0691</v>
      </c>
      <c r="G59" s="108" t="n">
        <v>0.0864</v>
      </c>
      <c r="H59" s="108" t="n">
        <v>0.1037</v>
      </c>
      <c r="I59" s="108" t="n">
        <v>0.1209</v>
      </c>
      <c r="J59" s="108" t="n">
        <v>0.1382</v>
      </c>
      <c r="K59" s="108" t="n">
        <v>0.1555</v>
      </c>
      <c r="L59" s="108" t="n">
        <v>0.1727</v>
      </c>
      <c r="M59" s="108" t="n">
        <v>0.19</v>
      </c>
      <c r="N59" s="108" t="n">
        <v>0.2073</v>
      </c>
      <c r="O59" s="108" t="n">
        <v>0.2246</v>
      </c>
      <c r="P59" s="108" t="n">
        <v>0.2419</v>
      </c>
      <c r="Q59" s="108" t="n">
        <v>0.2591</v>
      </c>
      <c r="R59" s="108" t="n">
        <v>0.2764</v>
      </c>
      <c r="S59" s="108" t="n">
        <v>0.2937</v>
      </c>
      <c r="T59" s="108" t="n">
        <v>0.311</v>
      </c>
      <c r="U59" s="108" t="n">
        <v>0.3282</v>
      </c>
      <c r="V59" s="108" t="n">
        <v>0.3455</v>
      </c>
      <c r="W59" s="109" t="n">
        <v>0.1165</v>
      </c>
      <c r="X59" s="110" t="n">
        <v>0</v>
      </c>
      <c r="Y59" s="110" t="n">
        <v>0.03</v>
      </c>
      <c r="Z59" s="110" t="n">
        <v>0.05</v>
      </c>
    </row>
    <row r="60" customFormat="false" ht="15.75" hidden="false" customHeight="false" outlineLevel="0" collapsed="false">
      <c r="A60" s="57" t="n">
        <v>58</v>
      </c>
      <c r="B60" s="111" t="n">
        <v>-0.0065</v>
      </c>
      <c r="C60" s="112" t="n">
        <v>-0.0015</v>
      </c>
      <c r="D60" s="108" t="n">
        <v>0.0035</v>
      </c>
      <c r="E60" s="108" t="n">
        <v>0.0052</v>
      </c>
      <c r="F60" s="108" t="n">
        <v>0.007</v>
      </c>
      <c r="G60" s="108" t="n">
        <v>0.0087</v>
      </c>
      <c r="H60" s="108" t="n">
        <v>0.0104</v>
      </c>
      <c r="I60" s="108" t="n">
        <v>0.0122</v>
      </c>
      <c r="J60" s="108" t="n">
        <v>0.0139</v>
      </c>
      <c r="K60" s="108" t="n">
        <v>0.0157</v>
      </c>
      <c r="L60" s="108" t="n">
        <v>0.0174</v>
      </c>
      <c r="M60" s="108" t="n">
        <v>0.0192</v>
      </c>
      <c r="N60" s="108" t="n">
        <v>0.0209</v>
      </c>
      <c r="O60" s="108" t="n">
        <v>0.0226</v>
      </c>
      <c r="P60" s="108" t="n">
        <v>0.0244</v>
      </c>
      <c r="Q60" s="108" t="n">
        <v>0.0261</v>
      </c>
      <c r="R60" s="108" t="n">
        <v>0.0279</v>
      </c>
      <c r="S60" s="108" t="n">
        <v>0.0296</v>
      </c>
      <c r="T60" s="108" t="n">
        <v>0.0313</v>
      </c>
      <c r="U60" s="108" t="n">
        <v>0.0331</v>
      </c>
      <c r="V60" s="108" t="n">
        <v>0.0348</v>
      </c>
      <c r="W60" s="109" t="n">
        <v>0.0216</v>
      </c>
      <c r="X60" s="110" t="n">
        <v>0</v>
      </c>
      <c r="Y60" s="110" t="n">
        <v>0.03</v>
      </c>
      <c r="Z60" s="110" t="n">
        <v>0.05</v>
      </c>
    </row>
    <row r="61" customFormat="false" ht="15.75" hidden="false" customHeight="false" outlineLevel="0" collapsed="false">
      <c r="A61" s="57" t="n">
        <v>59</v>
      </c>
      <c r="B61" s="111" t="n">
        <v>-0.0057</v>
      </c>
      <c r="C61" s="112" t="n">
        <v>-0.0007</v>
      </c>
      <c r="D61" s="108" t="n">
        <v>0.0108</v>
      </c>
      <c r="E61" s="108" t="n">
        <v>0.0162</v>
      </c>
      <c r="F61" s="108" t="n">
        <v>0.0217</v>
      </c>
      <c r="G61" s="108" t="n">
        <v>0.0271</v>
      </c>
      <c r="H61" s="108" t="n">
        <v>0.0325</v>
      </c>
      <c r="I61" s="108" t="n">
        <v>0.0379</v>
      </c>
      <c r="J61" s="108" t="n">
        <v>0.0433</v>
      </c>
      <c r="K61" s="108" t="n">
        <v>0.0487</v>
      </c>
      <c r="L61" s="108" t="n">
        <v>0.0542</v>
      </c>
      <c r="M61" s="108" t="n">
        <v>0.0596</v>
      </c>
      <c r="N61" s="108" t="n">
        <v>0.065</v>
      </c>
      <c r="O61" s="108" t="n">
        <v>0.0704</v>
      </c>
      <c r="P61" s="108" t="n">
        <v>0.0758</v>
      </c>
      <c r="Q61" s="108" t="n">
        <v>0.0812</v>
      </c>
      <c r="R61" s="108" t="n">
        <v>0.0867</v>
      </c>
      <c r="S61" s="108" t="n">
        <v>0.0921</v>
      </c>
      <c r="T61" s="108" t="n">
        <v>0.0975</v>
      </c>
      <c r="U61" s="108" t="n">
        <v>0.1029</v>
      </c>
      <c r="V61" s="108" t="n">
        <v>0.1083</v>
      </c>
      <c r="W61" s="109" t="n">
        <v>-0.3561</v>
      </c>
      <c r="X61" s="110" t="n">
        <v>0</v>
      </c>
      <c r="Y61" s="110" t="n">
        <v>0.03</v>
      </c>
      <c r="Z61" s="110" t="n">
        <v>0.05</v>
      </c>
    </row>
    <row r="62" customFormat="false" ht="15.75" hidden="false" customHeight="false" outlineLevel="0" collapsed="false">
      <c r="A62" s="57" t="n">
        <v>60</v>
      </c>
      <c r="B62" s="111" t="n">
        <v>-0.006</v>
      </c>
      <c r="C62" s="112" t="n">
        <v>-0.001</v>
      </c>
      <c r="D62" s="108" t="n">
        <v>0.0105</v>
      </c>
      <c r="E62" s="108" t="n">
        <v>0.0158</v>
      </c>
      <c r="F62" s="108" t="n">
        <v>0.021</v>
      </c>
      <c r="G62" s="108" t="n">
        <v>0.0262</v>
      </c>
      <c r="H62" s="108" t="n">
        <v>0.0315</v>
      </c>
      <c r="I62" s="108" t="n">
        <v>0.0367</v>
      </c>
      <c r="J62" s="108" t="n">
        <v>0.042</v>
      </c>
      <c r="K62" s="108" t="n">
        <v>0.0472</v>
      </c>
      <c r="L62" s="108" t="n">
        <v>0.0525</v>
      </c>
      <c r="M62" s="108" t="n">
        <v>0.0578</v>
      </c>
      <c r="N62" s="108" t="n">
        <v>0.063</v>
      </c>
      <c r="O62" s="108" t="n">
        <v>0.0683</v>
      </c>
      <c r="P62" s="108" t="n">
        <v>0.0735</v>
      </c>
      <c r="Q62" s="108" t="n">
        <v>0.0788</v>
      </c>
      <c r="R62" s="108" t="n">
        <v>0.084</v>
      </c>
      <c r="S62" s="108" t="n">
        <v>0.0893</v>
      </c>
      <c r="T62" s="108" t="n">
        <v>0.0945</v>
      </c>
      <c r="U62" s="108" t="n">
        <v>0.0997</v>
      </c>
      <c r="V62" s="108" t="n">
        <v>0.105</v>
      </c>
      <c r="W62" s="109" t="n">
        <v>0.2159</v>
      </c>
      <c r="X62" s="110" t="n">
        <v>0</v>
      </c>
      <c r="Y62" s="110" t="n">
        <v>0.03</v>
      </c>
      <c r="Z62" s="110" t="n">
        <v>0.05</v>
      </c>
    </row>
    <row r="63" customFormat="false" ht="15.75" hidden="false" customHeight="false" outlineLevel="0" collapsed="false">
      <c r="A63" s="57" t="n">
        <v>61</v>
      </c>
      <c r="B63" s="111" t="n">
        <v>-0.0196</v>
      </c>
      <c r="C63" s="112" t="n">
        <v>-0.0144</v>
      </c>
      <c r="D63" s="112" t="n">
        <v>-0.0096</v>
      </c>
      <c r="E63" s="112" t="n">
        <v>-0.0144</v>
      </c>
      <c r="F63" s="112" t="n">
        <v>-0.0192</v>
      </c>
      <c r="G63" s="112" t="n">
        <v>-0.024</v>
      </c>
      <c r="H63" s="112" t="n">
        <v>-0.0288</v>
      </c>
      <c r="I63" s="112" t="n">
        <v>-0.0336</v>
      </c>
      <c r="J63" s="112" t="n">
        <v>-0.0384</v>
      </c>
      <c r="K63" s="112" t="n">
        <v>-0.0432</v>
      </c>
      <c r="L63" s="112" t="n">
        <v>-0.048</v>
      </c>
      <c r="M63" s="112" t="n">
        <v>-0.0528</v>
      </c>
      <c r="N63" s="112" t="n">
        <v>-0.0576</v>
      </c>
      <c r="O63" s="112" t="n">
        <v>-0.0624</v>
      </c>
      <c r="P63" s="112" t="n">
        <v>-0.0672</v>
      </c>
      <c r="Q63" s="112" t="n">
        <v>-0.072</v>
      </c>
      <c r="R63" s="112" t="n">
        <v>-0.0768</v>
      </c>
      <c r="S63" s="112" t="n">
        <v>-0.0816</v>
      </c>
      <c r="T63" s="112" t="n">
        <v>-0.0864</v>
      </c>
      <c r="U63" s="112" t="n">
        <v>-0.0912</v>
      </c>
      <c r="V63" s="112" t="n">
        <v>-0.096</v>
      </c>
      <c r="W63" s="109" t="n">
        <v>0.1226</v>
      </c>
      <c r="X63" s="110" t="n">
        <v>0</v>
      </c>
      <c r="Y63" s="110" t="n">
        <v>0.03</v>
      </c>
      <c r="Z63" s="110" t="n">
        <v>0.05</v>
      </c>
    </row>
    <row r="64" customFormat="false" ht="15.75" hidden="false" customHeight="false" outlineLevel="0" collapsed="false">
      <c r="A64" s="57" t="n">
        <v>62</v>
      </c>
      <c r="B64" s="111" t="n">
        <v>-0.0176</v>
      </c>
      <c r="C64" s="112" t="n">
        <v>-0.0126</v>
      </c>
      <c r="D64" s="112" t="n">
        <v>-0.0076</v>
      </c>
      <c r="E64" s="112" t="n">
        <v>-0.0115</v>
      </c>
      <c r="F64" s="112" t="n">
        <v>-0.0153</v>
      </c>
      <c r="G64" s="112" t="n">
        <v>-0.0191</v>
      </c>
      <c r="H64" s="112" t="n">
        <v>-0.0229</v>
      </c>
      <c r="I64" s="112" t="n">
        <v>-0.0268</v>
      </c>
      <c r="J64" s="112" t="n">
        <v>-0.0306</v>
      </c>
      <c r="K64" s="112" t="n">
        <v>-0.0344</v>
      </c>
      <c r="L64" s="112" t="n">
        <v>-0.0382</v>
      </c>
      <c r="M64" s="112" t="n">
        <v>-0.0421</v>
      </c>
      <c r="N64" s="112" t="n">
        <v>-0.0459</v>
      </c>
      <c r="O64" s="112" t="n">
        <v>-0.0497</v>
      </c>
      <c r="P64" s="112" t="n">
        <v>-0.0535</v>
      </c>
      <c r="Q64" s="112" t="n">
        <v>-0.0574</v>
      </c>
      <c r="R64" s="112" t="n">
        <v>-0.0612</v>
      </c>
      <c r="S64" s="112" t="n">
        <v>-0.065</v>
      </c>
      <c r="T64" s="112" t="n">
        <v>-0.0688</v>
      </c>
      <c r="U64" s="112" t="n">
        <v>-0.0727</v>
      </c>
      <c r="V64" s="112" t="n">
        <v>-0.0765</v>
      </c>
      <c r="W64" s="109" t="n">
        <v>0.0041</v>
      </c>
      <c r="X64" s="110" t="n">
        <v>0</v>
      </c>
      <c r="Y64" s="110" t="n">
        <v>0.03</v>
      </c>
      <c r="Z64" s="110" t="n">
        <v>0.05</v>
      </c>
    </row>
    <row r="65" customFormat="false" ht="15.75" hidden="false" customHeight="false" outlineLevel="0" collapsed="false">
      <c r="A65" s="57" t="n">
        <v>63</v>
      </c>
      <c r="B65" s="111" t="n">
        <v>-0.0037</v>
      </c>
      <c r="C65" s="108" t="n">
        <v>0.0013</v>
      </c>
      <c r="D65" s="108" t="n">
        <v>0.0063</v>
      </c>
      <c r="E65" s="108" t="n">
        <v>0.0094</v>
      </c>
      <c r="F65" s="108" t="n">
        <v>0.0126</v>
      </c>
      <c r="G65" s="108" t="n">
        <v>0.0157</v>
      </c>
      <c r="H65" s="108" t="n">
        <v>0.0188</v>
      </c>
      <c r="I65" s="108" t="n">
        <v>0.022</v>
      </c>
      <c r="J65" s="108" t="n">
        <v>0.0251</v>
      </c>
      <c r="K65" s="108" t="n">
        <v>0.0283</v>
      </c>
      <c r="L65" s="108" t="n">
        <v>0.0314</v>
      </c>
      <c r="M65" s="108" t="n">
        <v>0.0346</v>
      </c>
      <c r="N65" s="108" t="n">
        <v>0.0377</v>
      </c>
      <c r="O65" s="108" t="n">
        <v>0.0408</v>
      </c>
      <c r="P65" s="108" t="n">
        <v>0.044</v>
      </c>
      <c r="Q65" s="108" t="n">
        <v>0.0471</v>
      </c>
      <c r="R65" s="108" t="n">
        <v>0.0503</v>
      </c>
      <c r="S65" s="108" t="n">
        <v>0.0534</v>
      </c>
      <c r="T65" s="108" t="n">
        <v>0.0565</v>
      </c>
      <c r="U65" s="108" t="n">
        <v>0.0597</v>
      </c>
      <c r="V65" s="108" t="n">
        <v>0.0628</v>
      </c>
      <c r="W65" s="109" t="n">
        <v>0.1451</v>
      </c>
      <c r="X65" s="110" t="n">
        <v>0</v>
      </c>
      <c r="Y65" s="110" t="n">
        <v>0.03</v>
      </c>
      <c r="Z65" s="110" t="n">
        <v>0.05</v>
      </c>
    </row>
    <row r="66" customFormat="false" ht="15.75" hidden="false" customHeight="false" outlineLevel="0" collapsed="false">
      <c r="A66" s="57" t="n">
        <v>64</v>
      </c>
      <c r="B66" s="111" t="n">
        <v>-0.0023</v>
      </c>
      <c r="C66" s="108" t="n">
        <v>0.0027</v>
      </c>
      <c r="D66" s="108" t="n">
        <v>0.0145</v>
      </c>
      <c r="E66" s="108" t="n">
        <v>0.0217</v>
      </c>
      <c r="F66" s="108" t="n">
        <v>0.029</v>
      </c>
      <c r="G66" s="108" t="n">
        <v>0.0362</v>
      </c>
      <c r="H66" s="108" t="n">
        <v>0.0435</v>
      </c>
      <c r="I66" s="108" t="n">
        <v>0.0508</v>
      </c>
      <c r="J66" s="108" t="n">
        <v>0.058</v>
      </c>
      <c r="K66" s="108" t="n">
        <v>0.0653</v>
      </c>
      <c r="L66" s="108" t="n">
        <v>0.0725</v>
      </c>
      <c r="M66" s="108" t="n">
        <v>0.0798</v>
      </c>
      <c r="N66" s="108" t="n">
        <v>0.087</v>
      </c>
      <c r="O66" s="108" t="n">
        <v>0.0943</v>
      </c>
      <c r="P66" s="108" t="n">
        <v>0.1015</v>
      </c>
      <c r="Q66" s="108" t="n">
        <v>0.1087</v>
      </c>
      <c r="R66" s="108" t="n">
        <v>0.116</v>
      </c>
      <c r="S66" s="108" t="n">
        <v>0.1232</v>
      </c>
      <c r="T66" s="108" t="n">
        <v>0.1305</v>
      </c>
      <c r="U66" s="108" t="n">
        <v>0.1378</v>
      </c>
      <c r="V66" s="108" t="n">
        <v>0.145</v>
      </c>
      <c r="W66" s="109" t="n">
        <v>0.2527</v>
      </c>
      <c r="X66" s="110" t="n">
        <v>0</v>
      </c>
      <c r="Y66" s="110" t="n">
        <v>0.03</v>
      </c>
      <c r="Z66" s="110" t="n">
        <v>0.05</v>
      </c>
    </row>
    <row r="67" customFormat="false" ht="15.75" hidden="false" customHeight="false" outlineLevel="0" collapsed="false">
      <c r="A67" s="57" t="n">
        <v>65</v>
      </c>
      <c r="B67" s="111" t="n">
        <v>-0.0396</v>
      </c>
      <c r="C67" s="112" t="n">
        <v>-0.0346</v>
      </c>
      <c r="D67" s="112" t="n">
        <v>-0.0296</v>
      </c>
      <c r="E67" s="112" t="n">
        <v>-0.0444</v>
      </c>
      <c r="F67" s="112" t="n">
        <v>-0.0593</v>
      </c>
      <c r="G67" s="112" t="n">
        <v>-0.0741</v>
      </c>
      <c r="H67" s="112" t="n">
        <v>-0.0889</v>
      </c>
      <c r="I67" s="112" t="n">
        <v>-0.1037</v>
      </c>
      <c r="J67" s="112" t="n">
        <v>-0.1185</v>
      </c>
      <c r="K67" s="112" t="n">
        <v>-0.1333</v>
      </c>
      <c r="L67" s="112" t="n">
        <v>-0.1482</v>
      </c>
      <c r="M67" s="112" t="n">
        <v>-0.163</v>
      </c>
      <c r="N67" s="112" t="n">
        <v>-0.1778</v>
      </c>
      <c r="O67" s="112" t="n">
        <v>-0.1926</v>
      </c>
      <c r="P67" s="112" t="n">
        <v>-0.2074</v>
      </c>
      <c r="Q67" s="112" t="n">
        <v>-0.2222</v>
      </c>
      <c r="R67" s="112" t="n">
        <v>-0.2371</v>
      </c>
      <c r="S67" s="112" t="n">
        <v>-0.2519</v>
      </c>
      <c r="T67" s="112" t="n">
        <v>-0.2667</v>
      </c>
      <c r="U67" s="112" t="n">
        <v>-0.2815</v>
      </c>
      <c r="V67" s="112" t="n">
        <v>-0.2963</v>
      </c>
      <c r="W67" s="109" t="n">
        <v>0.1239</v>
      </c>
      <c r="X67" s="110" t="n">
        <v>0</v>
      </c>
      <c r="Y67" s="110" t="n">
        <v>0.03</v>
      </c>
      <c r="Z67" s="110" t="n">
        <v>0.05</v>
      </c>
    </row>
    <row r="68" customFormat="false" ht="15.75" hidden="false" customHeight="false" outlineLevel="0" collapsed="false">
      <c r="A68" s="57" t="n">
        <v>66</v>
      </c>
      <c r="B68" s="111" t="n">
        <v>-0.0002</v>
      </c>
      <c r="C68" s="108" t="n">
        <v>0.0049</v>
      </c>
      <c r="D68" s="108" t="n">
        <v>0.0097</v>
      </c>
      <c r="E68" s="108" t="n">
        <v>0.0146</v>
      </c>
      <c r="F68" s="108" t="n">
        <v>0.0195</v>
      </c>
      <c r="G68" s="108" t="n">
        <v>0.0244</v>
      </c>
      <c r="H68" s="108" t="n">
        <v>0.0292</v>
      </c>
      <c r="I68" s="108" t="n">
        <v>0.0341</v>
      </c>
      <c r="J68" s="108" t="n">
        <v>0.039</v>
      </c>
      <c r="K68" s="108" t="n">
        <v>0.0439</v>
      </c>
      <c r="L68" s="108" t="n">
        <v>0.0488</v>
      </c>
      <c r="M68" s="108" t="n">
        <v>0.0536</v>
      </c>
      <c r="N68" s="108" t="n">
        <v>0.0585</v>
      </c>
      <c r="O68" s="108" t="n">
        <v>0.0634</v>
      </c>
      <c r="P68" s="108" t="n">
        <v>0.0682</v>
      </c>
      <c r="Q68" s="108" t="n">
        <v>0.0731</v>
      </c>
      <c r="R68" s="108" t="n">
        <v>0.078</v>
      </c>
      <c r="S68" s="108" t="n">
        <v>0.0829</v>
      </c>
      <c r="T68" s="108" t="n">
        <v>0.0877</v>
      </c>
      <c r="U68" s="108" t="n">
        <v>0.0926</v>
      </c>
      <c r="V68" s="108" t="n">
        <v>0.0975</v>
      </c>
      <c r="W68" s="109" t="n">
        <v>0.2467</v>
      </c>
      <c r="X68" s="110" t="n">
        <v>0</v>
      </c>
      <c r="Y68" s="110" t="n">
        <v>0.03</v>
      </c>
      <c r="Z68" s="110" t="n">
        <v>0.05</v>
      </c>
    </row>
    <row r="69" customFormat="false" ht="15.75" hidden="false" customHeight="false" outlineLevel="0" collapsed="false">
      <c r="A69" s="57" t="n">
        <v>67</v>
      </c>
      <c r="B69" s="111" t="n">
        <v>-0.0084</v>
      </c>
      <c r="C69" s="112" t="n">
        <v>-0.0034</v>
      </c>
      <c r="D69" s="108" t="n">
        <v>0.0016</v>
      </c>
      <c r="E69" s="108" t="n">
        <v>0.0024</v>
      </c>
      <c r="F69" s="108" t="n">
        <v>0.0031</v>
      </c>
      <c r="G69" s="108" t="n">
        <v>0.0039</v>
      </c>
      <c r="H69" s="108" t="n">
        <v>0.0047</v>
      </c>
      <c r="I69" s="108" t="n">
        <v>0.0055</v>
      </c>
      <c r="J69" s="108" t="n">
        <v>0.0063</v>
      </c>
      <c r="K69" s="108" t="n">
        <v>0.0071</v>
      </c>
      <c r="L69" s="108" t="n">
        <v>0.0078</v>
      </c>
      <c r="M69" s="108" t="n">
        <v>0.0086</v>
      </c>
      <c r="N69" s="108" t="n">
        <v>0.0094</v>
      </c>
      <c r="O69" s="108" t="n">
        <v>0.0102</v>
      </c>
      <c r="P69" s="108" t="n">
        <v>0.011</v>
      </c>
      <c r="Q69" s="108" t="n">
        <v>0.0118</v>
      </c>
      <c r="R69" s="108" t="n">
        <v>0.0125</v>
      </c>
      <c r="S69" s="108" t="n">
        <v>0.0133</v>
      </c>
      <c r="T69" s="108" t="n">
        <v>0.0141</v>
      </c>
      <c r="U69" s="108" t="n">
        <v>0.0149</v>
      </c>
      <c r="V69" s="108" t="n">
        <v>0.0157</v>
      </c>
      <c r="W69" s="109" t="n">
        <v>0.1459</v>
      </c>
      <c r="X69" s="110" t="n">
        <v>0</v>
      </c>
      <c r="Y69" s="110" t="n">
        <v>0.03</v>
      </c>
      <c r="Z69" s="110" t="n">
        <v>0.05</v>
      </c>
    </row>
    <row r="70" customFormat="false" ht="15.75" hidden="false" customHeight="false" outlineLevel="0" collapsed="false">
      <c r="A70" s="57" t="n">
        <v>68</v>
      </c>
      <c r="B70" s="107" t="n">
        <v>0.0248</v>
      </c>
      <c r="C70" s="108" t="n">
        <v>0.0293</v>
      </c>
      <c r="D70" s="108" t="n">
        <v>0.0348</v>
      </c>
      <c r="E70" s="108" t="n">
        <v>0.0522</v>
      </c>
      <c r="F70" s="108" t="n">
        <v>0.0695</v>
      </c>
      <c r="G70" s="108" t="n">
        <v>0.0869</v>
      </c>
      <c r="H70" s="108" t="n">
        <v>0.1043</v>
      </c>
      <c r="I70" s="108" t="n">
        <v>0.1217</v>
      </c>
      <c r="J70" s="108" t="n">
        <v>0.1391</v>
      </c>
      <c r="K70" s="108" t="n">
        <v>0.1565</v>
      </c>
      <c r="L70" s="108" t="n">
        <v>0.1738</v>
      </c>
      <c r="M70" s="108" t="n">
        <v>0.1912</v>
      </c>
      <c r="N70" s="108" t="n">
        <v>0.2086</v>
      </c>
      <c r="O70" s="108" t="n">
        <v>0.226</v>
      </c>
      <c r="P70" s="108" t="n">
        <v>0.2434</v>
      </c>
      <c r="Q70" s="108" t="n">
        <v>0.2608</v>
      </c>
      <c r="R70" s="108" t="n">
        <v>0.2781</v>
      </c>
      <c r="S70" s="108" t="n">
        <v>0.2955</v>
      </c>
      <c r="T70" s="108" t="n">
        <v>0.3129</v>
      </c>
      <c r="U70" s="108" t="n">
        <v>0.3303</v>
      </c>
      <c r="V70" s="108" t="n">
        <v>0.3477</v>
      </c>
      <c r="W70" s="109" t="n">
        <v>0.1151</v>
      </c>
      <c r="X70" s="110" t="n">
        <v>0</v>
      </c>
      <c r="Y70" s="110" t="n">
        <v>0.03</v>
      </c>
      <c r="Z70" s="110" t="n">
        <v>0.05</v>
      </c>
    </row>
    <row r="71" customFormat="false" ht="15.75" hidden="false" customHeight="false" outlineLevel="0" collapsed="false">
      <c r="A71" s="57" t="n">
        <v>69</v>
      </c>
      <c r="B71" s="107" t="n">
        <v>0.0103</v>
      </c>
      <c r="C71" s="108" t="n">
        <v>0.0153</v>
      </c>
      <c r="D71" s="108" t="n">
        <v>0.0203</v>
      </c>
      <c r="E71" s="108" t="n">
        <v>0.0304</v>
      </c>
      <c r="F71" s="108" t="n">
        <v>0.0405</v>
      </c>
      <c r="G71" s="108" t="n">
        <v>0.0507</v>
      </c>
      <c r="H71" s="108" t="n">
        <v>0.0608</v>
      </c>
      <c r="I71" s="108" t="n">
        <v>0.0709</v>
      </c>
      <c r="J71" s="108" t="n">
        <v>0.0811</v>
      </c>
      <c r="K71" s="108" t="n">
        <v>0.0912</v>
      </c>
      <c r="L71" s="108" t="n">
        <v>0.1013</v>
      </c>
      <c r="M71" s="108" t="n">
        <v>0.1115</v>
      </c>
      <c r="N71" s="108" t="n">
        <v>0.1216</v>
      </c>
      <c r="O71" s="108" t="n">
        <v>0.1317</v>
      </c>
      <c r="P71" s="108" t="n">
        <v>0.1419</v>
      </c>
      <c r="Q71" s="108" t="n">
        <v>0.152</v>
      </c>
      <c r="R71" s="108" t="n">
        <v>0.1621</v>
      </c>
      <c r="S71" s="108" t="n">
        <v>0.1723</v>
      </c>
      <c r="T71" s="108" t="n">
        <v>0.1824</v>
      </c>
      <c r="U71" s="108" t="n">
        <v>0.1925</v>
      </c>
      <c r="V71" s="108" t="n">
        <v>0.2027</v>
      </c>
      <c r="W71" s="109" t="n">
        <v>-0.0599</v>
      </c>
      <c r="X71" s="110" t="n">
        <v>0</v>
      </c>
      <c r="Y71" s="110" t="n">
        <v>0.03</v>
      </c>
      <c r="Z71" s="110" t="n">
        <v>0.05</v>
      </c>
    </row>
    <row r="72" customFormat="false" ht="15.75" hidden="false" customHeight="false" outlineLevel="0" collapsed="false">
      <c r="A72" s="57" t="n">
        <v>70</v>
      </c>
      <c r="B72" s="107" t="n">
        <v>0.0137</v>
      </c>
      <c r="C72" s="108" t="n">
        <v>0.0187</v>
      </c>
      <c r="D72" s="108" t="n">
        <v>0.0237</v>
      </c>
      <c r="E72" s="108" t="n">
        <v>0.0356</v>
      </c>
      <c r="F72" s="108" t="n">
        <v>0.0475</v>
      </c>
      <c r="G72" s="108" t="n">
        <v>0.0593</v>
      </c>
      <c r="H72" s="108" t="n">
        <v>0.0712</v>
      </c>
      <c r="I72" s="108" t="n">
        <v>0.0831</v>
      </c>
      <c r="J72" s="108" t="n">
        <v>0.0949</v>
      </c>
      <c r="K72" s="108" t="n">
        <v>0.1068</v>
      </c>
      <c r="L72" s="108" t="n">
        <v>0.1187</v>
      </c>
      <c r="M72" s="108" t="n">
        <v>0.1305</v>
      </c>
      <c r="N72" s="108" t="n">
        <v>0.1424</v>
      </c>
      <c r="O72" s="108" t="n">
        <v>0.1543</v>
      </c>
      <c r="P72" s="108" t="n">
        <v>0.1661</v>
      </c>
      <c r="Q72" s="108" t="n">
        <v>0.178</v>
      </c>
      <c r="R72" s="108" t="n">
        <v>0.1899</v>
      </c>
      <c r="S72" s="108" t="n">
        <v>0.2017</v>
      </c>
      <c r="T72" s="108" t="n">
        <v>0.2136</v>
      </c>
      <c r="U72" s="108" t="n">
        <v>0.2255</v>
      </c>
      <c r="V72" s="108" t="n">
        <v>0.2373</v>
      </c>
      <c r="W72" s="109" t="n">
        <v>0.4729</v>
      </c>
      <c r="X72" s="110" t="n">
        <v>0</v>
      </c>
      <c r="Y72" s="110" t="n">
        <v>0.03</v>
      </c>
      <c r="Z72" s="110" t="n">
        <v>0.05</v>
      </c>
    </row>
    <row r="73" customFormat="false" ht="15.75" hidden="false" customHeight="false" outlineLevel="0" collapsed="false">
      <c r="A73" s="57" t="n">
        <v>71</v>
      </c>
      <c r="B73" s="107" t="n">
        <v>0.0003</v>
      </c>
      <c r="C73" s="108" t="n">
        <v>0.0053</v>
      </c>
      <c r="D73" s="108" t="n">
        <v>0.0103</v>
      </c>
      <c r="E73" s="108" t="n">
        <v>0.0155</v>
      </c>
      <c r="F73" s="108" t="n">
        <v>0.0207</v>
      </c>
      <c r="G73" s="108" t="n">
        <v>0.0259</v>
      </c>
      <c r="H73" s="108" t="n">
        <v>0.0311</v>
      </c>
      <c r="I73" s="108" t="n">
        <v>0.0362</v>
      </c>
      <c r="J73" s="108" t="n">
        <v>0.0414</v>
      </c>
      <c r="K73" s="108" t="n">
        <v>0.0466</v>
      </c>
      <c r="L73" s="108" t="n">
        <v>0.0517</v>
      </c>
      <c r="M73" s="108" t="n">
        <v>0.0569</v>
      </c>
      <c r="N73" s="108" t="n">
        <v>0.0621</v>
      </c>
      <c r="O73" s="108" t="n">
        <v>0.0673</v>
      </c>
      <c r="P73" s="108" t="n">
        <v>0.0725</v>
      </c>
      <c r="Q73" s="108" t="n">
        <v>0.0776</v>
      </c>
      <c r="R73" s="108" t="n">
        <v>0.0828</v>
      </c>
      <c r="S73" s="108" t="n">
        <v>0.088</v>
      </c>
      <c r="T73" s="108" t="n">
        <v>0.0931</v>
      </c>
      <c r="U73" s="108" t="n">
        <v>0.0983</v>
      </c>
      <c r="V73" s="108" t="n">
        <v>0.1035</v>
      </c>
      <c r="W73" s="109" t="n">
        <v>0.2288</v>
      </c>
      <c r="X73" s="110" t="n">
        <v>0</v>
      </c>
      <c r="Y73" s="110" t="n">
        <v>0.03</v>
      </c>
      <c r="Z73" s="110" t="n">
        <v>0.05</v>
      </c>
    </row>
    <row r="74" customFormat="false" ht="15.75" hidden="false" customHeight="false" outlineLevel="0" collapsed="false">
      <c r="A74" s="57" t="n">
        <v>72</v>
      </c>
      <c r="B74" s="107" t="n">
        <v>0.0033</v>
      </c>
      <c r="C74" s="108" t="n">
        <v>0.0083</v>
      </c>
      <c r="D74" s="108" t="n">
        <v>0.0133</v>
      </c>
      <c r="E74" s="108" t="n">
        <v>0.0199</v>
      </c>
      <c r="F74" s="108" t="n">
        <v>0.0265</v>
      </c>
      <c r="G74" s="108" t="n">
        <v>0.0332</v>
      </c>
      <c r="H74" s="108" t="n">
        <v>0.0398</v>
      </c>
      <c r="I74" s="108" t="n">
        <v>0.0464</v>
      </c>
      <c r="J74" s="108" t="n">
        <v>0.0531</v>
      </c>
      <c r="K74" s="108" t="n">
        <v>0.0597</v>
      </c>
      <c r="L74" s="108" t="n">
        <v>0.0663</v>
      </c>
      <c r="M74" s="108" t="n">
        <v>0.073</v>
      </c>
      <c r="N74" s="108" t="n">
        <v>0.0796</v>
      </c>
      <c r="O74" s="108" t="n">
        <v>0.0862</v>
      </c>
      <c r="P74" s="108" t="n">
        <v>0.0929</v>
      </c>
      <c r="Q74" s="108" t="n">
        <v>0.0995</v>
      </c>
      <c r="R74" s="108" t="n">
        <v>0.1061</v>
      </c>
      <c r="S74" s="108" t="n">
        <v>0.1128</v>
      </c>
      <c r="T74" s="108" t="n">
        <v>0.1194</v>
      </c>
      <c r="U74" s="108" t="n">
        <v>0.126</v>
      </c>
      <c r="V74" s="108" t="n">
        <v>0.1327</v>
      </c>
      <c r="W74" s="109" t="n">
        <v>0.023</v>
      </c>
      <c r="X74" s="110" t="n">
        <v>0</v>
      </c>
      <c r="Y74" s="110" t="n">
        <v>0.03</v>
      </c>
      <c r="Z74" s="110" t="n">
        <v>0.05</v>
      </c>
    </row>
    <row r="75" customFormat="false" ht="15.75" hidden="false" customHeight="false" outlineLevel="0" collapsed="false">
      <c r="A75" s="57" t="n">
        <v>73</v>
      </c>
      <c r="B75" s="111" t="n">
        <v>-0.0162</v>
      </c>
      <c r="C75" s="112" t="n">
        <v>-0.0112</v>
      </c>
      <c r="D75" s="112" t="n">
        <v>-0.0062</v>
      </c>
      <c r="E75" s="112" t="n">
        <v>-0.0093</v>
      </c>
      <c r="F75" s="112" t="n">
        <v>-0.0124</v>
      </c>
      <c r="G75" s="112" t="n">
        <v>-0.0155</v>
      </c>
      <c r="H75" s="112" t="n">
        <v>-0.0186</v>
      </c>
      <c r="I75" s="112" t="n">
        <v>-0.0217</v>
      </c>
      <c r="J75" s="112" t="n">
        <v>-0.0248</v>
      </c>
      <c r="K75" s="112" t="n">
        <v>-0.0279</v>
      </c>
      <c r="L75" s="112" t="n">
        <v>-0.031</v>
      </c>
      <c r="M75" s="112" t="n">
        <v>-0.0341</v>
      </c>
      <c r="N75" s="112" t="n">
        <v>-0.0372</v>
      </c>
      <c r="O75" s="112" t="n">
        <v>-0.0403</v>
      </c>
      <c r="P75" s="112" t="n">
        <v>-0.0434</v>
      </c>
      <c r="Q75" s="112" t="n">
        <v>-0.0465</v>
      </c>
      <c r="R75" s="112" t="n">
        <v>-0.0496</v>
      </c>
      <c r="S75" s="112" t="n">
        <v>-0.0527</v>
      </c>
      <c r="T75" s="112" t="n">
        <v>-0.0558</v>
      </c>
      <c r="U75" s="112" t="n">
        <v>-0.0589</v>
      </c>
      <c r="V75" s="112" t="n">
        <v>-0.062</v>
      </c>
      <c r="W75" s="109" t="n">
        <v>-0.1271</v>
      </c>
      <c r="X75" s="110" t="n">
        <v>0</v>
      </c>
      <c r="Y75" s="110" t="n">
        <v>0.03</v>
      </c>
      <c r="Z75" s="110" t="n">
        <v>0.05</v>
      </c>
    </row>
    <row r="76" customFormat="false" ht="15.75" hidden="false" customHeight="false" outlineLevel="0" collapsed="false">
      <c r="A76" s="57" t="n">
        <v>74</v>
      </c>
      <c r="B76" s="111" t="n">
        <v>-0.0052</v>
      </c>
      <c r="C76" s="112" t="n">
        <v>-0.0002</v>
      </c>
      <c r="D76" s="108" t="n">
        <v>0.0048</v>
      </c>
      <c r="E76" s="108" t="n">
        <v>0.0072</v>
      </c>
      <c r="F76" s="108" t="n">
        <v>0.0096</v>
      </c>
      <c r="G76" s="108" t="n">
        <v>0.012</v>
      </c>
      <c r="H76" s="108" t="n">
        <v>0.0144</v>
      </c>
      <c r="I76" s="108" t="n">
        <v>0.0168</v>
      </c>
      <c r="J76" s="108" t="n">
        <v>0.0192</v>
      </c>
      <c r="K76" s="108" t="n">
        <v>0.0216</v>
      </c>
      <c r="L76" s="108" t="n">
        <v>0.024</v>
      </c>
      <c r="M76" s="108" t="n">
        <v>0.0264</v>
      </c>
      <c r="N76" s="108" t="n">
        <v>0.0288</v>
      </c>
      <c r="O76" s="108" t="n">
        <v>0.0312</v>
      </c>
      <c r="P76" s="108" t="n">
        <v>0.0336</v>
      </c>
      <c r="Q76" s="108" t="n">
        <v>0.036</v>
      </c>
      <c r="R76" s="108" t="n">
        <v>0.0384</v>
      </c>
      <c r="S76" s="108" t="n">
        <v>0.0408</v>
      </c>
      <c r="T76" s="108" t="n">
        <v>0.0432</v>
      </c>
      <c r="U76" s="108" t="n">
        <v>0.0456</v>
      </c>
      <c r="V76" s="108" t="n">
        <v>0.048</v>
      </c>
      <c r="W76" s="109" t="n">
        <v>0.3747</v>
      </c>
      <c r="X76" s="110" t="n">
        <v>0</v>
      </c>
      <c r="Y76" s="110" t="n">
        <v>0.03</v>
      </c>
      <c r="Z76" s="110" t="n">
        <v>0.05</v>
      </c>
    </row>
    <row r="77" customFormat="false" ht="15.75" hidden="false" customHeight="false" outlineLevel="0" collapsed="false">
      <c r="A77" s="57" t="n">
        <v>75</v>
      </c>
      <c r="B77" s="107" t="n">
        <v>0.0041</v>
      </c>
      <c r="C77" s="108" t="n">
        <v>0.0091</v>
      </c>
      <c r="D77" s="108" t="n">
        <v>0.0141</v>
      </c>
      <c r="E77" s="108" t="n">
        <v>0.0211</v>
      </c>
      <c r="F77" s="108" t="n">
        <v>0.0281</v>
      </c>
      <c r="G77" s="108" t="n">
        <v>0.0352</v>
      </c>
      <c r="H77" s="108" t="n">
        <v>0.0422</v>
      </c>
      <c r="I77" s="108" t="n">
        <v>0.0492</v>
      </c>
      <c r="J77" s="108" t="n">
        <v>0.0563</v>
      </c>
      <c r="K77" s="108" t="n">
        <v>0.0633</v>
      </c>
      <c r="L77" s="108" t="n">
        <v>0.0703</v>
      </c>
      <c r="M77" s="108" t="n">
        <v>0.0774</v>
      </c>
      <c r="N77" s="108" t="n">
        <v>0.0844</v>
      </c>
      <c r="O77" s="108" t="n">
        <v>0.0914</v>
      </c>
      <c r="P77" s="108" t="n">
        <v>0.0985</v>
      </c>
      <c r="Q77" s="108" t="n">
        <v>0.1055</v>
      </c>
      <c r="R77" s="108" t="n">
        <v>0.1125</v>
      </c>
      <c r="S77" s="108" t="n">
        <v>0.1196</v>
      </c>
      <c r="T77" s="108" t="n">
        <v>0.1266</v>
      </c>
      <c r="U77" s="108" t="n">
        <v>0.1336</v>
      </c>
      <c r="V77" s="108" t="n">
        <v>0.1407</v>
      </c>
      <c r="W77" s="109" t="n">
        <v>0.0806</v>
      </c>
      <c r="X77" s="110" t="n">
        <v>0</v>
      </c>
      <c r="Y77" s="110" t="n">
        <v>0.03</v>
      </c>
      <c r="Z77" s="110" t="n">
        <v>0.05</v>
      </c>
    </row>
    <row r="78" customFormat="false" ht="15.75" hidden="false" customHeight="false" outlineLevel="0" collapsed="false">
      <c r="A78" s="57" t="n">
        <v>76</v>
      </c>
      <c r="B78" s="107" t="n">
        <v>0.0016</v>
      </c>
      <c r="C78" s="108" t="n">
        <v>0.0066</v>
      </c>
      <c r="D78" s="108" t="n">
        <v>0.0116</v>
      </c>
      <c r="E78" s="108" t="n">
        <v>0.0174</v>
      </c>
      <c r="F78" s="108" t="n">
        <v>0.0232</v>
      </c>
      <c r="G78" s="108" t="n">
        <v>0.029</v>
      </c>
      <c r="H78" s="108" t="n">
        <v>0.0347</v>
      </c>
      <c r="I78" s="108" t="n">
        <v>0.0405</v>
      </c>
      <c r="J78" s="108" t="n">
        <v>0.0463</v>
      </c>
      <c r="K78" s="108" t="n">
        <v>0.0521</v>
      </c>
      <c r="L78" s="108" t="n">
        <v>0.0579</v>
      </c>
      <c r="M78" s="108" t="n">
        <v>0.0637</v>
      </c>
      <c r="N78" s="108" t="n">
        <v>0.0695</v>
      </c>
      <c r="O78" s="108" t="n">
        <v>0.0753</v>
      </c>
      <c r="P78" s="108" t="n">
        <v>0.0811</v>
      </c>
      <c r="Q78" s="108" t="n">
        <v>0.0869</v>
      </c>
      <c r="R78" s="108" t="n">
        <v>0.0927</v>
      </c>
      <c r="S78" s="108" t="n">
        <v>0.0985</v>
      </c>
      <c r="T78" s="108" t="n">
        <v>0.1042</v>
      </c>
      <c r="U78" s="108" t="n">
        <v>0.11</v>
      </c>
      <c r="V78" s="108" t="n">
        <v>0.1158</v>
      </c>
      <c r="W78" s="109" t="n">
        <v>-0.0391</v>
      </c>
      <c r="X78" s="110" t="n">
        <v>0</v>
      </c>
      <c r="Y78" s="110" t="n">
        <v>0.03</v>
      </c>
      <c r="Z78" s="110" t="n">
        <v>0.05</v>
      </c>
    </row>
    <row r="79" customFormat="false" ht="15.75" hidden="false" customHeight="false" outlineLevel="0" collapsed="false">
      <c r="A79" s="57" t="n">
        <v>77</v>
      </c>
      <c r="B79" s="111" t="n">
        <v>-0.0102</v>
      </c>
      <c r="C79" s="112" t="n">
        <v>-0.0052</v>
      </c>
      <c r="D79" s="112" t="n">
        <v>-0.0253</v>
      </c>
      <c r="E79" s="112" t="n">
        <v>-0.038</v>
      </c>
      <c r="F79" s="112" t="n">
        <v>-0.0507</v>
      </c>
      <c r="G79" s="112" t="n">
        <v>-0.0633</v>
      </c>
      <c r="H79" s="112" t="n">
        <v>-0.076</v>
      </c>
      <c r="I79" s="112" t="n">
        <v>-0.0887</v>
      </c>
      <c r="J79" s="112" t="n">
        <v>-0.1013</v>
      </c>
      <c r="K79" s="112" t="n">
        <v>-0.114</v>
      </c>
      <c r="L79" s="112" t="n">
        <v>-0.1267</v>
      </c>
      <c r="M79" s="112" t="n">
        <v>-0.1393</v>
      </c>
      <c r="N79" s="112" t="n">
        <v>-0.152</v>
      </c>
      <c r="O79" s="112" t="n">
        <v>-0.1647</v>
      </c>
      <c r="P79" s="112" t="n">
        <v>-0.1773</v>
      </c>
      <c r="Q79" s="112" t="n">
        <v>-0.19</v>
      </c>
      <c r="R79" s="112" t="n">
        <v>-0.2027</v>
      </c>
      <c r="S79" s="112" t="n">
        <v>-0.2153</v>
      </c>
      <c r="T79" s="112" t="n">
        <v>-0.228</v>
      </c>
      <c r="U79" s="112" t="n">
        <v>-0.2407</v>
      </c>
      <c r="V79" s="112" t="n">
        <v>-0.2533</v>
      </c>
      <c r="W79" s="109" t="n">
        <v>0.2326</v>
      </c>
      <c r="X79" s="110" t="n">
        <v>0</v>
      </c>
      <c r="Y79" s="110" t="n">
        <v>0.03</v>
      </c>
      <c r="Z79" s="110" t="n">
        <v>0.05</v>
      </c>
    </row>
    <row r="80" customFormat="false" ht="15.75" hidden="false" customHeight="false" outlineLevel="0" collapsed="false">
      <c r="A80" s="57" t="n">
        <v>78</v>
      </c>
      <c r="B80" s="111" t="n">
        <v>-0.0088</v>
      </c>
      <c r="C80" s="112" t="n">
        <v>-0.0038</v>
      </c>
      <c r="D80" s="108" t="n">
        <v>0.0012</v>
      </c>
      <c r="E80" s="108" t="n">
        <v>0.0018</v>
      </c>
      <c r="F80" s="108" t="n">
        <v>0.0024</v>
      </c>
      <c r="G80" s="108" t="n">
        <v>0.003</v>
      </c>
      <c r="H80" s="108" t="n">
        <v>0.0036</v>
      </c>
      <c r="I80" s="108" t="n">
        <v>0.0042</v>
      </c>
      <c r="J80" s="108" t="n">
        <v>0.0048</v>
      </c>
      <c r="K80" s="108" t="n">
        <v>0.0054</v>
      </c>
      <c r="L80" s="108" t="n">
        <v>0.006</v>
      </c>
      <c r="M80" s="108" t="n">
        <v>0.0066</v>
      </c>
      <c r="N80" s="108" t="n">
        <v>0.0072</v>
      </c>
      <c r="O80" s="108" t="n">
        <v>0.0078</v>
      </c>
      <c r="P80" s="108" t="n">
        <v>0.0084</v>
      </c>
      <c r="Q80" s="108" t="n">
        <v>0.009</v>
      </c>
      <c r="R80" s="108" t="n">
        <v>0.0096</v>
      </c>
      <c r="S80" s="108" t="n">
        <v>0.0102</v>
      </c>
      <c r="T80" s="108" t="n">
        <v>0.0108</v>
      </c>
      <c r="U80" s="108" t="n">
        <v>0.0114</v>
      </c>
      <c r="V80" s="108" t="n">
        <v>0.012</v>
      </c>
      <c r="W80" s="109" t="n">
        <v>-0.1165</v>
      </c>
      <c r="X80" s="110" t="n">
        <v>0</v>
      </c>
      <c r="Y80" s="110" t="n">
        <v>0.03</v>
      </c>
      <c r="Z80" s="110" t="n">
        <v>0.05</v>
      </c>
    </row>
    <row r="81" customFormat="false" ht="15.75" hidden="false" customHeight="false" outlineLevel="0" collapsed="false">
      <c r="A81" s="57" t="n">
        <v>79</v>
      </c>
      <c r="B81" s="111" t="n">
        <v>-0.004</v>
      </c>
      <c r="C81" s="108" t="n">
        <v>0.001</v>
      </c>
      <c r="D81" s="108" t="n">
        <v>0.006</v>
      </c>
      <c r="E81" s="108" t="n">
        <v>0.0091</v>
      </c>
      <c r="F81" s="108" t="n">
        <v>0.0121</v>
      </c>
      <c r="G81" s="108" t="n">
        <v>0.0151</v>
      </c>
      <c r="H81" s="108" t="n">
        <v>0.0181</v>
      </c>
      <c r="I81" s="108" t="n">
        <v>0.0212</v>
      </c>
      <c r="J81" s="108" t="n">
        <v>0.0242</v>
      </c>
      <c r="K81" s="108" t="n">
        <v>0.0272</v>
      </c>
      <c r="L81" s="108" t="n">
        <v>0.0302</v>
      </c>
      <c r="M81" s="108" t="n">
        <v>0.0333</v>
      </c>
      <c r="N81" s="108" t="n">
        <v>0.0363</v>
      </c>
      <c r="O81" s="108" t="n">
        <v>0.0393</v>
      </c>
      <c r="P81" s="108" t="n">
        <v>0.0423</v>
      </c>
      <c r="Q81" s="108" t="n">
        <v>0.0454</v>
      </c>
      <c r="R81" s="108" t="n">
        <v>0.0484</v>
      </c>
      <c r="S81" s="108" t="n">
        <v>0.0514</v>
      </c>
      <c r="T81" s="108" t="n">
        <v>0.0545</v>
      </c>
      <c r="U81" s="108" t="n">
        <v>0.0575</v>
      </c>
      <c r="V81" s="108" t="n">
        <v>0.0605</v>
      </c>
      <c r="W81" s="109" t="n">
        <v>0.2032</v>
      </c>
      <c r="X81" s="110" t="n">
        <v>0</v>
      </c>
      <c r="Y81" s="110" t="n">
        <v>0.03</v>
      </c>
      <c r="Z81" s="110" t="n">
        <v>0.05</v>
      </c>
    </row>
    <row r="82" customFormat="false" ht="15.75" hidden="false" customHeight="false" outlineLevel="0" collapsed="false">
      <c r="A82" s="57" t="n">
        <v>80</v>
      </c>
      <c r="B82" s="107" t="n">
        <v>0.0064</v>
      </c>
      <c r="C82" s="108" t="n">
        <v>0.0114</v>
      </c>
      <c r="D82" s="108" t="n">
        <v>0.0164</v>
      </c>
      <c r="E82" s="108" t="n">
        <v>0.0246</v>
      </c>
      <c r="F82" s="108" t="n">
        <v>0.0328</v>
      </c>
      <c r="G82" s="108" t="n">
        <v>0.041</v>
      </c>
      <c r="H82" s="108" t="n">
        <v>0.0492</v>
      </c>
      <c r="I82" s="108" t="n">
        <v>0.0574</v>
      </c>
      <c r="J82" s="108" t="n">
        <v>0.0656</v>
      </c>
      <c r="K82" s="108" t="n">
        <v>0.0738</v>
      </c>
      <c r="L82" s="108" t="n">
        <v>0.082</v>
      </c>
      <c r="M82" s="108" t="n">
        <v>0.0902</v>
      </c>
      <c r="N82" s="108" t="n">
        <v>0.0984</v>
      </c>
      <c r="O82" s="108" t="n">
        <v>0.1066</v>
      </c>
      <c r="P82" s="108" t="n">
        <v>0.1148</v>
      </c>
      <c r="Q82" s="108" t="n">
        <v>0.123</v>
      </c>
      <c r="R82" s="108" t="n">
        <v>0.1312</v>
      </c>
      <c r="S82" s="108" t="n">
        <v>0.1394</v>
      </c>
      <c r="T82" s="108" t="n">
        <v>0.1476</v>
      </c>
      <c r="U82" s="108" t="n">
        <v>0.1558</v>
      </c>
      <c r="V82" s="108" t="n">
        <v>0.164</v>
      </c>
      <c r="W82" s="109" t="n">
        <v>0.1167</v>
      </c>
      <c r="X82" s="110" t="n">
        <v>0</v>
      </c>
      <c r="Y82" s="110" t="n">
        <v>0.03</v>
      </c>
      <c r="Z82" s="110" t="n">
        <v>0.05</v>
      </c>
    </row>
    <row r="83" customFormat="false" ht="15.75" hidden="false" customHeight="false" outlineLevel="0" collapsed="false">
      <c r="A83" s="57" t="n">
        <v>81</v>
      </c>
      <c r="B83" s="111" t="n">
        <v>-0.0079</v>
      </c>
      <c r="C83" s="112" t="n">
        <v>-0.0028</v>
      </c>
      <c r="D83" s="108" t="n">
        <v>0.0021</v>
      </c>
      <c r="E83" s="108" t="n">
        <v>0.0032</v>
      </c>
      <c r="F83" s="108" t="n">
        <v>0.0043</v>
      </c>
      <c r="G83" s="108" t="n">
        <v>0.0053</v>
      </c>
      <c r="H83" s="108" t="n">
        <v>0.0064</v>
      </c>
      <c r="I83" s="108" t="n">
        <v>0.0075</v>
      </c>
      <c r="J83" s="108" t="n">
        <v>0.0085</v>
      </c>
      <c r="K83" s="108" t="n">
        <v>0.0096</v>
      </c>
      <c r="L83" s="108" t="n">
        <v>0.0107</v>
      </c>
      <c r="M83" s="108" t="n">
        <v>0.0117</v>
      </c>
      <c r="N83" s="108" t="n">
        <v>0.0128</v>
      </c>
      <c r="O83" s="108" t="n">
        <v>0.0139</v>
      </c>
      <c r="P83" s="108" t="n">
        <v>0.0149</v>
      </c>
      <c r="Q83" s="108" t="n">
        <v>0.016</v>
      </c>
      <c r="R83" s="108" t="n">
        <v>0.0171</v>
      </c>
      <c r="S83" s="108" t="n">
        <v>0.0181</v>
      </c>
      <c r="T83" s="108" t="n">
        <v>0.0192</v>
      </c>
      <c r="U83" s="108" t="n">
        <v>0.0203</v>
      </c>
      <c r="V83" s="108" t="n">
        <v>0.0213</v>
      </c>
      <c r="W83" s="109" t="n">
        <v>0.0944</v>
      </c>
      <c r="X83" s="110" t="n">
        <v>0</v>
      </c>
      <c r="Y83" s="110" t="n">
        <v>0.03</v>
      </c>
      <c r="Z83" s="110" t="n">
        <v>0.05</v>
      </c>
    </row>
    <row r="84" customFormat="false" ht="15.75" hidden="false" customHeight="false" outlineLevel="0" collapsed="false">
      <c r="A84" s="57" t="n">
        <v>82</v>
      </c>
      <c r="B84" s="107" t="n">
        <v>0.0126</v>
      </c>
      <c r="C84" s="108" t="n">
        <v>0.0176</v>
      </c>
      <c r="D84" s="108" t="n">
        <v>0.0226</v>
      </c>
      <c r="E84" s="108" t="n">
        <v>0.0339</v>
      </c>
      <c r="F84" s="108" t="n">
        <v>0.0451</v>
      </c>
      <c r="G84" s="108" t="n">
        <v>0.0564</v>
      </c>
      <c r="H84" s="108" t="n">
        <v>0.0677</v>
      </c>
      <c r="I84" s="108" t="n">
        <v>0.079</v>
      </c>
      <c r="J84" s="108" t="n">
        <v>0.0903</v>
      </c>
      <c r="K84" s="108" t="n">
        <v>0.1016</v>
      </c>
      <c r="L84" s="108" t="n">
        <v>0.1128</v>
      </c>
      <c r="M84" s="108" t="n">
        <v>0.1241</v>
      </c>
      <c r="N84" s="108" t="n">
        <v>0.1354</v>
      </c>
      <c r="O84" s="108" t="n">
        <v>0.1467</v>
      </c>
      <c r="P84" s="108" t="n">
        <v>0.158</v>
      </c>
      <c r="Q84" s="108" t="n">
        <v>0.1693</v>
      </c>
      <c r="R84" s="108" t="n">
        <v>0.1805</v>
      </c>
      <c r="S84" s="108" t="n">
        <v>0.1918</v>
      </c>
      <c r="T84" s="108" t="n">
        <v>0.2031</v>
      </c>
      <c r="U84" s="108" t="n">
        <v>0.2144</v>
      </c>
      <c r="V84" s="108" t="n">
        <v>0.2257</v>
      </c>
      <c r="W84" s="109" t="n">
        <v>-0.128</v>
      </c>
      <c r="X84" s="110" t="n">
        <v>0</v>
      </c>
      <c r="Y84" s="110" t="n">
        <v>0.03</v>
      </c>
      <c r="Z84" s="110" t="n">
        <v>0.05</v>
      </c>
    </row>
    <row r="85" customFormat="false" ht="15.75" hidden="false" customHeight="false" outlineLevel="0" collapsed="false">
      <c r="A85" s="57" t="n">
        <v>83</v>
      </c>
      <c r="B85" s="107" t="n">
        <v>0.0071</v>
      </c>
      <c r="C85" s="108" t="n">
        <v>0.0121</v>
      </c>
      <c r="D85" s="108" t="n">
        <v>0.0171</v>
      </c>
      <c r="E85" s="108" t="n">
        <v>0.0256</v>
      </c>
      <c r="F85" s="108" t="n">
        <v>0.0342</v>
      </c>
      <c r="G85" s="108" t="n">
        <v>0.0428</v>
      </c>
      <c r="H85" s="108" t="n">
        <v>0.0513</v>
      </c>
      <c r="I85" s="108" t="n">
        <v>0.0598</v>
      </c>
      <c r="J85" s="108" t="n">
        <v>0.0684</v>
      </c>
      <c r="K85" s="108" t="n">
        <v>0.077</v>
      </c>
      <c r="L85" s="108" t="n">
        <v>0.0855</v>
      </c>
      <c r="M85" s="108" t="n">
        <v>0.094</v>
      </c>
      <c r="N85" s="108" t="n">
        <v>0.1026</v>
      </c>
      <c r="O85" s="108" t="n">
        <v>0.1111</v>
      </c>
      <c r="P85" s="108" t="n">
        <v>0.1197</v>
      </c>
      <c r="Q85" s="108" t="n">
        <v>0.1283</v>
      </c>
      <c r="R85" s="108" t="n">
        <v>0.1368</v>
      </c>
      <c r="S85" s="108" t="n">
        <v>0.1454</v>
      </c>
      <c r="T85" s="108" t="n">
        <v>0.1539</v>
      </c>
      <c r="U85" s="108" t="n">
        <v>0.1624</v>
      </c>
      <c r="V85" s="108" t="n">
        <v>0.171</v>
      </c>
      <c r="W85" s="109" t="n">
        <v>0.1957</v>
      </c>
      <c r="X85" s="110" t="n">
        <v>0</v>
      </c>
      <c r="Y85" s="110" t="n">
        <v>0.03</v>
      </c>
      <c r="Z85" s="110" t="n">
        <v>0.05</v>
      </c>
    </row>
    <row r="86" customFormat="false" ht="15.75" hidden="false" customHeight="false" outlineLevel="0" collapsed="false">
      <c r="A86" s="57" t="n">
        <v>84</v>
      </c>
      <c r="B86" s="111" t="n">
        <v>-0.033</v>
      </c>
      <c r="C86" s="112" t="n">
        <v>-0.028</v>
      </c>
      <c r="D86" s="112" t="n">
        <v>-0.023</v>
      </c>
      <c r="E86" s="112" t="n">
        <v>-0.0345</v>
      </c>
      <c r="F86" s="112" t="n">
        <v>-0.0459</v>
      </c>
      <c r="G86" s="112" t="n">
        <v>-0.0574</v>
      </c>
      <c r="H86" s="112" t="n">
        <v>-0.0689</v>
      </c>
      <c r="I86" s="112" t="n">
        <v>-0.0804</v>
      </c>
      <c r="J86" s="112" t="n">
        <v>-0.0919</v>
      </c>
      <c r="K86" s="112" t="n">
        <v>-0.1034</v>
      </c>
      <c r="L86" s="112" t="n">
        <v>-0.1148</v>
      </c>
      <c r="M86" s="112" t="n">
        <v>-0.1263</v>
      </c>
      <c r="N86" s="112" t="n">
        <v>-0.1378</v>
      </c>
      <c r="O86" s="112" t="n">
        <v>-0.1493</v>
      </c>
      <c r="P86" s="112" t="n">
        <v>-0.1608</v>
      </c>
      <c r="Q86" s="112" t="n">
        <v>-0.1723</v>
      </c>
      <c r="R86" s="112" t="n">
        <v>-0.1837</v>
      </c>
      <c r="S86" s="112" t="n">
        <v>-0.1952</v>
      </c>
      <c r="T86" s="112" t="n">
        <v>-0.2067</v>
      </c>
      <c r="U86" s="112" t="n">
        <v>-0.2182</v>
      </c>
      <c r="V86" s="112" t="n">
        <v>-0.2297</v>
      </c>
      <c r="W86" s="109" t="n">
        <v>0.0814</v>
      </c>
      <c r="X86" s="110" t="n">
        <v>0</v>
      </c>
      <c r="Y86" s="110" t="n">
        <v>0.03</v>
      </c>
      <c r="Z86" s="110" t="n">
        <v>0.05</v>
      </c>
    </row>
    <row r="87" customFormat="false" ht="15.75" hidden="false" customHeight="false" outlineLevel="0" collapsed="false">
      <c r="A87" s="57" t="n">
        <v>85</v>
      </c>
      <c r="B87" s="107" t="n">
        <v>0.0056</v>
      </c>
      <c r="C87" s="108" t="n">
        <v>0.0106</v>
      </c>
      <c r="D87" s="108" t="n">
        <v>0.0156</v>
      </c>
      <c r="E87" s="108" t="n">
        <v>0.0234</v>
      </c>
      <c r="F87" s="108" t="n">
        <v>0.0312</v>
      </c>
      <c r="G87" s="108" t="n">
        <v>0.039</v>
      </c>
      <c r="H87" s="108" t="n">
        <v>0.0468</v>
      </c>
      <c r="I87" s="108" t="n">
        <v>0.0546</v>
      </c>
      <c r="J87" s="108" t="n">
        <v>0.0624</v>
      </c>
      <c r="K87" s="108" t="n">
        <v>0.0702</v>
      </c>
      <c r="L87" s="108" t="n">
        <v>0.078</v>
      </c>
      <c r="M87" s="108" t="n">
        <v>0.0858</v>
      </c>
      <c r="N87" s="108" t="n">
        <v>0.0936</v>
      </c>
      <c r="O87" s="108" t="n">
        <v>0.1014</v>
      </c>
      <c r="P87" s="108" t="n">
        <v>0.1092</v>
      </c>
      <c r="Q87" s="108" t="n">
        <v>0.117</v>
      </c>
      <c r="R87" s="108" t="n">
        <v>0.1248</v>
      </c>
      <c r="S87" s="108" t="n">
        <v>0.1326</v>
      </c>
      <c r="T87" s="108" t="n">
        <v>0.1404</v>
      </c>
      <c r="U87" s="108" t="n">
        <v>0.1482</v>
      </c>
      <c r="V87" s="108" t="n">
        <v>0.156</v>
      </c>
      <c r="W87" s="109" t="n">
        <v>-0.1052</v>
      </c>
      <c r="X87" s="110" t="n">
        <v>0</v>
      </c>
      <c r="Y87" s="110" t="n">
        <v>0.03</v>
      </c>
      <c r="Z87" s="110" t="n">
        <v>0.05</v>
      </c>
    </row>
    <row r="88" customFormat="false" ht="15.75" hidden="false" customHeight="false" outlineLevel="0" collapsed="false">
      <c r="A88" s="57" t="n">
        <v>86</v>
      </c>
      <c r="B88" s="107" t="n">
        <v>0.0029</v>
      </c>
      <c r="C88" s="108" t="n">
        <v>0.0079</v>
      </c>
      <c r="D88" s="108" t="n">
        <v>0.0129</v>
      </c>
      <c r="E88" s="108" t="n">
        <v>0.0193</v>
      </c>
      <c r="F88" s="108" t="n">
        <v>0.0258</v>
      </c>
      <c r="G88" s="108" t="n">
        <v>0.0322</v>
      </c>
      <c r="H88" s="108" t="n">
        <v>0.0386</v>
      </c>
      <c r="I88" s="108" t="n">
        <v>0.0451</v>
      </c>
      <c r="J88" s="108" t="n">
        <v>0.0515</v>
      </c>
      <c r="K88" s="108" t="n">
        <v>0.058</v>
      </c>
      <c r="L88" s="108" t="n">
        <v>0.0644</v>
      </c>
      <c r="M88" s="108" t="n">
        <v>0.0709</v>
      </c>
      <c r="N88" s="108" t="n">
        <v>0.0773</v>
      </c>
      <c r="O88" s="108" t="n">
        <v>0.0837</v>
      </c>
      <c r="P88" s="108" t="n">
        <v>0.0902</v>
      </c>
      <c r="Q88" s="108" t="n">
        <v>0.0966</v>
      </c>
      <c r="R88" s="108" t="n">
        <v>0.1031</v>
      </c>
      <c r="S88" s="108" t="n">
        <v>0.1095</v>
      </c>
      <c r="T88" s="108" t="n">
        <v>0.1159</v>
      </c>
      <c r="U88" s="108" t="n">
        <v>0.1224</v>
      </c>
      <c r="V88" s="108" t="n">
        <v>0.1288</v>
      </c>
      <c r="W88" s="109" t="n">
        <v>-0.0199</v>
      </c>
      <c r="X88" s="110" t="n">
        <v>0</v>
      </c>
      <c r="Y88" s="110" t="n">
        <v>0.03</v>
      </c>
      <c r="Z88" s="110" t="n">
        <v>0.05</v>
      </c>
    </row>
    <row r="89" customFormat="false" ht="15.75" hidden="false" customHeight="false" outlineLevel="0" collapsed="false">
      <c r="A89" s="57" t="n">
        <v>87</v>
      </c>
      <c r="B89" s="111" t="n">
        <v>-0.0026</v>
      </c>
      <c r="C89" s="108" t="n">
        <v>0.0024</v>
      </c>
      <c r="D89" s="108" t="n">
        <v>0.0263</v>
      </c>
      <c r="E89" s="108" t="n">
        <v>0.0395</v>
      </c>
      <c r="F89" s="108" t="n">
        <v>0.0527</v>
      </c>
      <c r="G89" s="108" t="n">
        <v>0.0658</v>
      </c>
      <c r="H89" s="108" t="n">
        <v>0.079</v>
      </c>
      <c r="I89" s="108" t="n">
        <v>0.0922</v>
      </c>
      <c r="J89" s="108" t="n">
        <v>0.1053</v>
      </c>
      <c r="K89" s="108" t="n">
        <v>0.1185</v>
      </c>
      <c r="L89" s="108" t="n">
        <v>0.1317</v>
      </c>
      <c r="M89" s="108" t="n">
        <v>0.1448</v>
      </c>
      <c r="N89" s="108" t="n">
        <v>0.158</v>
      </c>
      <c r="O89" s="108" t="n">
        <v>0.1712</v>
      </c>
      <c r="P89" s="108" t="n">
        <v>0.1843</v>
      </c>
      <c r="Q89" s="108" t="n">
        <v>0.1975</v>
      </c>
      <c r="R89" s="108" t="n">
        <v>0.2107</v>
      </c>
      <c r="S89" s="108" t="n">
        <v>0.2238</v>
      </c>
      <c r="T89" s="108" t="n">
        <v>0.237</v>
      </c>
      <c r="U89" s="108" t="n">
        <v>0.2502</v>
      </c>
      <c r="V89" s="108" t="n">
        <v>0.2633</v>
      </c>
      <c r="W89" s="109" t="n">
        <v>0.1154</v>
      </c>
      <c r="X89" s="110" t="n">
        <v>0</v>
      </c>
      <c r="Y89" s="110" t="n">
        <v>0.03</v>
      </c>
      <c r="Z89" s="110" t="n">
        <v>0.05</v>
      </c>
    </row>
    <row r="90" customFormat="false" ht="15.75" hidden="false" customHeight="false" outlineLevel="0" collapsed="false">
      <c r="A90" s="57" t="n">
        <v>88</v>
      </c>
      <c r="B90" s="111" t="n">
        <v>-0.0056</v>
      </c>
      <c r="C90" s="112" t="n">
        <v>-0.0006</v>
      </c>
      <c r="D90" s="108" t="n">
        <v>0.0202</v>
      </c>
      <c r="E90" s="108" t="n">
        <v>0.0303</v>
      </c>
      <c r="F90" s="108" t="n">
        <v>0.0403</v>
      </c>
      <c r="G90" s="108" t="n">
        <v>0.0504</v>
      </c>
      <c r="H90" s="108" t="n">
        <v>0.0605</v>
      </c>
      <c r="I90" s="108" t="n">
        <v>0.0706</v>
      </c>
      <c r="J90" s="108" t="n">
        <v>0.0807</v>
      </c>
      <c r="K90" s="108" t="n">
        <v>0.0908</v>
      </c>
      <c r="L90" s="108" t="n">
        <v>0.1008</v>
      </c>
      <c r="M90" s="108" t="n">
        <v>0.1109</v>
      </c>
      <c r="N90" s="108" t="n">
        <v>0.121</v>
      </c>
      <c r="O90" s="108" t="n">
        <v>0.1311</v>
      </c>
      <c r="P90" s="108" t="n">
        <v>0.1412</v>
      </c>
      <c r="Q90" s="108" t="n">
        <v>0.1513</v>
      </c>
      <c r="R90" s="108" t="n">
        <v>0.1613</v>
      </c>
      <c r="S90" s="108" t="n">
        <v>0.1714</v>
      </c>
      <c r="T90" s="108" t="n">
        <v>0.1815</v>
      </c>
      <c r="U90" s="108" t="n">
        <v>0.1916</v>
      </c>
      <c r="V90" s="108" t="n">
        <v>0.2017</v>
      </c>
      <c r="W90" s="109" t="n">
        <v>0.1714</v>
      </c>
      <c r="X90" s="110" t="n">
        <v>0</v>
      </c>
      <c r="Y90" s="110" t="n">
        <v>0.03</v>
      </c>
      <c r="Z90" s="110" t="n">
        <v>0.05</v>
      </c>
    </row>
    <row r="91" customFormat="false" ht="15.75" hidden="false" customHeight="false" outlineLevel="0" collapsed="false">
      <c r="A91" s="57" t="n">
        <v>89</v>
      </c>
      <c r="B91" s="107" t="n">
        <v>0.0021</v>
      </c>
      <c r="C91" s="108" t="n">
        <v>0.0071</v>
      </c>
      <c r="D91" s="108" t="n">
        <v>0.012</v>
      </c>
      <c r="E91" s="108" t="n">
        <v>0.0181</v>
      </c>
      <c r="F91" s="108" t="n">
        <v>0.0241</v>
      </c>
      <c r="G91" s="108" t="n">
        <v>0.0301</v>
      </c>
      <c r="H91" s="108" t="n">
        <v>0.0362</v>
      </c>
      <c r="I91" s="108" t="n">
        <v>0.0422</v>
      </c>
      <c r="J91" s="108" t="n">
        <v>0.0482</v>
      </c>
      <c r="K91" s="108" t="n">
        <v>0.0542</v>
      </c>
      <c r="L91" s="108" t="n">
        <v>0.0603</v>
      </c>
      <c r="M91" s="108" t="n">
        <v>0.0663</v>
      </c>
      <c r="N91" s="108" t="n">
        <v>0.0723</v>
      </c>
      <c r="O91" s="108" t="n">
        <v>0.0783</v>
      </c>
      <c r="P91" s="108" t="n">
        <v>0.0844</v>
      </c>
      <c r="Q91" s="108" t="n">
        <v>0.0904</v>
      </c>
      <c r="R91" s="108" t="n">
        <v>0.0964</v>
      </c>
      <c r="S91" s="108" t="n">
        <v>0.1024</v>
      </c>
      <c r="T91" s="108" t="n">
        <v>0.1085</v>
      </c>
      <c r="U91" s="108" t="n">
        <v>0.1145</v>
      </c>
      <c r="V91" s="108" t="n">
        <v>0.1205</v>
      </c>
      <c r="W91" s="109" t="n">
        <v>-0.1798</v>
      </c>
      <c r="X91" s="110" t="n">
        <v>0</v>
      </c>
      <c r="Y91" s="110" t="n">
        <v>0.03</v>
      </c>
      <c r="Z91" s="110" t="n">
        <v>0.05</v>
      </c>
    </row>
    <row r="92" customFormat="false" ht="15.75" hidden="false" customHeight="false" outlineLevel="0" collapsed="false">
      <c r="A92" s="57" t="n">
        <v>90</v>
      </c>
      <c r="B92" s="111" t="n">
        <v>-0.0094</v>
      </c>
      <c r="C92" s="112" t="n">
        <v>-0.0044</v>
      </c>
      <c r="D92" s="108" t="n">
        <v>0.0208</v>
      </c>
      <c r="E92" s="108" t="n">
        <v>0.0312</v>
      </c>
      <c r="F92" s="108" t="n">
        <v>0.0417</v>
      </c>
      <c r="G92" s="108" t="n">
        <v>0.0521</v>
      </c>
      <c r="H92" s="108" t="n">
        <v>0.0625</v>
      </c>
      <c r="I92" s="108" t="n">
        <v>0.0729</v>
      </c>
      <c r="J92" s="108" t="n">
        <v>0.0833</v>
      </c>
      <c r="K92" s="108" t="n">
        <v>0.0937</v>
      </c>
      <c r="L92" s="108" t="n">
        <v>0.1042</v>
      </c>
      <c r="M92" s="108" t="n">
        <v>0.1146</v>
      </c>
      <c r="N92" s="108" t="n">
        <v>0.125</v>
      </c>
      <c r="O92" s="108" t="n">
        <v>0.1354</v>
      </c>
      <c r="P92" s="108" t="n">
        <v>0.1458</v>
      </c>
      <c r="Q92" s="108" t="n">
        <v>0.1562</v>
      </c>
      <c r="R92" s="108" t="n">
        <v>0.1667</v>
      </c>
      <c r="S92" s="108" t="n">
        <v>0.1771</v>
      </c>
      <c r="T92" s="108" t="n">
        <v>0.1875</v>
      </c>
      <c r="U92" s="108" t="n">
        <v>0.1979</v>
      </c>
      <c r="V92" s="108" t="n">
        <v>0.2083</v>
      </c>
      <c r="W92" s="109" t="n">
        <v>-0.281</v>
      </c>
      <c r="X92" s="110" t="n">
        <v>0</v>
      </c>
      <c r="Y92" s="110" t="n">
        <v>0.03</v>
      </c>
      <c r="Z92" s="110" t="n">
        <v>0.05</v>
      </c>
    </row>
    <row r="93" customFormat="false" ht="15.75" hidden="false" customHeight="false" outlineLevel="0" collapsed="false">
      <c r="A93" s="57" t="n">
        <v>91</v>
      </c>
      <c r="B93" s="107" t="n">
        <v>0.0047</v>
      </c>
      <c r="C93" s="108" t="n">
        <v>0.0094</v>
      </c>
      <c r="D93" s="108" t="n">
        <v>0.0147</v>
      </c>
      <c r="E93" s="108" t="n">
        <v>0.022</v>
      </c>
      <c r="F93" s="108" t="n">
        <v>0.0293</v>
      </c>
      <c r="G93" s="108" t="n">
        <v>0.0366</v>
      </c>
      <c r="H93" s="108" t="n">
        <v>0.0439</v>
      </c>
      <c r="I93" s="108" t="n">
        <v>0.0513</v>
      </c>
      <c r="J93" s="108" t="n">
        <v>0.0586</v>
      </c>
      <c r="K93" s="108" t="n">
        <v>0.0659</v>
      </c>
      <c r="L93" s="108" t="n">
        <v>0.0732</v>
      </c>
      <c r="M93" s="108" t="n">
        <v>0.0806</v>
      </c>
      <c r="N93" s="108" t="n">
        <v>0.0879</v>
      </c>
      <c r="O93" s="108" t="n">
        <v>0.0952</v>
      </c>
      <c r="P93" s="108" t="n">
        <v>0.1026</v>
      </c>
      <c r="Q93" s="108" t="n">
        <v>0.1099</v>
      </c>
      <c r="R93" s="108" t="n">
        <v>0.1172</v>
      </c>
      <c r="S93" s="108" t="n">
        <v>0.1245</v>
      </c>
      <c r="T93" s="108" t="n">
        <v>0.1318</v>
      </c>
      <c r="U93" s="108" t="n">
        <v>0.1392</v>
      </c>
      <c r="V93" s="108" t="n">
        <v>0.1465</v>
      </c>
      <c r="W93" s="109" t="n">
        <v>0.2943</v>
      </c>
      <c r="X93" s="110" t="n">
        <v>0</v>
      </c>
      <c r="Y93" s="110" t="n">
        <v>0.03</v>
      </c>
      <c r="Z93" s="110" t="n">
        <v>0.05</v>
      </c>
    </row>
    <row r="94" customFormat="false" ht="15.75" hidden="false" customHeight="false" outlineLevel="0" collapsed="false">
      <c r="A94" s="57" t="n">
        <v>92</v>
      </c>
      <c r="B94" s="107" t="n">
        <v>0.0018</v>
      </c>
      <c r="C94" s="108" t="n">
        <v>0.0068</v>
      </c>
      <c r="D94" s="108" t="n">
        <v>0.0118</v>
      </c>
      <c r="E94" s="108" t="n">
        <v>0.0177</v>
      </c>
      <c r="F94" s="108" t="n">
        <v>0.0235</v>
      </c>
      <c r="G94" s="108" t="n">
        <v>0.0294</v>
      </c>
      <c r="H94" s="108" t="n">
        <v>0.0353</v>
      </c>
      <c r="I94" s="108" t="n">
        <v>0.0412</v>
      </c>
      <c r="J94" s="108" t="n">
        <v>0.0471</v>
      </c>
      <c r="K94" s="108" t="n">
        <v>0.053</v>
      </c>
      <c r="L94" s="108" t="n">
        <v>0.0588</v>
      </c>
      <c r="M94" s="108" t="n">
        <v>0.0647</v>
      </c>
      <c r="N94" s="108" t="n">
        <v>0.0706</v>
      </c>
      <c r="O94" s="108" t="n">
        <v>0.0765</v>
      </c>
      <c r="P94" s="108" t="n">
        <v>0.0824</v>
      </c>
      <c r="Q94" s="108" t="n">
        <v>0.0883</v>
      </c>
      <c r="R94" s="108" t="n">
        <v>0.0941</v>
      </c>
      <c r="S94" s="108" t="n">
        <v>0.1</v>
      </c>
      <c r="T94" s="108" t="n">
        <v>0.1059</v>
      </c>
      <c r="U94" s="108" t="n">
        <v>0.1118</v>
      </c>
      <c r="V94" s="108" t="n">
        <v>0.1177</v>
      </c>
      <c r="W94" s="109" t="n">
        <v>0.1771</v>
      </c>
      <c r="X94" s="110" t="n">
        <v>0</v>
      </c>
      <c r="Y94" s="110" t="n">
        <v>0.03</v>
      </c>
      <c r="Z94" s="110" t="n">
        <v>0.05</v>
      </c>
    </row>
    <row r="95" customFormat="false" ht="15.75" hidden="false" customHeight="false" outlineLevel="0" collapsed="false">
      <c r="A95" s="57" t="n">
        <v>93</v>
      </c>
      <c r="B95" s="111" t="n">
        <v>-0.0203</v>
      </c>
      <c r="C95" s="112" t="n">
        <v>-0.0153</v>
      </c>
      <c r="D95" s="112" t="n">
        <v>-0.0163</v>
      </c>
      <c r="E95" s="112" t="n">
        <v>-0.0245</v>
      </c>
      <c r="F95" s="112" t="n">
        <v>-0.0327</v>
      </c>
      <c r="G95" s="112" t="n">
        <v>-0.0408</v>
      </c>
      <c r="H95" s="112" t="n">
        <v>-0.049</v>
      </c>
      <c r="I95" s="112" t="n">
        <v>-0.0572</v>
      </c>
      <c r="J95" s="112" t="n">
        <v>-0.0653</v>
      </c>
      <c r="K95" s="112" t="n">
        <v>-0.0735</v>
      </c>
      <c r="L95" s="112" t="n">
        <v>-0.0817</v>
      </c>
      <c r="M95" s="112" t="n">
        <v>-0.0898</v>
      </c>
      <c r="N95" s="112" t="n">
        <v>-0.098</v>
      </c>
      <c r="O95" s="112" t="n">
        <v>-0.1062</v>
      </c>
      <c r="P95" s="112" t="n">
        <v>-0.1143</v>
      </c>
      <c r="Q95" s="112" t="n">
        <v>-0.1225</v>
      </c>
      <c r="R95" s="112" t="n">
        <v>-0.1307</v>
      </c>
      <c r="S95" s="112" t="n">
        <v>-0.1388</v>
      </c>
      <c r="T95" s="112" t="n">
        <v>-0.147</v>
      </c>
      <c r="U95" s="112" t="n">
        <v>-0.1552</v>
      </c>
      <c r="V95" s="112" t="n">
        <v>-0.1633</v>
      </c>
      <c r="W95" s="109" t="n">
        <v>-0.1232</v>
      </c>
      <c r="X95" s="110" t="n">
        <v>0</v>
      </c>
      <c r="Y95" s="110" t="n">
        <v>0.03</v>
      </c>
      <c r="Z95" s="110" t="n">
        <v>0.05</v>
      </c>
    </row>
    <row r="96" customFormat="false" ht="15.75" hidden="false" customHeight="false" outlineLevel="0" collapsed="false">
      <c r="A96" s="57" t="n">
        <v>94</v>
      </c>
      <c r="B96" s="107" t="n">
        <v>0.0126</v>
      </c>
      <c r="C96" s="108" t="n">
        <v>0.0176</v>
      </c>
      <c r="D96" s="108" t="n">
        <v>0.0224</v>
      </c>
      <c r="E96" s="108" t="n">
        <v>0.0336</v>
      </c>
      <c r="F96" s="108" t="n">
        <v>0.0448</v>
      </c>
      <c r="G96" s="108" t="n">
        <v>0.056</v>
      </c>
      <c r="H96" s="108" t="n">
        <v>0.0671</v>
      </c>
      <c r="I96" s="108" t="n">
        <v>0.0783</v>
      </c>
      <c r="J96" s="108" t="n">
        <v>0.0895</v>
      </c>
      <c r="K96" s="108" t="n">
        <v>0.1007</v>
      </c>
      <c r="L96" s="108" t="n">
        <v>0.1119</v>
      </c>
      <c r="M96" s="108" t="n">
        <v>0.1231</v>
      </c>
      <c r="N96" s="108" t="n">
        <v>0.1343</v>
      </c>
      <c r="O96" s="108" t="n">
        <v>0.1455</v>
      </c>
      <c r="P96" s="108" t="n">
        <v>0.1567</v>
      </c>
      <c r="Q96" s="108" t="n">
        <v>0.1679</v>
      </c>
      <c r="R96" s="108" t="n">
        <v>0.1791</v>
      </c>
      <c r="S96" s="108" t="n">
        <v>0.1903</v>
      </c>
      <c r="T96" s="108" t="n">
        <v>0.2014</v>
      </c>
      <c r="U96" s="108" t="n">
        <v>0.2126</v>
      </c>
      <c r="V96" s="108" t="n">
        <v>0.2238</v>
      </c>
      <c r="W96" s="109" t="n">
        <v>0.031</v>
      </c>
      <c r="X96" s="110" t="n">
        <v>0</v>
      </c>
      <c r="Y96" s="110" t="n">
        <v>0.03</v>
      </c>
      <c r="Z96" s="110" t="n">
        <v>0.05</v>
      </c>
    </row>
    <row r="97" customFormat="false" ht="15.75" hidden="false" customHeight="false" outlineLevel="0" collapsed="false">
      <c r="A97" s="57" t="n">
        <v>95</v>
      </c>
      <c r="B97" s="107" t="n">
        <v>0.0226</v>
      </c>
      <c r="C97" s="108" t="n">
        <v>0.0275</v>
      </c>
      <c r="D97" s="108" t="n">
        <v>0.0326</v>
      </c>
      <c r="E97" s="108" t="n">
        <v>0.0489</v>
      </c>
      <c r="F97" s="108" t="n">
        <v>0.0652</v>
      </c>
      <c r="G97" s="108" t="n">
        <v>0.0815</v>
      </c>
      <c r="H97" s="108" t="n">
        <v>0.0979</v>
      </c>
      <c r="I97" s="108" t="n">
        <v>0.1142</v>
      </c>
      <c r="J97" s="108" t="n">
        <v>0.1305</v>
      </c>
      <c r="K97" s="108" t="n">
        <v>0.1468</v>
      </c>
      <c r="L97" s="108" t="n">
        <v>0.1631</v>
      </c>
      <c r="M97" s="108" t="n">
        <v>0.1794</v>
      </c>
      <c r="N97" s="108" t="n">
        <v>0.1957</v>
      </c>
      <c r="O97" s="108" t="n">
        <v>0.212</v>
      </c>
      <c r="P97" s="108" t="n">
        <v>0.2283</v>
      </c>
      <c r="Q97" s="108" t="n">
        <v>0.2446</v>
      </c>
      <c r="R97" s="108" t="n">
        <v>0.2609</v>
      </c>
      <c r="S97" s="108" t="n">
        <v>0.2772</v>
      </c>
      <c r="T97" s="108" t="n">
        <v>0.2936</v>
      </c>
      <c r="U97" s="108" t="n">
        <v>0.3099</v>
      </c>
      <c r="V97" s="108" t="n">
        <v>0.3262</v>
      </c>
      <c r="W97" s="109" t="n">
        <v>0.0934</v>
      </c>
      <c r="X97" s="110" t="n">
        <v>0</v>
      </c>
      <c r="Y97" s="110" t="n">
        <v>0.03</v>
      </c>
      <c r="Z97" s="110" t="n">
        <v>0.05</v>
      </c>
    </row>
    <row r="98" customFormat="false" ht="15.75" hidden="false" customHeight="false" outlineLevel="0" collapsed="false">
      <c r="A98" s="57" t="n">
        <v>96</v>
      </c>
      <c r="B98" s="107" t="n">
        <v>0.0066</v>
      </c>
      <c r="C98" s="108" t="n">
        <v>0.0116</v>
      </c>
      <c r="D98" s="108" t="n">
        <v>0.0166</v>
      </c>
      <c r="E98" s="108" t="n">
        <v>0.0249</v>
      </c>
      <c r="F98" s="108" t="n">
        <v>0.0331</v>
      </c>
      <c r="G98" s="108" t="n">
        <v>0.0414</v>
      </c>
      <c r="H98" s="108" t="n">
        <v>0.0497</v>
      </c>
      <c r="I98" s="108" t="n">
        <v>0.058</v>
      </c>
      <c r="J98" s="108" t="n">
        <v>0.0663</v>
      </c>
      <c r="K98" s="108" t="n">
        <v>0.0746</v>
      </c>
      <c r="L98" s="108" t="n">
        <v>0.0828</v>
      </c>
      <c r="M98" s="108" t="n">
        <v>0.0911</v>
      </c>
      <c r="N98" s="108" t="n">
        <v>0.0994</v>
      </c>
      <c r="O98" s="108" t="n">
        <v>0.1077</v>
      </c>
      <c r="P98" s="108" t="n">
        <v>0.116</v>
      </c>
      <c r="Q98" s="108" t="n">
        <v>0.1243</v>
      </c>
      <c r="R98" s="108" t="n">
        <v>0.1325</v>
      </c>
      <c r="S98" s="108" t="n">
        <v>0.1408</v>
      </c>
      <c r="T98" s="108" t="n">
        <v>0.1491</v>
      </c>
      <c r="U98" s="108" t="n">
        <v>0.1574</v>
      </c>
      <c r="V98" s="108" t="n">
        <v>0.1657</v>
      </c>
      <c r="W98" s="109" t="n">
        <v>0.2891</v>
      </c>
      <c r="X98" s="110" t="n">
        <v>0</v>
      </c>
      <c r="Y98" s="110" t="n">
        <v>0.03</v>
      </c>
      <c r="Z98" s="110" t="n">
        <v>0.05</v>
      </c>
    </row>
    <row r="99" customFormat="false" ht="15.75" hidden="false" customHeight="false" outlineLevel="0" collapsed="false">
      <c r="A99" s="57" t="n">
        <v>97</v>
      </c>
      <c r="B99" s="111" t="n">
        <v>-0.0171</v>
      </c>
      <c r="C99" s="112" t="n">
        <v>-0.0121</v>
      </c>
      <c r="D99" s="112" t="n">
        <v>-0.0071</v>
      </c>
      <c r="E99" s="112" t="n">
        <v>-0.0106</v>
      </c>
      <c r="F99" s="112" t="n">
        <v>-0.0142</v>
      </c>
      <c r="G99" s="112" t="n">
        <v>-0.0177</v>
      </c>
      <c r="H99" s="112" t="n">
        <v>-0.0212</v>
      </c>
      <c r="I99" s="112" t="n">
        <v>-0.0248</v>
      </c>
      <c r="J99" s="112" t="n">
        <v>-0.0283</v>
      </c>
      <c r="K99" s="112" t="n">
        <v>-0.0319</v>
      </c>
      <c r="L99" s="112" t="n">
        <v>-0.0354</v>
      </c>
      <c r="M99" s="112" t="n">
        <v>-0.039</v>
      </c>
      <c r="N99" s="112" t="n">
        <v>-0.0425</v>
      </c>
      <c r="O99" s="112" t="n">
        <v>-0.046</v>
      </c>
      <c r="P99" s="112" t="n">
        <v>-0.0496</v>
      </c>
      <c r="Q99" s="112" t="n">
        <v>-0.0531</v>
      </c>
      <c r="R99" s="112" t="n">
        <v>-0.0567</v>
      </c>
      <c r="S99" s="112" t="n">
        <v>-0.0602</v>
      </c>
      <c r="T99" s="112" t="n">
        <v>-0.0637</v>
      </c>
      <c r="U99" s="112" t="n">
        <v>-0.0673</v>
      </c>
      <c r="V99" s="112" t="n">
        <v>-0.0708</v>
      </c>
      <c r="W99" s="109" t="n">
        <v>-0.0998</v>
      </c>
      <c r="X99" s="110" t="n">
        <v>0</v>
      </c>
      <c r="Y99" s="110" t="n">
        <v>0.03</v>
      </c>
      <c r="Z99" s="110" t="n">
        <v>0.05</v>
      </c>
    </row>
    <row r="100" customFormat="false" ht="15.75" hidden="false" customHeight="false" outlineLevel="0" collapsed="false">
      <c r="A100" s="57" t="n">
        <v>98</v>
      </c>
      <c r="B100" s="107" t="n">
        <v>0.0104</v>
      </c>
      <c r="C100" s="108" t="n">
        <v>0.0154</v>
      </c>
      <c r="D100" s="108" t="n">
        <v>0.0204</v>
      </c>
      <c r="E100" s="108" t="n">
        <v>0.0306</v>
      </c>
      <c r="F100" s="108" t="n">
        <v>0.0408</v>
      </c>
      <c r="G100" s="108" t="n">
        <v>0.051</v>
      </c>
      <c r="H100" s="108" t="n">
        <v>0.0611</v>
      </c>
      <c r="I100" s="108" t="n">
        <v>0.0713</v>
      </c>
      <c r="J100" s="108" t="n">
        <v>0.0815</v>
      </c>
      <c r="K100" s="108" t="n">
        <v>0.0917</v>
      </c>
      <c r="L100" s="108" t="n">
        <v>0.1019</v>
      </c>
      <c r="M100" s="108" t="n">
        <v>0.1121</v>
      </c>
      <c r="N100" s="108" t="n">
        <v>0.1223</v>
      </c>
      <c r="O100" s="108" t="n">
        <v>0.1325</v>
      </c>
      <c r="P100" s="108" t="n">
        <v>0.1427</v>
      </c>
      <c r="Q100" s="108" t="n">
        <v>0.1529</v>
      </c>
      <c r="R100" s="108" t="n">
        <v>0.1631</v>
      </c>
      <c r="S100" s="108" t="n">
        <v>0.1733</v>
      </c>
      <c r="T100" s="108" t="n">
        <v>0.1834</v>
      </c>
      <c r="U100" s="108" t="n">
        <v>0.1936</v>
      </c>
      <c r="V100" s="108" t="n">
        <v>0.2038</v>
      </c>
      <c r="W100" s="109" t="n">
        <v>0.1271</v>
      </c>
      <c r="X100" s="110" t="n">
        <v>0</v>
      </c>
      <c r="Y100" s="110" t="n">
        <v>0.03</v>
      </c>
      <c r="Z100" s="110" t="n">
        <v>0.05</v>
      </c>
    </row>
    <row r="101" customFormat="false" ht="15.75" hidden="false" customHeight="false" outlineLevel="0" collapsed="false">
      <c r="A101" s="57" t="n">
        <v>99</v>
      </c>
      <c r="B101" s="107" t="n">
        <v>0.024</v>
      </c>
      <c r="C101" s="108" t="n">
        <v>0.029</v>
      </c>
      <c r="D101" s="108" t="n">
        <v>0.034</v>
      </c>
      <c r="E101" s="108" t="n">
        <v>0.0509</v>
      </c>
      <c r="F101" s="108" t="n">
        <v>0.0679</v>
      </c>
      <c r="G101" s="108" t="n">
        <v>0.0849</v>
      </c>
      <c r="H101" s="108" t="n">
        <v>0.1019</v>
      </c>
      <c r="I101" s="108" t="n">
        <v>0.1188</v>
      </c>
      <c r="J101" s="108" t="n">
        <v>0.1358</v>
      </c>
      <c r="K101" s="108" t="n">
        <v>0.1528</v>
      </c>
      <c r="L101" s="108" t="n">
        <v>0.1698</v>
      </c>
      <c r="M101" s="108" t="n">
        <v>0.1867</v>
      </c>
      <c r="N101" s="108" t="n">
        <v>0.2037</v>
      </c>
      <c r="O101" s="108" t="n">
        <v>0.2207</v>
      </c>
      <c r="P101" s="108" t="n">
        <v>0.2377</v>
      </c>
      <c r="Q101" s="108" t="n">
        <v>0.2546</v>
      </c>
      <c r="R101" s="108" t="n">
        <v>0.2716</v>
      </c>
      <c r="S101" s="108" t="n">
        <v>0.2886</v>
      </c>
      <c r="T101" s="108" t="n">
        <v>0.3055</v>
      </c>
      <c r="U101" s="108" t="n">
        <v>0.3225</v>
      </c>
      <c r="V101" s="108" t="n">
        <v>0.3395</v>
      </c>
      <c r="W101" s="109" t="n">
        <v>0.1858</v>
      </c>
      <c r="X101" s="110" t="n">
        <v>0</v>
      </c>
      <c r="Y101" s="110" t="n">
        <v>0.03</v>
      </c>
      <c r="Z101" s="110" t="n">
        <v>0.05</v>
      </c>
    </row>
    <row r="102" customFormat="false" ht="15.75" hidden="false" customHeight="false" outlineLevel="0" collapsed="false">
      <c r="A102" s="57" t="n">
        <v>100</v>
      </c>
      <c r="B102" s="111" t="n">
        <v>-0.0152</v>
      </c>
      <c r="C102" s="112" t="n">
        <v>-0.0102</v>
      </c>
      <c r="D102" s="112" t="n">
        <v>-0.0051</v>
      </c>
      <c r="E102" s="112" t="n">
        <v>-0.0077</v>
      </c>
      <c r="F102" s="112" t="n">
        <v>-0.0103</v>
      </c>
      <c r="G102" s="112" t="n">
        <v>-0.0129</v>
      </c>
      <c r="H102" s="112" t="n">
        <v>-0.0154</v>
      </c>
      <c r="I102" s="112" t="n">
        <v>-0.018</v>
      </c>
      <c r="J102" s="112" t="n">
        <v>-0.0206</v>
      </c>
      <c r="K102" s="112" t="n">
        <v>-0.0232</v>
      </c>
      <c r="L102" s="112" t="n">
        <v>-0.0257</v>
      </c>
      <c r="M102" s="112" t="n">
        <v>-0.0283</v>
      </c>
      <c r="N102" s="112" t="n">
        <v>-0.0309</v>
      </c>
      <c r="O102" s="112" t="n">
        <v>-0.0335</v>
      </c>
      <c r="P102" s="112" t="n">
        <v>-0.036</v>
      </c>
      <c r="Q102" s="112" t="n">
        <v>-0.0386</v>
      </c>
      <c r="R102" s="112" t="n">
        <v>-0.0412</v>
      </c>
      <c r="S102" s="112" t="n">
        <v>-0.0438</v>
      </c>
      <c r="T102" s="112" t="n">
        <v>-0.0463</v>
      </c>
      <c r="U102" s="112" t="n">
        <v>-0.0489</v>
      </c>
      <c r="V102" s="112" t="n">
        <v>-0.0515</v>
      </c>
      <c r="W102" s="109" t="n">
        <v>0.0081</v>
      </c>
      <c r="X102" s="110" t="n">
        <v>0</v>
      </c>
      <c r="Y102" s="110" t="n">
        <v>0.03</v>
      </c>
      <c r="Z102" s="110" t="n">
        <v>0.05</v>
      </c>
    </row>
    <row r="103" customFormat="false" ht="15.75" hidden="false" customHeight="false" outlineLevel="0" collapsed="false">
      <c r="A103" s="57" t="n">
        <v>101</v>
      </c>
      <c r="B103" s="108" t="n">
        <v>0.0082</v>
      </c>
      <c r="C103" s="108" t="n">
        <v>0.0132</v>
      </c>
      <c r="D103" s="108" t="n">
        <v>0.0182</v>
      </c>
      <c r="E103" s="108" t="n">
        <v>0.0273</v>
      </c>
      <c r="F103" s="108" t="n">
        <v>0.0365</v>
      </c>
      <c r="G103" s="108" t="n">
        <v>0.0456</v>
      </c>
      <c r="H103" s="108" t="n">
        <v>0.0547</v>
      </c>
      <c r="I103" s="108" t="n">
        <v>0.0638</v>
      </c>
      <c r="J103" s="108" t="n">
        <v>0.0729</v>
      </c>
      <c r="K103" s="108" t="n">
        <v>0.082</v>
      </c>
      <c r="L103" s="108" t="n">
        <v>0.0912</v>
      </c>
      <c r="M103" s="108" t="n">
        <v>0.1003</v>
      </c>
      <c r="N103" s="108" t="n">
        <v>0.1094</v>
      </c>
      <c r="O103" s="108" t="n">
        <v>0.1185</v>
      </c>
      <c r="P103" s="108" t="n">
        <v>0.1276</v>
      </c>
      <c r="Q103" s="108" t="n">
        <v>0.1367</v>
      </c>
      <c r="R103" s="108" t="n">
        <v>0.1459</v>
      </c>
      <c r="S103" s="108" t="n">
        <v>0.155</v>
      </c>
      <c r="T103" s="108" t="n">
        <v>0.1641</v>
      </c>
      <c r="U103" s="108" t="n">
        <v>0.1732</v>
      </c>
      <c r="V103" s="108" t="n">
        <v>0.1823</v>
      </c>
      <c r="W103" s="109" t="n">
        <v>0.2674</v>
      </c>
      <c r="X103" s="110" t="n">
        <v>0</v>
      </c>
      <c r="Y103" s="110" t="n">
        <v>0.03</v>
      </c>
      <c r="Z103" s="110" t="n">
        <v>0.05</v>
      </c>
    </row>
    <row r="104" customFormat="false" ht="15.75" hidden="false" customHeight="false" outlineLevel="0" collapsed="false">
      <c r="A104" s="57" t="n">
        <v>102</v>
      </c>
      <c r="B104" s="112" t="n">
        <v>-0.0004</v>
      </c>
      <c r="C104" s="108" t="n">
        <v>0.0046</v>
      </c>
      <c r="D104" s="108" t="n">
        <v>0.0096</v>
      </c>
      <c r="E104" s="108" t="n">
        <v>0.0144</v>
      </c>
      <c r="F104" s="108" t="n">
        <v>0.0192</v>
      </c>
      <c r="G104" s="108" t="n">
        <v>0.024</v>
      </c>
      <c r="H104" s="108" t="n">
        <v>0.0287</v>
      </c>
      <c r="I104" s="108" t="n">
        <v>0.0335</v>
      </c>
      <c r="J104" s="108" t="n">
        <v>0.0383</v>
      </c>
      <c r="K104" s="108" t="n">
        <v>0.0431</v>
      </c>
      <c r="L104" s="108" t="n">
        <v>0.0479</v>
      </c>
      <c r="M104" s="108" t="n">
        <v>0.0527</v>
      </c>
      <c r="N104" s="108" t="n">
        <v>0.0575</v>
      </c>
      <c r="O104" s="108" t="n">
        <v>0.0623</v>
      </c>
      <c r="P104" s="108" t="n">
        <v>0.0671</v>
      </c>
      <c r="Q104" s="108" t="n">
        <v>0.0719</v>
      </c>
      <c r="R104" s="108" t="n">
        <v>0.0767</v>
      </c>
      <c r="S104" s="108" t="n">
        <v>0.0815</v>
      </c>
      <c r="T104" s="108" t="n">
        <v>0.0862</v>
      </c>
      <c r="U104" s="108" t="n">
        <v>0.091</v>
      </c>
      <c r="V104" s="108" t="n">
        <v>0.0958</v>
      </c>
      <c r="W104" s="109" t="n">
        <v>0.1759</v>
      </c>
      <c r="X104" s="110" t="n">
        <v>0</v>
      </c>
      <c r="Y104" s="110" t="n">
        <v>0.03</v>
      </c>
      <c r="Z104" s="110" t="n">
        <v>0.05</v>
      </c>
    </row>
    <row r="105" customFormat="false" ht="15.75" hidden="false" customHeight="false" outlineLevel="0" collapsed="false">
      <c r="A105" s="57" t="n">
        <v>103</v>
      </c>
      <c r="B105" s="112" t="n">
        <v>-0.0057</v>
      </c>
      <c r="C105" s="112" t="n">
        <v>-0.0007</v>
      </c>
      <c r="D105" s="108" t="n">
        <v>0.0043</v>
      </c>
      <c r="E105" s="108" t="n">
        <v>0.0064</v>
      </c>
      <c r="F105" s="108" t="n">
        <v>0.0085</v>
      </c>
      <c r="G105" s="108" t="n">
        <v>0.0107</v>
      </c>
      <c r="H105" s="108" t="n">
        <v>0.0128</v>
      </c>
      <c r="I105" s="108" t="n">
        <v>0.0149</v>
      </c>
      <c r="J105" s="108" t="n">
        <v>0.0171</v>
      </c>
      <c r="K105" s="108" t="n">
        <v>0.0192</v>
      </c>
      <c r="L105" s="108" t="n">
        <v>0.0213</v>
      </c>
      <c r="M105" s="108" t="n">
        <v>0.0235</v>
      </c>
      <c r="N105" s="108" t="n">
        <v>0.0256</v>
      </c>
      <c r="O105" s="108" t="n">
        <v>0.0277</v>
      </c>
      <c r="P105" s="108" t="n">
        <v>0.0299</v>
      </c>
      <c r="Q105" s="108" t="n">
        <v>0.032</v>
      </c>
      <c r="R105" s="108" t="n">
        <v>0.0341</v>
      </c>
      <c r="S105" s="108" t="n">
        <v>0.0363</v>
      </c>
      <c r="T105" s="108" t="n">
        <v>0.0384</v>
      </c>
      <c r="U105" s="108" t="n">
        <v>0.0405</v>
      </c>
      <c r="V105" s="108" t="n">
        <v>0.0427</v>
      </c>
      <c r="W105" s="109" t="n">
        <v>0.0385</v>
      </c>
      <c r="X105" s="110" t="n">
        <v>0</v>
      </c>
      <c r="Y105" s="110" t="n">
        <v>0.03</v>
      </c>
      <c r="Z105" s="110" t="n">
        <v>0.05</v>
      </c>
    </row>
    <row r="106" customFormat="false" ht="15.75" hidden="false" customHeight="false" outlineLevel="0" collapsed="false">
      <c r="A106" s="57" t="n">
        <v>104</v>
      </c>
      <c r="B106" s="108" t="n">
        <v>0.0211</v>
      </c>
      <c r="C106" s="108" t="n">
        <v>0.026</v>
      </c>
      <c r="D106" s="108" t="n">
        <v>0.022</v>
      </c>
      <c r="E106" s="108" t="n">
        <v>0.033</v>
      </c>
      <c r="F106" s="108" t="n">
        <v>0.044</v>
      </c>
      <c r="G106" s="108" t="n">
        <v>0.055</v>
      </c>
      <c r="H106" s="108" t="n">
        <v>0.066</v>
      </c>
      <c r="I106" s="108" t="n">
        <v>0.077</v>
      </c>
      <c r="J106" s="108" t="n">
        <v>0.088</v>
      </c>
      <c r="K106" s="108" t="n">
        <v>0.099</v>
      </c>
      <c r="L106" s="108" t="n">
        <v>0.11</v>
      </c>
      <c r="M106" s="108" t="n">
        <v>0.121</v>
      </c>
      <c r="N106" s="108" t="n">
        <v>0.132</v>
      </c>
      <c r="O106" s="108" t="n">
        <v>0.143</v>
      </c>
      <c r="P106" s="108" t="n">
        <v>0.154</v>
      </c>
      <c r="Q106" s="108" t="n">
        <v>0.165</v>
      </c>
      <c r="R106" s="108" t="n">
        <v>0.176</v>
      </c>
      <c r="S106" s="108" t="n">
        <v>0.187</v>
      </c>
      <c r="T106" s="108" t="n">
        <v>0.198</v>
      </c>
      <c r="U106" s="108" t="n">
        <v>0.209</v>
      </c>
      <c r="V106" s="108" t="n">
        <v>0.22</v>
      </c>
      <c r="W106" s="109" t="n">
        <v>0.0757</v>
      </c>
      <c r="X106" s="110" t="n">
        <v>0</v>
      </c>
      <c r="Y106" s="110" t="n">
        <v>0.03</v>
      </c>
      <c r="Z106" s="110" t="n">
        <v>0.05</v>
      </c>
    </row>
    <row r="107" customFormat="false" ht="15.75" hidden="false" customHeight="false" outlineLevel="0" collapsed="false">
      <c r="A107" s="57" t="n">
        <v>105</v>
      </c>
      <c r="B107" s="108" t="n">
        <v>0.006</v>
      </c>
      <c r="C107" s="108" t="n">
        <v>0.011</v>
      </c>
      <c r="D107" s="108" t="n">
        <v>0.016</v>
      </c>
      <c r="E107" s="108" t="n">
        <v>0.024</v>
      </c>
      <c r="F107" s="108" t="n">
        <v>0.0321</v>
      </c>
      <c r="G107" s="108" t="n">
        <v>0.0401</v>
      </c>
      <c r="H107" s="108" t="n">
        <v>0.0481</v>
      </c>
      <c r="I107" s="108" t="n">
        <v>0.0561</v>
      </c>
      <c r="J107" s="108" t="n">
        <v>0.0641</v>
      </c>
      <c r="K107" s="108" t="n">
        <v>0.0721</v>
      </c>
      <c r="L107" s="108" t="n">
        <v>0.0802</v>
      </c>
      <c r="M107" s="108" t="n">
        <v>0.0882</v>
      </c>
      <c r="N107" s="108" t="n">
        <v>0.0962</v>
      </c>
      <c r="O107" s="108" t="n">
        <v>0.1042</v>
      </c>
      <c r="P107" s="108" t="n">
        <v>0.1122</v>
      </c>
      <c r="Q107" s="108" t="n">
        <v>0.1202</v>
      </c>
      <c r="R107" s="108" t="n">
        <v>0.1283</v>
      </c>
      <c r="S107" s="108" t="n">
        <v>0.1363</v>
      </c>
      <c r="T107" s="108" t="n">
        <v>0.1443</v>
      </c>
      <c r="U107" s="108" t="n">
        <v>0.1523</v>
      </c>
      <c r="V107" s="108" t="n">
        <v>0.1603</v>
      </c>
      <c r="W107" s="109" t="n">
        <v>0.3065</v>
      </c>
      <c r="X107" s="110" t="n">
        <v>0</v>
      </c>
      <c r="Y107" s="110" t="n">
        <v>0.03</v>
      </c>
      <c r="Z107" s="110" t="n">
        <v>0.05</v>
      </c>
    </row>
    <row r="108" customFormat="false" ht="15.75" hidden="false" customHeight="false" outlineLevel="0" collapsed="false">
      <c r="A108" s="57" t="n">
        <v>106</v>
      </c>
      <c r="B108" s="108" t="n">
        <v>0.0063</v>
      </c>
      <c r="C108" s="108" t="n">
        <v>0.0113</v>
      </c>
      <c r="D108" s="108" t="n">
        <v>0.0163</v>
      </c>
      <c r="E108" s="108" t="n">
        <v>0.0245</v>
      </c>
      <c r="F108" s="108" t="n">
        <v>0.0327</v>
      </c>
      <c r="G108" s="108" t="n">
        <v>0.0409</v>
      </c>
      <c r="H108" s="108" t="n">
        <v>0.0491</v>
      </c>
      <c r="I108" s="108" t="n">
        <v>0.0572</v>
      </c>
      <c r="J108" s="108" t="n">
        <v>0.0654</v>
      </c>
      <c r="K108" s="108" t="n">
        <v>0.0736</v>
      </c>
      <c r="L108" s="108" t="n">
        <v>0.0818</v>
      </c>
      <c r="M108" s="108" t="n">
        <v>0.0899</v>
      </c>
      <c r="N108" s="108" t="n">
        <v>0.0981</v>
      </c>
      <c r="O108" s="108" t="n">
        <v>0.1063</v>
      </c>
      <c r="P108" s="108" t="n">
        <v>0.1144</v>
      </c>
      <c r="Q108" s="108" t="n">
        <v>0.1226</v>
      </c>
      <c r="R108" s="108" t="n">
        <v>0.1308</v>
      </c>
      <c r="S108" s="108" t="n">
        <v>0.139</v>
      </c>
      <c r="T108" s="108" t="n">
        <v>0.1472</v>
      </c>
      <c r="U108" s="108" t="n">
        <v>0.1553</v>
      </c>
      <c r="V108" s="108" t="n">
        <v>0.1635</v>
      </c>
      <c r="W108" s="109" t="n">
        <v>-0.0924</v>
      </c>
      <c r="X108" s="110" t="n">
        <v>0</v>
      </c>
      <c r="Y108" s="110" t="n">
        <v>0.03</v>
      </c>
      <c r="Z108" s="110" t="n">
        <v>0.05</v>
      </c>
    </row>
    <row r="109" customFormat="false" ht="15.75" hidden="false" customHeight="false" outlineLevel="0" collapsed="false">
      <c r="A109" s="57" t="n">
        <v>107</v>
      </c>
      <c r="B109" s="108" t="n">
        <v>0.0155</v>
      </c>
      <c r="C109" s="108" t="n">
        <v>0.0205</v>
      </c>
      <c r="D109" s="108" t="n">
        <v>0.0202</v>
      </c>
      <c r="E109" s="108" t="n">
        <v>0.0303</v>
      </c>
      <c r="F109" s="108" t="n">
        <v>0.0403</v>
      </c>
      <c r="G109" s="108" t="n">
        <v>0.0504</v>
      </c>
      <c r="H109" s="108" t="n">
        <v>0.0605</v>
      </c>
      <c r="I109" s="108" t="n">
        <v>0.0706</v>
      </c>
      <c r="J109" s="108" t="n">
        <v>0.0807</v>
      </c>
      <c r="K109" s="108" t="n">
        <v>0.0908</v>
      </c>
      <c r="L109" s="108" t="n">
        <v>0.1008</v>
      </c>
      <c r="M109" s="108" t="n">
        <v>0.1109</v>
      </c>
      <c r="N109" s="108" t="n">
        <v>0.121</v>
      </c>
      <c r="O109" s="108" t="n">
        <v>0.1311</v>
      </c>
      <c r="P109" s="108" t="n">
        <v>0.1412</v>
      </c>
      <c r="Q109" s="108" t="n">
        <v>0.1513</v>
      </c>
      <c r="R109" s="108" t="n">
        <v>0.1613</v>
      </c>
      <c r="S109" s="108" t="n">
        <v>0.1714</v>
      </c>
      <c r="T109" s="108" t="n">
        <v>0.1815</v>
      </c>
      <c r="U109" s="108" t="n">
        <v>0.1916</v>
      </c>
      <c r="V109" s="108" t="n">
        <v>0.2017</v>
      </c>
      <c r="W109" s="109" t="n">
        <v>0.2782</v>
      </c>
      <c r="X109" s="110" t="n">
        <v>0</v>
      </c>
      <c r="Y109" s="110" t="n">
        <v>0.03</v>
      </c>
      <c r="Z109" s="110" t="n">
        <v>0.05</v>
      </c>
    </row>
    <row r="110" customFormat="false" ht="15.75" hidden="false" customHeight="false" outlineLevel="0" collapsed="false">
      <c r="A110" s="57" t="n">
        <v>108</v>
      </c>
      <c r="B110" s="112" t="n">
        <v>-0.0067</v>
      </c>
      <c r="C110" s="112" t="n">
        <v>-0.0017</v>
      </c>
      <c r="D110" s="112" t="n">
        <v>-0.0098</v>
      </c>
      <c r="E110" s="112" t="n">
        <v>-0.0147</v>
      </c>
      <c r="F110" s="112" t="n">
        <v>-0.0197</v>
      </c>
      <c r="G110" s="112" t="n">
        <v>-0.0246</v>
      </c>
      <c r="H110" s="112" t="n">
        <v>-0.0295</v>
      </c>
      <c r="I110" s="112" t="n">
        <v>-0.0344</v>
      </c>
      <c r="J110" s="112" t="n">
        <v>-0.0393</v>
      </c>
      <c r="K110" s="112" t="n">
        <v>-0.0442</v>
      </c>
      <c r="L110" s="112" t="n">
        <v>-0.0492</v>
      </c>
      <c r="M110" s="112" t="n">
        <v>-0.0541</v>
      </c>
      <c r="N110" s="112" t="n">
        <v>-0.059</v>
      </c>
      <c r="O110" s="112" t="n">
        <v>-0.0639</v>
      </c>
      <c r="P110" s="112" t="n">
        <v>-0.0688</v>
      </c>
      <c r="Q110" s="112" t="n">
        <v>-0.0737</v>
      </c>
      <c r="R110" s="112" t="n">
        <v>-0.0787</v>
      </c>
      <c r="S110" s="112" t="n">
        <v>-0.0836</v>
      </c>
      <c r="T110" s="112" t="n">
        <v>-0.0885</v>
      </c>
      <c r="U110" s="112" t="n">
        <v>-0.0934</v>
      </c>
      <c r="V110" s="112" t="n">
        <v>-0.0983</v>
      </c>
      <c r="W110" s="109" t="n">
        <v>0.0434</v>
      </c>
      <c r="X110" s="110" t="n">
        <v>0</v>
      </c>
      <c r="Y110" s="110" t="n">
        <v>0.03</v>
      </c>
      <c r="Z110" s="110" t="n">
        <v>0.05</v>
      </c>
    </row>
    <row r="111" customFormat="false" ht="15.75" hidden="false" customHeight="false" outlineLevel="0" collapsed="false">
      <c r="A111" s="57" t="n">
        <v>109</v>
      </c>
      <c r="B111" s="112" t="n">
        <v>-0.0075</v>
      </c>
      <c r="C111" s="112" t="n">
        <v>-0.0025</v>
      </c>
      <c r="D111" s="108" t="n">
        <v>0.0024</v>
      </c>
      <c r="E111" s="108" t="n">
        <v>0.0037</v>
      </c>
      <c r="F111" s="108" t="n">
        <v>0.0049</v>
      </c>
      <c r="G111" s="108" t="n">
        <v>0.0061</v>
      </c>
      <c r="H111" s="108" t="n">
        <v>0.0073</v>
      </c>
      <c r="I111" s="108" t="n">
        <v>0.0086</v>
      </c>
      <c r="J111" s="108" t="n">
        <v>0.0098</v>
      </c>
      <c r="K111" s="108" t="n">
        <v>0.011</v>
      </c>
      <c r="L111" s="108" t="n">
        <v>0.0123</v>
      </c>
      <c r="M111" s="108" t="n">
        <v>0.0135</v>
      </c>
      <c r="N111" s="108" t="n">
        <v>0.0147</v>
      </c>
      <c r="O111" s="108" t="n">
        <v>0.0159</v>
      </c>
      <c r="P111" s="108" t="n">
        <v>0.0171</v>
      </c>
      <c r="Q111" s="108" t="n">
        <v>0.0184</v>
      </c>
      <c r="R111" s="108" t="n">
        <v>0.0196</v>
      </c>
      <c r="S111" s="108" t="n">
        <v>0.0208</v>
      </c>
      <c r="T111" s="108" t="n">
        <v>0.0221</v>
      </c>
      <c r="U111" s="108" t="n">
        <v>0.0233</v>
      </c>
      <c r="V111" s="108" t="n">
        <v>0.0245</v>
      </c>
      <c r="W111" s="109" t="n">
        <v>0.069</v>
      </c>
      <c r="X111" s="110" t="n">
        <v>0</v>
      </c>
      <c r="Y111" s="110" t="n">
        <v>0.03</v>
      </c>
      <c r="Z111" s="110" t="n">
        <v>0.05</v>
      </c>
    </row>
    <row r="112" customFormat="false" ht="15.75" hidden="false" customHeight="false" outlineLevel="0" collapsed="false">
      <c r="A112" s="57" t="n">
        <v>110</v>
      </c>
      <c r="B112" s="108" t="n">
        <v>0.0028</v>
      </c>
      <c r="C112" s="108" t="n">
        <v>0.0077</v>
      </c>
      <c r="D112" s="108" t="n">
        <v>0.0128</v>
      </c>
      <c r="E112" s="108" t="n">
        <v>0.0192</v>
      </c>
      <c r="F112" s="108" t="n">
        <v>0.0256</v>
      </c>
      <c r="G112" s="108" t="n">
        <v>0.032</v>
      </c>
      <c r="H112" s="108" t="n">
        <v>0.0385</v>
      </c>
      <c r="I112" s="108" t="n">
        <v>0.0449</v>
      </c>
      <c r="J112" s="108" t="n">
        <v>0.0513</v>
      </c>
      <c r="K112" s="108" t="n">
        <v>0.0577</v>
      </c>
      <c r="L112" s="108" t="n">
        <v>0.0641</v>
      </c>
      <c r="M112" s="108" t="n">
        <v>0.0705</v>
      </c>
      <c r="N112" s="108" t="n">
        <v>0.0769</v>
      </c>
      <c r="O112" s="108" t="n">
        <v>0.0833</v>
      </c>
      <c r="P112" s="108" t="n">
        <v>0.0897</v>
      </c>
      <c r="Q112" s="108" t="n">
        <v>0.0961</v>
      </c>
      <c r="R112" s="108" t="n">
        <v>0.1025</v>
      </c>
      <c r="S112" s="108" t="n">
        <v>0.1089</v>
      </c>
      <c r="T112" s="108" t="n">
        <v>0.1154</v>
      </c>
      <c r="U112" s="108" t="n">
        <v>0.1218</v>
      </c>
      <c r="V112" s="108" t="n">
        <v>0.1282</v>
      </c>
      <c r="W112" s="109" t="n">
        <v>-0.0136</v>
      </c>
      <c r="X112" s="110" t="n">
        <v>0</v>
      </c>
      <c r="Y112" s="110" t="n">
        <v>0.03</v>
      </c>
      <c r="Z112" s="110" t="n">
        <v>0.05</v>
      </c>
    </row>
    <row r="113" customFormat="false" ht="15.75" hidden="false" customHeight="false" outlineLevel="0" collapsed="false">
      <c r="A113" s="57" t="n">
        <v>111</v>
      </c>
      <c r="B113" s="108" t="n">
        <v>0.0114</v>
      </c>
      <c r="C113" s="108" t="n">
        <v>0.0164</v>
      </c>
      <c r="D113" s="108" t="n">
        <v>0.0214</v>
      </c>
      <c r="E113" s="108" t="n">
        <v>0.0321</v>
      </c>
      <c r="F113" s="108" t="n">
        <v>0.0428</v>
      </c>
      <c r="G113" s="108" t="n">
        <v>0.0535</v>
      </c>
      <c r="H113" s="108" t="n">
        <v>0.0643</v>
      </c>
      <c r="I113" s="108" t="n">
        <v>0.075</v>
      </c>
      <c r="J113" s="108" t="n">
        <v>0.0857</v>
      </c>
      <c r="K113" s="108" t="n">
        <v>0.0964</v>
      </c>
      <c r="L113" s="108" t="n">
        <v>0.1071</v>
      </c>
      <c r="M113" s="108" t="n">
        <v>0.1178</v>
      </c>
      <c r="N113" s="108" t="n">
        <v>0.1285</v>
      </c>
      <c r="O113" s="108" t="n">
        <v>0.1392</v>
      </c>
      <c r="P113" s="108" t="n">
        <v>0.1499</v>
      </c>
      <c r="Q113" s="108" t="n">
        <v>0.1606</v>
      </c>
      <c r="R113" s="108" t="n">
        <v>0.1713</v>
      </c>
      <c r="S113" s="108" t="n">
        <v>0.182</v>
      </c>
      <c r="T113" s="108" t="n">
        <v>0.1928</v>
      </c>
      <c r="U113" s="108" t="n">
        <v>0.2035</v>
      </c>
      <c r="V113" s="108" t="n">
        <v>0.2142</v>
      </c>
      <c r="W113" s="109" t="n">
        <v>0.352</v>
      </c>
      <c r="X113" s="110" t="n">
        <v>0</v>
      </c>
      <c r="Y113" s="110" t="n">
        <v>0.03</v>
      </c>
      <c r="Z113" s="110" t="n">
        <v>0.05</v>
      </c>
    </row>
    <row r="114" customFormat="false" ht="15.75" hidden="false" customHeight="false" outlineLevel="0" collapsed="false">
      <c r="A114" s="57" t="n">
        <v>112</v>
      </c>
      <c r="B114" s="108" t="n">
        <v>0.003</v>
      </c>
      <c r="C114" s="108" t="n">
        <v>0.008</v>
      </c>
      <c r="D114" s="108" t="n">
        <v>0.013</v>
      </c>
      <c r="E114" s="108" t="n">
        <v>0.0195</v>
      </c>
      <c r="F114" s="108" t="n">
        <v>0.026</v>
      </c>
      <c r="G114" s="108" t="n">
        <v>0.0325</v>
      </c>
      <c r="H114" s="108" t="n">
        <v>0.039</v>
      </c>
      <c r="I114" s="108" t="n">
        <v>0.0456</v>
      </c>
      <c r="J114" s="108" t="n">
        <v>0.0521</v>
      </c>
      <c r="K114" s="108" t="n">
        <v>0.0586</v>
      </c>
      <c r="L114" s="108" t="n">
        <v>0.0651</v>
      </c>
      <c r="M114" s="108" t="n">
        <v>0.0716</v>
      </c>
      <c r="N114" s="108" t="n">
        <v>0.0781</v>
      </c>
      <c r="O114" s="108" t="n">
        <v>0.0846</v>
      </c>
      <c r="P114" s="108" t="n">
        <v>0.0911</v>
      </c>
      <c r="Q114" s="108" t="n">
        <v>0.0976</v>
      </c>
      <c r="R114" s="108" t="n">
        <v>0.1041</v>
      </c>
      <c r="S114" s="108" t="n">
        <v>0.1106</v>
      </c>
      <c r="T114" s="108" t="n">
        <v>0.1171</v>
      </c>
      <c r="U114" s="108" t="n">
        <v>0.1237</v>
      </c>
      <c r="V114" s="108" t="n">
        <v>0.1302</v>
      </c>
      <c r="W114" s="109" t="n">
        <v>0.1873</v>
      </c>
      <c r="X114" s="110" t="n">
        <v>0</v>
      </c>
      <c r="Y114" s="110" t="n">
        <v>0.03</v>
      </c>
      <c r="Z114" s="110" t="n">
        <v>0.05</v>
      </c>
    </row>
    <row r="115" customFormat="false" ht="15.75" hidden="false" customHeight="false" outlineLevel="0" collapsed="false">
      <c r="A115" s="57" t="n">
        <v>113</v>
      </c>
      <c r="B115" s="108" t="n">
        <v>0.0001</v>
      </c>
      <c r="C115" s="108" t="n">
        <v>0.0051</v>
      </c>
      <c r="D115" s="108" t="n">
        <v>0.016</v>
      </c>
      <c r="E115" s="108" t="n">
        <v>0.024</v>
      </c>
      <c r="F115" s="108" t="n">
        <v>0.032</v>
      </c>
      <c r="G115" s="108" t="n">
        <v>0.04</v>
      </c>
      <c r="H115" s="108" t="n">
        <v>0.048</v>
      </c>
      <c r="I115" s="108" t="n">
        <v>0.056</v>
      </c>
      <c r="J115" s="108" t="n">
        <v>0.064</v>
      </c>
      <c r="K115" s="108" t="n">
        <v>0.072</v>
      </c>
      <c r="L115" s="108" t="n">
        <v>0.08</v>
      </c>
      <c r="M115" s="108" t="n">
        <v>0.088</v>
      </c>
      <c r="N115" s="108" t="n">
        <v>0.096</v>
      </c>
      <c r="O115" s="108" t="n">
        <v>0.104</v>
      </c>
      <c r="P115" s="108" t="n">
        <v>0.112</v>
      </c>
      <c r="Q115" s="108" t="n">
        <v>0.12</v>
      </c>
      <c r="R115" s="108" t="n">
        <v>0.128</v>
      </c>
      <c r="S115" s="108" t="n">
        <v>0.136</v>
      </c>
      <c r="T115" s="108" t="n">
        <v>0.144</v>
      </c>
      <c r="U115" s="108" t="n">
        <v>0.152</v>
      </c>
      <c r="V115" s="108" t="n">
        <v>0.16</v>
      </c>
      <c r="W115" s="109" t="n">
        <v>0.323</v>
      </c>
      <c r="X115" s="110" t="n">
        <v>0</v>
      </c>
      <c r="Y115" s="110" t="n">
        <v>0.03</v>
      </c>
      <c r="Z115" s="110" t="n">
        <v>0.05</v>
      </c>
    </row>
    <row r="116" customFormat="false" ht="15.75" hidden="false" customHeight="false" outlineLevel="0" collapsed="false">
      <c r="A116" s="57" t="n">
        <v>114</v>
      </c>
      <c r="B116" s="112" t="n">
        <v>-0.0038</v>
      </c>
      <c r="C116" s="108" t="n">
        <v>0.0012</v>
      </c>
      <c r="D116" s="108" t="n">
        <v>0.0062</v>
      </c>
      <c r="E116" s="108" t="n">
        <v>0.0093</v>
      </c>
      <c r="F116" s="108" t="n">
        <v>0.0124</v>
      </c>
      <c r="G116" s="108" t="n">
        <v>0.0155</v>
      </c>
      <c r="H116" s="108" t="n">
        <v>0.0187</v>
      </c>
      <c r="I116" s="108" t="n">
        <v>0.0218</v>
      </c>
      <c r="J116" s="108" t="n">
        <v>0.0249</v>
      </c>
      <c r="K116" s="108" t="n">
        <v>0.028</v>
      </c>
      <c r="L116" s="108" t="n">
        <v>0.0311</v>
      </c>
      <c r="M116" s="108" t="n">
        <v>0.0342</v>
      </c>
      <c r="N116" s="108" t="n">
        <v>0.0373</v>
      </c>
      <c r="O116" s="108" t="n">
        <v>0.0404</v>
      </c>
      <c r="P116" s="108" t="n">
        <v>0.0435</v>
      </c>
      <c r="Q116" s="108" t="n">
        <v>0.0466</v>
      </c>
      <c r="R116" s="108" t="n">
        <v>0.0497</v>
      </c>
      <c r="S116" s="108" t="n">
        <v>0.0528</v>
      </c>
      <c r="T116" s="108" t="n">
        <v>0.056</v>
      </c>
      <c r="U116" s="108" t="n">
        <v>0.0591</v>
      </c>
      <c r="V116" s="108" t="n">
        <v>0.0622</v>
      </c>
      <c r="W116" s="109" t="n">
        <v>0.2595</v>
      </c>
      <c r="X116" s="110" t="n">
        <v>0</v>
      </c>
      <c r="Y116" s="110" t="n">
        <v>0.03</v>
      </c>
      <c r="Z116" s="110" t="n">
        <v>0.05</v>
      </c>
    </row>
    <row r="117" customFormat="false" ht="15.75" hidden="false" customHeight="false" outlineLevel="0" collapsed="false">
      <c r="A117" s="57" t="n">
        <v>115</v>
      </c>
      <c r="B117" s="108" t="n">
        <v>0.0013</v>
      </c>
      <c r="C117" s="108" t="n">
        <v>0.0063</v>
      </c>
      <c r="D117" s="108" t="n">
        <v>0.0113</v>
      </c>
      <c r="E117" s="108" t="n">
        <v>0.0169</v>
      </c>
      <c r="F117" s="108" t="n">
        <v>0.0225</v>
      </c>
      <c r="G117" s="108" t="n">
        <v>0.0282</v>
      </c>
      <c r="H117" s="108" t="n">
        <v>0.0338</v>
      </c>
      <c r="I117" s="108" t="n">
        <v>0.0394</v>
      </c>
      <c r="J117" s="108" t="n">
        <v>0.0451</v>
      </c>
      <c r="K117" s="108" t="n">
        <v>0.0507</v>
      </c>
      <c r="L117" s="108" t="n">
        <v>0.0563</v>
      </c>
      <c r="M117" s="108" t="n">
        <v>0.062</v>
      </c>
      <c r="N117" s="108" t="n">
        <v>0.0676</v>
      </c>
      <c r="O117" s="108" t="n">
        <v>0.0732</v>
      </c>
      <c r="P117" s="108" t="n">
        <v>0.0789</v>
      </c>
      <c r="Q117" s="108" t="n">
        <v>0.0845</v>
      </c>
      <c r="R117" s="108" t="n">
        <v>0.0901</v>
      </c>
      <c r="S117" s="108" t="n">
        <v>0.0958</v>
      </c>
      <c r="T117" s="108" t="n">
        <v>0.1014</v>
      </c>
      <c r="U117" s="108" t="n">
        <v>0.107</v>
      </c>
      <c r="V117" s="108" t="n">
        <v>0.1127</v>
      </c>
      <c r="W117" s="109" t="n">
        <v>0.1849</v>
      </c>
      <c r="X117" s="110" t="n">
        <v>0</v>
      </c>
      <c r="Y117" s="110" t="n">
        <v>0.03</v>
      </c>
      <c r="Z117" s="110" t="n">
        <v>0.05</v>
      </c>
    </row>
    <row r="118" customFormat="false" ht="15.75" hidden="false" customHeight="false" outlineLevel="0" collapsed="false">
      <c r="A118" s="57" t="n">
        <v>116</v>
      </c>
      <c r="B118" s="108" t="n">
        <v>0.0192</v>
      </c>
      <c r="C118" s="108" t="n">
        <v>0.0242</v>
      </c>
      <c r="D118" s="108" t="n">
        <v>0.0054</v>
      </c>
      <c r="E118" s="108" t="n">
        <v>0.0081</v>
      </c>
      <c r="F118" s="108" t="n">
        <v>0.0109</v>
      </c>
      <c r="G118" s="108" t="n">
        <v>0.0136</v>
      </c>
      <c r="H118" s="108" t="n">
        <v>0.0163</v>
      </c>
      <c r="I118" s="108" t="n">
        <v>0.019</v>
      </c>
      <c r="J118" s="108" t="n">
        <v>0.0217</v>
      </c>
      <c r="K118" s="108" t="n">
        <v>0.0244</v>
      </c>
      <c r="L118" s="108" t="n">
        <v>0.0272</v>
      </c>
      <c r="M118" s="108" t="n">
        <v>0.0299</v>
      </c>
      <c r="N118" s="108" t="n">
        <v>0.0326</v>
      </c>
      <c r="O118" s="108" t="n">
        <v>0.0353</v>
      </c>
      <c r="P118" s="108" t="n">
        <v>0.038</v>
      </c>
      <c r="Q118" s="108" t="n">
        <v>0.0407</v>
      </c>
      <c r="R118" s="108" t="n">
        <v>0.0435</v>
      </c>
      <c r="S118" s="108" t="n">
        <v>0.0462</v>
      </c>
      <c r="T118" s="108" t="n">
        <v>0.0489</v>
      </c>
      <c r="U118" s="108" t="n">
        <v>0.0516</v>
      </c>
      <c r="V118" s="108" t="n">
        <v>0.0543</v>
      </c>
      <c r="W118" s="109" t="n">
        <v>-0.1182</v>
      </c>
      <c r="X118" s="110" t="n">
        <v>0</v>
      </c>
      <c r="Y118" s="110" t="n">
        <v>0.03</v>
      </c>
      <c r="Z118" s="110" t="n">
        <v>0.05</v>
      </c>
    </row>
    <row r="119" customFormat="false" ht="15.75" hidden="false" customHeight="false" outlineLevel="0" collapsed="false">
      <c r="A119" s="57" t="n">
        <v>117</v>
      </c>
      <c r="B119" s="108" t="n">
        <v>0.0229</v>
      </c>
      <c r="C119" s="108" t="n">
        <v>0.0279</v>
      </c>
      <c r="D119" s="108" t="n">
        <v>0.033</v>
      </c>
      <c r="E119" s="108" t="n">
        <v>0.0494</v>
      </c>
      <c r="F119" s="108" t="n">
        <v>0.0659</v>
      </c>
      <c r="G119" s="108" t="n">
        <v>0.0824</v>
      </c>
      <c r="H119" s="108" t="n">
        <v>0.0988</v>
      </c>
      <c r="I119" s="108" t="n">
        <v>0.1153</v>
      </c>
      <c r="J119" s="108" t="n">
        <v>0.1318</v>
      </c>
      <c r="K119" s="108" t="n">
        <v>0.1483</v>
      </c>
      <c r="L119" s="108" t="n">
        <v>0.1648</v>
      </c>
      <c r="M119" s="108" t="n">
        <v>0.1812</v>
      </c>
      <c r="N119" s="108" t="n">
        <v>0.1977</v>
      </c>
      <c r="O119" s="108" t="n">
        <v>0.2142</v>
      </c>
      <c r="P119" s="108" t="n">
        <v>0.2306</v>
      </c>
      <c r="Q119" s="108" t="n">
        <v>0.2471</v>
      </c>
      <c r="R119" s="108" t="n">
        <v>0.2636</v>
      </c>
      <c r="S119" s="108" t="n">
        <v>0.2801</v>
      </c>
      <c r="T119" s="108" t="n">
        <v>0.2966</v>
      </c>
      <c r="U119" s="108" t="n">
        <v>0.313</v>
      </c>
      <c r="V119" s="108" t="n">
        <v>0.3295</v>
      </c>
      <c r="W119" s="109" t="n">
        <v>-0.1002</v>
      </c>
      <c r="X119" s="110" t="n">
        <v>0</v>
      </c>
      <c r="Y119" s="110" t="n">
        <v>0.03</v>
      </c>
      <c r="Z119" s="110" t="n">
        <v>0.05</v>
      </c>
    </row>
    <row r="120" customFormat="false" ht="15.75" hidden="false" customHeight="false" outlineLevel="0" collapsed="false">
      <c r="A120" s="57" t="n">
        <v>118</v>
      </c>
      <c r="B120" s="112" t="n">
        <v>-0.0235</v>
      </c>
      <c r="C120" s="112" t="n">
        <v>-0.0185</v>
      </c>
      <c r="D120" s="112" t="n">
        <v>-0.0135</v>
      </c>
      <c r="E120" s="112" t="n">
        <v>-0.0203</v>
      </c>
      <c r="F120" s="112" t="n">
        <v>-0.027</v>
      </c>
      <c r="G120" s="112" t="n">
        <v>-0.0338</v>
      </c>
      <c r="H120" s="112" t="n">
        <v>-0.0405</v>
      </c>
      <c r="I120" s="112" t="n">
        <v>-0.0472</v>
      </c>
      <c r="J120" s="112" t="n">
        <v>-0.054</v>
      </c>
      <c r="K120" s="112" t="n">
        <v>-0.0608</v>
      </c>
      <c r="L120" s="112" t="n">
        <v>-0.0675</v>
      </c>
      <c r="M120" s="112" t="n">
        <v>-0.0743</v>
      </c>
      <c r="N120" s="112" t="n">
        <v>-0.081</v>
      </c>
      <c r="O120" s="112" t="n">
        <v>-0.0878</v>
      </c>
      <c r="P120" s="112" t="n">
        <v>-0.0945</v>
      </c>
      <c r="Q120" s="112" t="n">
        <v>-0.1013</v>
      </c>
      <c r="R120" s="112" t="n">
        <v>-0.108</v>
      </c>
      <c r="S120" s="112" t="n">
        <v>-0.1148</v>
      </c>
      <c r="T120" s="112" t="n">
        <v>-0.1215</v>
      </c>
      <c r="U120" s="112" t="n">
        <v>-0.1283</v>
      </c>
      <c r="V120" s="112" t="n">
        <v>-0.135</v>
      </c>
      <c r="W120" s="109" t="n">
        <v>-0.2127</v>
      </c>
      <c r="X120" s="110" t="n">
        <v>0</v>
      </c>
      <c r="Y120" s="110" t="n">
        <v>0.03</v>
      </c>
      <c r="Z120" s="110" t="n">
        <v>0.05</v>
      </c>
    </row>
    <row r="121" customFormat="false" ht="15.75" hidden="false" customHeight="false" outlineLevel="0" collapsed="false">
      <c r="A121" s="57" t="n">
        <v>119</v>
      </c>
      <c r="B121" s="108" t="n">
        <v>0.0165</v>
      </c>
      <c r="C121" s="108" t="n">
        <v>0.0215</v>
      </c>
      <c r="D121" s="108" t="n">
        <v>0.0266</v>
      </c>
      <c r="E121" s="108" t="n">
        <v>0.0398</v>
      </c>
      <c r="F121" s="108" t="n">
        <v>0.0531</v>
      </c>
      <c r="G121" s="108" t="n">
        <v>0.0664</v>
      </c>
      <c r="H121" s="108" t="n">
        <v>0.0796</v>
      </c>
      <c r="I121" s="108" t="n">
        <v>0.0929</v>
      </c>
      <c r="J121" s="108" t="n">
        <v>0.1062</v>
      </c>
      <c r="K121" s="108" t="n">
        <v>0.1195</v>
      </c>
      <c r="L121" s="108" t="n">
        <v>0.1328</v>
      </c>
      <c r="M121" s="108" t="n">
        <v>0.146</v>
      </c>
      <c r="N121" s="108" t="n">
        <v>0.1593</v>
      </c>
      <c r="O121" s="108" t="n">
        <v>0.1726</v>
      </c>
      <c r="P121" s="108" t="n">
        <v>0.1859</v>
      </c>
      <c r="Q121" s="108" t="n">
        <v>0.1991</v>
      </c>
      <c r="R121" s="108" t="n">
        <v>0.2124</v>
      </c>
      <c r="S121" s="108" t="n">
        <v>0.2257</v>
      </c>
      <c r="T121" s="108" t="n">
        <v>0.2389</v>
      </c>
      <c r="U121" s="108" t="n">
        <v>0.2522</v>
      </c>
      <c r="V121" s="108" t="n">
        <v>0.2655</v>
      </c>
      <c r="W121" s="109" t="n">
        <v>0.2194</v>
      </c>
      <c r="X121" s="110" t="n">
        <v>0</v>
      </c>
      <c r="Y121" s="110" t="n">
        <v>0.03</v>
      </c>
      <c r="Z121" s="110" t="n">
        <v>0.05</v>
      </c>
    </row>
    <row r="122" customFormat="false" ht="15.75" hidden="false" customHeight="false" outlineLevel="0" collapsed="false">
      <c r="A122" s="57" t="n">
        <v>120</v>
      </c>
      <c r="B122" s="112" t="n">
        <v>-0.0008</v>
      </c>
      <c r="C122" s="108" t="n">
        <v>0.0042</v>
      </c>
      <c r="D122" s="108" t="n">
        <v>0.0092</v>
      </c>
      <c r="E122" s="108" t="n">
        <v>0.0138</v>
      </c>
      <c r="F122" s="108" t="n">
        <v>0.0183</v>
      </c>
      <c r="G122" s="108" t="n">
        <v>0.0229</v>
      </c>
      <c r="H122" s="108" t="n">
        <v>0.0275</v>
      </c>
      <c r="I122" s="108" t="n">
        <v>0.0321</v>
      </c>
      <c r="J122" s="108" t="n">
        <v>0.0367</v>
      </c>
      <c r="K122" s="108" t="n">
        <v>0.0413</v>
      </c>
      <c r="L122" s="108" t="n">
        <v>0.0458</v>
      </c>
      <c r="M122" s="108" t="n">
        <v>0.0504</v>
      </c>
      <c r="N122" s="108" t="n">
        <v>0.055</v>
      </c>
      <c r="O122" s="108" t="n">
        <v>0.0596</v>
      </c>
      <c r="P122" s="108" t="n">
        <v>0.0642</v>
      </c>
      <c r="Q122" s="108" t="n">
        <v>0.0688</v>
      </c>
      <c r="R122" s="108" t="n">
        <v>0.0733</v>
      </c>
      <c r="S122" s="108" t="n">
        <v>0.0779</v>
      </c>
      <c r="T122" s="108" t="n">
        <v>0.0825</v>
      </c>
      <c r="U122" s="108" t="n">
        <v>0.0871</v>
      </c>
      <c r="V122" s="108" t="n">
        <v>0.0917</v>
      </c>
      <c r="W122" s="109" t="n">
        <v>0.0844</v>
      </c>
      <c r="X122" s="110" t="n">
        <v>0</v>
      </c>
      <c r="Y122" s="110" t="n">
        <v>0.03</v>
      </c>
      <c r="Z122" s="110" t="n">
        <v>0.05</v>
      </c>
    </row>
    <row r="123" customFormat="false" ht="15.75" hidden="false" customHeight="false" outlineLevel="0" collapsed="false">
      <c r="A123" s="57" t="n">
        <v>121</v>
      </c>
      <c r="B123" s="108" t="n">
        <v>0.0081</v>
      </c>
      <c r="C123" s="108" t="n">
        <v>0.0131</v>
      </c>
      <c r="D123" s="108" t="n">
        <v>0.0181</v>
      </c>
      <c r="E123" s="108" t="n">
        <v>0.0271</v>
      </c>
      <c r="F123" s="108" t="n">
        <v>0.0362</v>
      </c>
      <c r="G123" s="108" t="n">
        <v>0.0452</v>
      </c>
      <c r="H123" s="108" t="n">
        <v>0.0542</v>
      </c>
      <c r="I123" s="108" t="n">
        <v>0.0633</v>
      </c>
      <c r="J123" s="108" t="n">
        <v>0.0723</v>
      </c>
      <c r="K123" s="108" t="n">
        <v>0.0814</v>
      </c>
      <c r="L123" s="108" t="n">
        <v>0.0904</v>
      </c>
      <c r="M123" s="108" t="n">
        <v>0.0995</v>
      </c>
      <c r="N123" s="108" t="n">
        <v>0.1085</v>
      </c>
      <c r="O123" s="108" t="n">
        <v>0.1175</v>
      </c>
      <c r="P123" s="108" t="n">
        <v>0.1266</v>
      </c>
      <c r="Q123" s="108" t="n">
        <v>0.1356</v>
      </c>
      <c r="R123" s="108" t="n">
        <v>0.1447</v>
      </c>
      <c r="S123" s="108" t="n">
        <v>0.1537</v>
      </c>
      <c r="T123" s="108" t="n">
        <v>0.1627</v>
      </c>
      <c r="U123" s="108" t="n">
        <v>0.1718</v>
      </c>
      <c r="V123" s="108" t="n">
        <v>0.1808</v>
      </c>
      <c r="W123" s="109" t="n">
        <v>0.0555</v>
      </c>
      <c r="X123" s="110" t="n">
        <v>0</v>
      </c>
      <c r="Y123" s="110" t="n">
        <v>0.03</v>
      </c>
      <c r="Z123" s="110" t="n">
        <v>0.05</v>
      </c>
    </row>
    <row r="124" customFormat="false" ht="15.75" hidden="false" customHeight="false" outlineLevel="0" collapsed="false">
      <c r="A124" s="57" t="n">
        <v>122</v>
      </c>
      <c r="B124" s="108" t="n">
        <v>0.0036</v>
      </c>
      <c r="C124" s="108" t="n">
        <v>0.0086</v>
      </c>
      <c r="D124" s="108" t="n">
        <v>0.0135</v>
      </c>
      <c r="E124" s="108" t="n">
        <v>0.0203</v>
      </c>
      <c r="F124" s="108" t="n">
        <v>0.0271</v>
      </c>
      <c r="G124" s="108" t="n">
        <v>0.0339</v>
      </c>
      <c r="H124" s="108" t="n">
        <v>0.0406</v>
      </c>
      <c r="I124" s="108" t="n">
        <v>0.0474</v>
      </c>
      <c r="J124" s="108" t="n">
        <v>0.0542</v>
      </c>
      <c r="K124" s="108" t="n">
        <v>0.061</v>
      </c>
      <c r="L124" s="108" t="n">
        <v>0.0678</v>
      </c>
      <c r="M124" s="108" t="n">
        <v>0.0745</v>
      </c>
      <c r="N124" s="108" t="n">
        <v>0.0813</v>
      </c>
      <c r="O124" s="108" t="n">
        <v>0.0881</v>
      </c>
      <c r="P124" s="108" t="n">
        <v>0.0948</v>
      </c>
      <c r="Q124" s="108" t="n">
        <v>0.1016</v>
      </c>
      <c r="R124" s="108" t="n">
        <v>0.1084</v>
      </c>
      <c r="S124" s="108" t="n">
        <v>0.1152</v>
      </c>
      <c r="T124" s="108" t="n">
        <v>0.122</v>
      </c>
      <c r="U124" s="108" t="n">
        <v>0.1287</v>
      </c>
      <c r="V124" s="108" t="n">
        <v>0.1355</v>
      </c>
      <c r="W124" s="109" t="n">
        <v>0.1165</v>
      </c>
      <c r="X124" s="110" t="n">
        <v>0</v>
      </c>
      <c r="Y124" s="110" t="n">
        <v>0.03</v>
      </c>
      <c r="Z124" s="110" t="n">
        <v>0.05</v>
      </c>
    </row>
    <row r="125" customFormat="false" ht="15.75" hidden="false" customHeight="false" outlineLevel="0" collapsed="false">
      <c r="A125" s="57" t="n">
        <v>123</v>
      </c>
      <c r="B125" s="108" t="n">
        <v>0.0007</v>
      </c>
      <c r="C125" s="108" t="n">
        <v>0.0057</v>
      </c>
      <c r="D125" s="108" t="n">
        <v>0.0107</v>
      </c>
      <c r="E125" s="108" t="n">
        <v>0.016</v>
      </c>
      <c r="F125" s="108" t="n">
        <v>0.0213</v>
      </c>
      <c r="G125" s="108" t="n">
        <v>0.0267</v>
      </c>
      <c r="H125" s="108" t="n">
        <v>0.032</v>
      </c>
      <c r="I125" s="108" t="n">
        <v>0.0373</v>
      </c>
      <c r="J125" s="108" t="n">
        <v>0.0427</v>
      </c>
      <c r="K125" s="108" t="n">
        <v>0.048</v>
      </c>
      <c r="L125" s="108" t="n">
        <v>0.0533</v>
      </c>
      <c r="M125" s="108" t="n">
        <v>0.0587</v>
      </c>
      <c r="N125" s="108" t="n">
        <v>0.064</v>
      </c>
      <c r="O125" s="108" t="n">
        <v>0.0693</v>
      </c>
      <c r="P125" s="108" t="n">
        <v>0.0747</v>
      </c>
      <c r="Q125" s="108" t="n">
        <v>0.08</v>
      </c>
      <c r="R125" s="108" t="n">
        <v>0.0853</v>
      </c>
      <c r="S125" s="108" t="n">
        <v>0.0907</v>
      </c>
      <c r="T125" s="108" t="n">
        <v>0.096</v>
      </c>
      <c r="U125" s="108" t="n">
        <v>0.1013</v>
      </c>
      <c r="V125" s="108" t="n">
        <v>0.1067</v>
      </c>
      <c r="W125" s="109" t="n">
        <v>0.0216</v>
      </c>
      <c r="X125" s="110" t="n">
        <v>0</v>
      </c>
      <c r="Y125" s="110" t="n">
        <v>0.03</v>
      </c>
      <c r="Z125" s="110" t="n">
        <v>0.05</v>
      </c>
    </row>
    <row r="126" customFormat="false" ht="15.75" hidden="false" customHeight="false" outlineLevel="0" collapsed="false">
      <c r="A126" s="57" t="n">
        <v>124</v>
      </c>
      <c r="B126" s="112" t="n">
        <v>-0.0156</v>
      </c>
      <c r="C126" s="112" t="n">
        <v>-0.0106</v>
      </c>
      <c r="D126" s="108" t="n">
        <v>0.0148</v>
      </c>
      <c r="E126" s="108" t="n">
        <v>0.0222</v>
      </c>
      <c r="F126" s="108" t="n">
        <v>0.0297</v>
      </c>
      <c r="G126" s="108" t="n">
        <v>0.0371</v>
      </c>
      <c r="H126" s="108" t="n">
        <v>0.0445</v>
      </c>
      <c r="I126" s="108" t="n">
        <v>0.0519</v>
      </c>
      <c r="J126" s="108" t="n">
        <v>0.0593</v>
      </c>
      <c r="K126" s="108" t="n">
        <v>0.0667</v>
      </c>
      <c r="L126" s="108" t="n">
        <v>0.0742</v>
      </c>
      <c r="M126" s="108" t="n">
        <v>0.0816</v>
      </c>
      <c r="N126" s="108" t="n">
        <v>0.089</v>
      </c>
      <c r="O126" s="108" t="n">
        <v>0.0964</v>
      </c>
      <c r="P126" s="108" t="n">
        <v>0.1038</v>
      </c>
      <c r="Q126" s="108" t="n">
        <v>0.1112</v>
      </c>
      <c r="R126" s="108" t="n">
        <v>0.1187</v>
      </c>
      <c r="S126" s="108" t="n">
        <v>0.1261</v>
      </c>
      <c r="T126" s="108" t="n">
        <v>0.1335</v>
      </c>
      <c r="U126" s="108" t="n">
        <v>0.1409</v>
      </c>
      <c r="V126" s="108" t="n">
        <v>0.1483</v>
      </c>
      <c r="W126" s="109" t="n">
        <v>-0.3561</v>
      </c>
      <c r="X126" s="110" t="n">
        <v>0</v>
      </c>
      <c r="Y126" s="110" t="n">
        <v>0.03</v>
      </c>
      <c r="Z126" s="110" t="n">
        <v>0.05</v>
      </c>
    </row>
    <row r="127" customFormat="false" ht="15.75" hidden="false" customHeight="false" outlineLevel="0" collapsed="false">
      <c r="A127" s="57" t="n">
        <v>125</v>
      </c>
      <c r="B127" s="108" t="n">
        <v>0.0049</v>
      </c>
      <c r="C127" s="108" t="n">
        <v>0.0099</v>
      </c>
      <c r="D127" s="108" t="n">
        <v>0.013</v>
      </c>
      <c r="E127" s="108" t="n">
        <v>0.0195</v>
      </c>
      <c r="F127" s="108" t="n">
        <v>0.026</v>
      </c>
      <c r="G127" s="108" t="n">
        <v>0.0325</v>
      </c>
      <c r="H127" s="108" t="n">
        <v>0.039</v>
      </c>
      <c r="I127" s="108" t="n">
        <v>0.0455</v>
      </c>
      <c r="J127" s="108" t="n">
        <v>0.052</v>
      </c>
      <c r="K127" s="108" t="n">
        <v>0.0585</v>
      </c>
      <c r="L127" s="108" t="n">
        <v>0.065</v>
      </c>
      <c r="M127" s="108" t="n">
        <v>0.0715</v>
      </c>
      <c r="N127" s="108" t="n">
        <v>0.078</v>
      </c>
      <c r="O127" s="108" t="n">
        <v>0.0845</v>
      </c>
      <c r="P127" s="108" t="n">
        <v>0.091</v>
      </c>
      <c r="Q127" s="108" t="n">
        <v>0.0975</v>
      </c>
      <c r="R127" s="108" t="n">
        <v>0.104</v>
      </c>
      <c r="S127" s="108" t="n">
        <v>0.1105</v>
      </c>
      <c r="T127" s="108" t="n">
        <v>0.117</v>
      </c>
      <c r="U127" s="108" t="n">
        <v>0.1235</v>
      </c>
      <c r="V127" s="108" t="n">
        <v>0.13</v>
      </c>
      <c r="W127" s="109" t="n">
        <v>0.2159</v>
      </c>
      <c r="X127" s="110" t="n">
        <v>0</v>
      </c>
      <c r="Y127" s="110" t="n">
        <v>0.03</v>
      </c>
      <c r="Z127" s="110" t="n">
        <v>0.05</v>
      </c>
    </row>
    <row r="128" customFormat="false" ht="15.75" hidden="false" customHeight="false" outlineLevel="0" collapsed="false">
      <c r="A128" s="57" t="n">
        <v>126</v>
      </c>
      <c r="B128" s="112" t="n">
        <v>-0.011</v>
      </c>
      <c r="C128" s="112" t="n">
        <v>-0.006</v>
      </c>
      <c r="D128" s="112" t="n">
        <v>-0.007</v>
      </c>
      <c r="E128" s="112" t="n">
        <v>-0.0105</v>
      </c>
      <c r="F128" s="112" t="n">
        <v>-0.014</v>
      </c>
      <c r="G128" s="112" t="n">
        <v>-0.0175</v>
      </c>
      <c r="H128" s="112" t="n">
        <v>-0.021</v>
      </c>
      <c r="I128" s="112" t="n">
        <v>-0.0245</v>
      </c>
      <c r="J128" s="112" t="n">
        <v>-0.028</v>
      </c>
      <c r="K128" s="112" t="n">
        <v>-0.0315</v>
      </c>
      <c r="L128" s="112" t="n">
        <v>-0.035</v>
      </c>
      <c r="M128" s="112" t="n">
        <v>-0.0385</v>
      </c>
      <c r="N128" s="112" t="n">
        <v>-0.042</v>
      </c>
      <c r="O128" s="112" t="n">
        <v>-0.0455</v>
      </c>
      <c r="P128" s="112" t="n">
        <v>-0.049</v>
      </c>
      <c r="Q128" s="112" t="n">
        <v>-0.0525</v>
      </c>
      <c r="R128" s="112" t="n">
        <v>-0.056</v>
      </c>
      <c r="S128" s="112" t="n">
        <v>-0.0595</v>
      </c>
      <c r="T128" s="112" t="n">
        <v>-0.063</v>
      </c>
      <c r="U128" s="112" t="n">
        <v>-0.0665</v>
      </c>
      <c r="V128" s="112" t="n">
        <v>-0.07</v>
      </c>
      <c r="W128" s="109" t="n">
        <v>0.1226</v>
      </c>
      <c r="X128" s="110" t="n">
        <v>0</v>
      </c>
      <c r="Y128" s="110" t="n">
        <v>0.03</v>
      </c>
      <c r="Z128" s="110" t="n">
        <v>0.05</v>
      </c>
    </row>
    <row r="129" customFormat="false" ht="15.75" hidden="false" customHeight="false" outlineLevel="0" collapsed="false">
      <c r="A129" s="57" t="n">
        <v>127</v>
      </c>
      <c r="B129" s="108" t="n">
        <v>0.0004</v>
      </c>
      <c r="C129" s="108" t="n">
        <v>0.0054</v>
      </c>
      <c r="D129" s="108" t="n">
        <v>0.016</v>
      </c>
      <c r="E129" s="108" t="n">
        <v>0.024</v>
      </c>
      <c r="F129" s="108" t="n">
        <v>0.032</v>
      </c>
      <c r="G129" s="108" t="n">
        <v>0.04</v>
      </c>
      <c r="H129" s="108" t="n">
        <v>0.048</v>
      </c>
      <c r="I129" s="108" t="n">
        <v>0.056</v>
      </c>
      <c r="J129" s="108" t="n">
        <v>0.064</v>
      </c>
      <c r="K129" s="108" t="n">
        <v>0.072</v>
      </c>
      <c r="L129" s="108" t="n">
        <v>0.08</v>
      </c>
      <c r="M129" s="108" t="n">
        <v>0.088</v>
      </c>
      <c r="N129" s="108" t="n">
        <v>0.096</v>
      </c>
      <c r="O129" s="108" t="n">
        <v>0.104</v>
      </c>
      <c r="P129" s="108" t="n">
        <v>0.112</v>
      </c>
      <c r="Q129" s="108" t="n">
        <v>0.12</v>
      </c>
      <c r="R129" s="108" t="n">
        <v>0.128</v>
      </c>
      <c r="S129" s="108" t="n">
        <v>0.136</v>
      </c>
      <c r="T129" s="108" t="n">
        <v>0.144</v>
      </c>
      <c r="U129" s="108" t="n">
        <v>0.152</v>
      </c>
      <c r="V129" s="108" t="n">
        <v>0.16</v>
      </c>
      <c r="W129" s="109" t="n">
        <v>0.0041</v>
      </c>
      <c r="X129" s="110" t="n">
        <v>0</v>
      </c>
      <c r="Y129" s="110" t="n">
        <v>0.03</v>
      </c>
      <c r="Z129" s="110" t="n">
        <v>0.05</v>
      </c>
    </row>
    <row r="130" customFormat="false" ht="15.75" hidden="false" customHeight="false" outlineLevel="0" collapsed="false">
      <c r="A130" s="57" t="n">
        <v>128</v>
      </c>
      <c r="B130" s="112" t="n">
        <v>-0.0146</v>
      </c>
      <c r="C130" s="112" t="n">
        <v>-0.0096</v>
      </c>
      <c r="D130" s="108" t="n">
        <v>0.0108</v>
      </c>
      <c r="E130" s="108" t="n">
        <v>0.0162</v>
      </c>
      <c r="F130" s="108" t="n">
        <v>0.0217</v>
      </c>
      <c r="G130" s="108" t="n">
        <v>0.0271</v>
      </c>
      <c r="H130" s="108" t="n">
        <v>0.0325</v>
      </c>
      <c r="I130" s="108" t="n">
        <v>0.0379</v>
      </c>
      <c r="J130" s="108" t="n">
        <v>0.0433</v>
      </c>
      <c r="K130" s="108" t="n">
        <v>0.0487</v>
      </c>
      <c r="L130" s="108" t="n">
        <v>0.0542</v>
      </c>
      <c r="M130" s="108" t="n">
        <v>0.0596</v>
      </c>
      <c r="N130" s="108" t="n">
        <v>0.065</v>
      </c>
      <c r="O130" s="108" t="n">
        <v>0.0704</v>
      </c>
      <c r="P130" s="108" t="n">
        <v>0.0758</v>
      </c>
      <c r="Q130" s="108" t="n">
        <v>0.0812</v>
      </c>
      <c r="R130" s="108" t="n">
        <v>0.0867</v>
      </c>
      <c r="S130" s="108" t="n">
        <v>0.0921</v>
      </c>
      <c r="T130" s="108" t="n">
        <v>0.0975</v>
      </c>
      <c r="U130" s="108" t="n">
        <v>0.1029</v>
      </c>
      <c r="V130" s="108" t="n">
        <v>0.1083</v>
      </c>
      <c r="W130" s="109" t="n">
        <v>0.1451</v>
      </c>
      <c r="X130" s="110" t="n">
        <v>0</v>
      </c>
      <c r="Y130" s="110" t="n">
        <v>0.03</v>
      </c>
      <c r="Z130" s="110" t="n">
        <v>0.05</v>
      </c>
    </row>
    <row r="131" customFormat="false" ht="15.75" hidden="false" customHeight="false" outlineLevel="0" collapsed="false">
      <c r="A131" s="57" t="n">
        <v>129</v>
      </c>
      <c r="B131" s="108" t="n">
        <v>0.0058</v>
      </c>
      <c r="C131" s="108" t="n">
        <v>0.0108</v>
      </c>
      <c r="D131" s="108" t="n">
        <v>0.0158</v>
      </c>
      <c r="E131" s="108" t="n">
        <v>0.0237</v>
      </c>
      <c r="F131" s="108" t="n">
        <v>0.0316</v>
      </c>
      <c r="G131" s="108" t="n">
        <v>0.0395</v>
      </c>
      <c r="H131" s="108" t="n">
        <v>0.0475</v>
      </c>
      <c r="I131" s="108" t="n">
        <v>0.0554</v>
      </c>
      <c r="J131" s="108" t="n">
        <v>0.0633</v>
      </c>
      <c r="K131" s="108" t="n">
        <v>0.0712</v>
      </c>
      <c r="L131" s="108" t="n">
        <v>0.0791</v>
      </c>
      <c r="M131" s="108" t="n">
        <v>0.087</v>
      </c>
      <c r="N131" s="108" t="n">
        <v>0.0949</v>
      </c>
      <c r="O131" s="108" t="n">
        <v>0.1028</v>
      </c>
      <c r="P131" s="108" t="n">
        <v>0.1107</v>
      </c>
      <c r="Q131" s="108" t="n">
        <v>0.1186</v>
      </c>
      <c r="R131" s="108" t="n">
        <v>0.1265</v>
      </c>
      <c r="S131" s="108" t="n">
        <v>0.1344</v>
      </c>
      <c r="T131" s="108" t="n">
        <v>0.1424</v>
      </c>
      <c r="U131" s="108" t="n">
        <v>0.1503</v>
      </c>
      <c r="V131" s="108" t="n">
        <v>0.1582</v>
      </c>
      <c r="W131" s="109" t="n">
        <v>0.2527</v>
      </c>
      <c r="X131" s="110" t="n">
        <v>0</v>
      </c>
      <c r="Y131" s="110" t="n">
        <v>0.03</v>
      </c>
      <c r="Z131" s="110" t="n">
        <v>0.05</v>
      </c>
    </row>
    <row r="132" customFormat="false" ht="15.75" hidden="false" customHeight="false" outlineLevel="0" collapsed="false">
      <c r="A132" s="57" t="n">
        <v>130</v>
      </c>
      <c r="B132" s="112" t="n">
        <v>-0.0025</v>
      </c>
      <c r="C132" s="108" t="n">
        <v>0.0025</v>
      </c>
      <c r="D132" s="108" t="n">
        <v>0.0075</v>
      </c>
      <c r="E132" s="108" t="n">
        <v>0.0113</v>
      </c>
      <c r="F132" s="108" t="n">
        <v>0.0151</v>
      </c>
      <c r="G132" s="108" t="n">
        <v>0.0188</v>
      </c>
      <c r="H132" s="108" t="n">
        <v>0.0226</v>
      </c>
      <c r="I132" s="108" t="n">
        <v>0.0264</v>
      </c>
      <c r="J132" s="108" t="n">
        <v>0.0301</v>
      </c>
      <c r="K132" s="108" t="n">
        <v>0.0339</v>
      </c>
      <c r="L132" s="108" t="n">
        <v>0.0377</v>
      </c>
      <c r="M132" s="108" t="n">
        <v>0.0414</v>
      </c>
      <c r="N132" s="108" t="n">
        <v>0.0452</v>
      </c>
      <c r="O132" s="108" t="n">
        <v>0.049</v>
      </c>
      <c r="P132" s="108" t="n">
        <v>0.0527</v>
      </c>
      <c r="Q132" s="108" t="n">
        <v>0.0565</v>
      </c>
      <c r="R132" s="108" t="n">
        <v>0.0603</v>
      </c>
      <c r="S132" s="108" t="n">
        <v>0.064</v>
      </c>
      <c r="T132" s="108" t="n">
        <v>0.0678</v>
      </c>
      <c r="U132" s="108" t="n">
        <v>0.0716</v>
      </c>
      <c r="V132" s="108" t="n">
        <v>0.0753</v>
      </c>
      <c r="W132" s="109" t="n">
        <v>0.1239</v>
      </c>
      <c r="X132" s="110" t="n">
        <v>0</v>
      </c>
      <c r="Y132" s="110" t="n">
        <v>0.03</v>
      </c>
      <c r="Z132" s="110" t="n">
        <v>0.05</v>
      </c>
    </row>
    <row r="133" customFormat="false" ht="15.75" hidden="false" customHeight="false" outlineLevel="0" collapsed="false">
      <c r="A133" s="57" t="n">
        <v>131</v>
      </c>
      <c r="B133" s="108" t="n">
        <v>0.0084</v>
      </c>
      <c r="C133" s="108" t="n">
        <v>0.0134</v>
      </c>
      <c r="D133" s="108" t="n">
        <v>0.0184</v>
      </c>
      <c r="E133" s="108" t="n">
        <v>0.0276</v>
      </c>
      <c r="F133" s="108" t="n">
        <v>0.0368</v>
      </c>
      <c r="G133" s="108" t="n">
        <v>0.046</v>
      </c>
      <c r="H133" s="108" t="n">
        <v>0.0551</v>
      </c>
      <c r="I133" s="108" t="n">
        <v>0.0643</v>
      </c>
      <c r="J133" s="108" t="n">
        <v>0.0735</v>
      </c>
      <c r="K133" s="108" t="n">
        <v>0.0827</v>
      </c>
      <c r="L133" s="108" t="n">
        <v>0.0919</v>
      </c>
      <c r="M133" s="108" t="n">
        <v>0.1011</v>
      </c>
      <c r="N133" s="108" t="n">
        <v>0.1103</v>
      </c>
      <c r="O133" s="108" t="n">
        <v>0.1195</v>
      </c>
      <c r="P133" s="108" t="n">
        <v>0.1287</v>
      </c>
      <c r="Q133" s="108" t="n">
        <v>0.1379</v>
      </c>
      <c r="R133" s="108" t="n">
        <v>0.1471</v>
      </c>
      <c r="S133" s="108" t="n">
        <v>0.1563</v>
      </c>
      <c r="T133" s="108" t="n">
        <v>0.1654</v>
      </c>
      <c r="U133" s="108" t="n">
        <v>0.1746</v>
      </c>
      <c r="V133" s="108" t="n">
        <v>0.1838</v>
      </c>
      <c r="W133" s="109" t="n">
        <v>0.2467</v>
      </c>
      <c r="X133" s="110" t="n">
        <v>0</v>
      </c>
      <c r="Y133" s="110" t="n">
        <v>0.03</v>
      </c>
      <c r="Z133" s="110" t="n">
        <v>0.05</v>
      </c>
    </row>
    <row r="134" customFormat="false" ht="15.75" hidden="false" customHeight="false" outlineLevel="0" collapsed="false">
      <c r="A134" s="57" t="n">
        <v>132</v>
      </c>
      <c r="B134" s="112" t="n">
        <v>-0.0033</v>
      </c>
      <c r="C134" s="108" t="n">
        <v>0.0017</v>
      </c>
      <c r="D134" s="108" t="n">
        <v>0.0067</v>
      </c>
      <c r="E134" s="108" t="n">
        <v>0.0101</v>
      </c>
      <c r="F134" s="108" t="n">
        <v>0.0135</v>
      </c>
      <c r="G134" s="108" t="n">
        <v>0.0168</v>
      </c>
      <c r="H134" s="108" t="n">
        <v>0.0202</v>
      </c>
      <c r="I134" s="108" t="n">
        <v>0.0236</v>
      </c>
      <c r="J134" s="108" t="n">
        <v>0.0269</v>
      </c>
      <c r="K134" s="108" t="n">
        <v>0.0303</v>
      </c>
      <c r="L134" s="108" t="n">
        <v>0.0337</v>
      </c>
      <c r="M134" s="108" t="n">
        <v>0.037</v>
      </c>
      <c r="N134" s="108" t="n">
        <v>0.0404</v>
      </c>
      <c r="O134" s="108" t="n">
        <v>0.0438</v>
      </c>
      <c r="P134" s="108" t="n">
        <v>0.0471</v>
      </c>
      <c r="Q134" s="108" t="n">
        <v>0.0505</v>
      </c>
      <c r="R134" s="108" t="n">
        <v>0.0539</v>
      </c>
      <c r="S134" s="108" t="n">
        <v>0.0572</v>
      </c>
      <c r="T134" s="108" t="n">
        <v>0.0606</v>
      </c>
      <c r="U134" s="108" t="n">
        <v>0.064</v>
      </c>
      <c r="V134" s="108" t="n">
        <v>0.0673</v>
      </c>
      <c r="W134" s="109" t="n">
        <v>0.1459</v>
      </c>
      <c r="X134" s="110" t="n">
        <v>0</v>
      </c>
      <c r="Y134" s="110" t="n">
        <v>0.03</v>
      </c>
      <c r="Z134" s="110" t="n">
        <v>0.05</v>
      </c>
    </row>
    <row r="135" customFormat="false" ht="15.75" hidden="false" customHeight="false" outlineLevel="0" collapsed="false">
      <c r="A135" s="57" t="n">
        <v>133</v>
      </c>
      <c r="B135" s="112" t="n">
        <v>-0.0132</v>
      </c>
      <c r="C135" s="112" t="n">
        <v>-0.0082</v>
      </c>
      <c r="D135" s="108" t="n">
        <v>0.009</v>
      </c>
      <c r="E135" s="108" t="n">
        <v>0.0135</v>
      </c>
      <c r="F135" s="108" t="n">
        <v>0.018</v>
      </c>
      <c r="G135" s="108" t="n">
        <v>0.0225</v>
      </c>
      <c r="H135" s="108" t="n">
        <v>0.027</v>
      </c>
      <c r="I135" s="108" t="n">
        <v>0.0315</v>
      </c>
      <c r="J135" s="108" t="n">
        <v>0.036</v>
      </c>
      <c r="K135" s="108" t="n">
        <v>0.0405</v>
      </c>
      <c r="L135" s="108" t="n">
        <v>0.045</v>
      </c>
      <c r="M135" s="108" t="n">
        <v>0.0495</v>
      </c>
      <c r="N135" s="108" t="n">
        <v>0.054</v>
      </c>
      <c r="O135" s="108" t="n">
        <v>0.0585</v>
      </c>
      <c r="P135" s="108" t="n">
        <v>0.063</v>
      </c>
      <c r="Q135" s="108" t="n">
        <v>0.0675</v>
      </c>
      <c r="R135" s="108" t="n">
        <v>0.072</v>
      </c>
      <c r="S135" s="108" t="n">
        <v>0.0765</v>
      </c>
      <c r="T135" s="108" t="n">
        <v>0.081</v>
      </c>
      <c r="U135" s="108" t="n">
        <v>0.0855</v>
      </c>
      <c r="V135" s="108" t="n">
        <v>0.09</v>
      </c>
      <c r="W135" s="109" t="n">
        <v>0.1151</v>
      </c>
      <c r="X135" s="110" t="n">
        <v>0</v>
      </c>
      <c r="Y135" s="110" t="n">
        <v>0.03</v>
      </c>
      <c r="Z135" s="110" t="n">
        <v>0.05</v>
      </c>
    </row>
    <row r="136" customFormat="false" ht="15.75" hidden="false" customHeight="false" outlineLevel="0" collapsed="false">
      <c r="A136" s="57" t="n">
        <v>134</v>
      </c>
      <c r="B136" s="108" t="n">
        <v>0.0134</v>
      </c>
      <c r="C136" s="108" t="n">
        <v>0.0184</v>
      </c>
      <c r="D136" s="108" t="n">
        <v>0.022</v>
      </c>
      <c r="E136" s="108" t="n">
        <v>0.033</v>
      </c>
      <c r="F136" s="108" t="n">
        <v>0.044</v>
      </c>
      <c r="G136" s="108" t="n">
        <v>0.055</v>
      </c>
      <c r="H136" s="108" t="n">
        <v>0.066</v>
      </c>
      <c r="I136" s="108" t="n">
        <v>0.077</v>
      </c>
      <c r="J136" s="108" t="n">
        <v>0.088</v>
      </c>
      <c r="K136" s="108" t="n">
        <v>0.099</v>
      </c>
      <c r="L136" s="108" t="n">
        <v>0.11</v>
      </c>
      <c r="M136" s="108" t="n">
        <v>0.121</v>
      </c>
      <c r="N136" s="108" t="n">
        <v>0.132</v>
      </c>
      <c r="O136" s="108" t="n">
        <v>0.143</v>
      </c>
      <c r="P136" s="108" t="n">
        <v>0.154</v>
      </c>
      <c r="Q136" s="108" t="n">
        <v>0.165</v>
      </c>
      <c r="R136" s="108" t="n">
        <v>0.176</v>
      </c>
      <c r="S136" s="108" t="n">
        <v>0.187</v>
      </c>
      <c r="T136" s="108" t="n">
        <v>0.198</v>
      </c>
      <c r="U136" s="108" t="n">
        <v>0.209</v>
      </c>
      <c r="V136" s="108" t="n">
        <v>0.22</v>
      </c>
      <c r="W136" s="109" t="n">
        <v>-0.0599</v>
      </c>
      <c r="X136" s="110" t="n">
        <v>0</v>
      </c>
      <c r="Y136" s="110" t="n">
        <v>0.03</v>
      </c>
      <c r="Z136" s="110" t="n">
        <v>0.05</v>
      </c>
    </row>
    <row r="137" customFormat="false" ht="15.75" hidden="false" customHeight="false" outlineLevel="0" collapsed="false">
      <c r="A137" s="57" t="n">
        <v>135</v>
      </c>
      <c r="B137" s="108" t="n">
        <v>0.011</v>
      </c>
      <c r="C137" s="108" t="n">
        <v>0.016</v>
      </c>
      <c r="D137" s="108" t="n">
        <v>0.0175</v>
      </c>
      <c r="E137" s="108" t="n">
        <v>0.0262</v>
      </c>
      <c r="F137" s="108" t="n">
        <v>0.035</v>
      </c>
      <c r="G137" s="108" t="n">
        <v>0.0437</v>
      </c>
      <c r="H137" s="108" t="n">
        <v>0.0525</v>
      </c>
      <c r="I137" s="108" t="n">
        <v>0.0612</v>
      </c>
      <c r="J137" s="108" t="n">
        <v>0.07</v>
      </c>
      <c r="K137" s="108" t="n">
        <v>0.0788</v>
      </c>
      <c r="L137" s="108" t="n">
        <v>0.0875</v>
      </c>
      <c r="M137" s="108" t="n">
        <v>0.0963</v>
      </c>
      <c r="N137" s="108" t="n">
        <v>0.105</v>
      </c>
      <c r="O137" s="108" t="n">
        <v>0.1138</v>
      </c>
      <c r="P137" s="108" t="n">
        <v>0.1225</v>
      </c>
      <c r="Q137" s="108" t="n">
        <v>0.1313</v>
      </c>
      <c r="R137" s="108" t="n">
        <v>0.14</v>
      </c>
      <c r="S137" s="108" t="n">
        <v>0.1487</v>
      </c>
      <c r="T137" s="108" t="n">
        <v>0.1575</v>
      </c>
      <c r="U137" s="108" t="n">
        <v>0.1663</v>
      </c>
      <c r="V137" s="108" t="n">
        <v>0.175</v>
      </c>
      <c r="W137" s="109" t="n">
        <v>0.4729</v>
      </c>
      <c r="X137" s="110" t="n">
        <v>0</v>
      </c>
      <c r="Y137" s="110" t="n">
        <v>0.03</v>
      </c>
      <c r="Z137" s="110" t="n">
        <v>0.05</v>
      </c>
    </row>
    <row r="138" customFormat="false" ht="15.75" hidden="false" customHeight="false" outlineLevel="0" collapsed="false">
      <c r="A138" s="57" t="n">
        <v>136</v>
      </c>
      <c r="B138" s="112" t="n">
        <v>-0.0075</v>
      </c>
      <c r="C138" s="112" t="n">
        <v>-0.0025</v>
      </c>
      <c r="D138" s="112" t="n">
        <v>-0.0093</v>
      </c>
      <c r="E138" s="112" t="n">
        <v>-0.014</v>
      </c>
      <c r="F138" s="112" t="n">
        <v>-0.0187</v>
      </c>
      <c r="G138" s="112" t="n">
        <v>-0.0233</v>
      </c>
      <c r="H138" s="112" t="n">
        <v>-0.028</v>
      </c>
      <c r="I138" s="112" t="n">
        <v>-0.0327</v>
      </c>
      <c r="J138" s="112" t="n">
        <v>-0.0373</v>
      </c>
      <c r="K138" s="112" t="n">
        <v>-0.042</v>
      </c>
      <c r="L138" s="112" t="n">
        <v>-0.0467</v>
      </c>
      <c r="M138" s="112" t="n">
        <v>-0.0513</v>
      </c>
      <c r="N138" s="112" t="n">
        <v>-0.056</v>
      </c>
      <c r="O138" s="112" t="n">
        <v>-0.0607</v>
      </c>
      <c r="P138" s="112" t="n">
        <v>-0.0653</v>
      </c>
      <c r="Q138" s="112" t="n">
        <v>-0.07</v>
      </c>
      <c r="R138" s="112" t="n">
        <v>-0.0747</v>
      </c>
      <c r="S138" s="112" t="n">
        <v>-0.0793</v>
      </c>
      <c r="T138" s="112" t="n">
        <v>-0.084</v>
      </c>
      <c r="U138" s="112" t="n">
        <v>-0.0887</v>
      </c>
      <c r="V138" s="112" t="n">
        <v>-0.0933</v>
      </c>
      <c r="W138" s="109" t="n">
        <v>0.2288</v>
      </c>
      <c r="X138" s="110" t="n">
        <v>0</v>
      </c>
      <c r="Y138" s="110" t="n">
        <v>0.03</v>
      </c>
      <c r="Z138" s="110" t="n">
        <v>0.05</v>
      </c>
    </row>
    <row r="139" customFormat="false" ht="15.75" hidden="false" customHeight="false" outlineLevel="0" collapsed="false">
      <c r="A139" s="57" t="n">
        <v>137</v>
      </c>
      <c r="B139" s="112" t="n">
        <v>-0.0181</v>
      </c>
      <c r="C139" s="112" t="n">
        <v>-0.0131</v>
      </c>
      <c r="D139" s="112" t="n">
        <v>-0.0142</v>
      </c>
      <c r="E139" s="112" t="n">
        <v>-0.0213</v>
      </c>
      <c r="F139" s="112" t="n">
        <v>-0.0283</v>
      </c>
      <c r="G139" s="112" t="n">
        <v>-0.0354</v>
      </c>
      <c r="H139" s="112" t="n">
        <v>-0.0425</v>
      </c>
      <c r="I139" s="112" t="n">
        <v>-0.0496</v>
      </c>
      <c r="J139" s="112" t="n">
        <v>-0.0567</v>
      </c>
      <c r="K139" s="112" t="n">
        <v>-0.0638</v>
      </c>
      <c r="L139" s="112" t="n">
        <v>-0.0708</v>
      </c>
      <c r="M139" s="112" t="n">
        <v>-0.0779</v>
      </c>
      <c r="N139" s="112" t="n">
        <v>-0.085</v>
      </c>
      <c r="O139" s="112" t="n">
        <v>-0.0921</v>
      </c>
      <c r="P139" s="112" t="n">
        <v>-0.0992</v>
      </c>
      <c r="Q139" s="112" t="n">
        <v>-0.1063</v>
      </c>
      <c r="R139" s="112" t="n">
        <v>-0.1133</v>
      </c>
      <c r="S139" s="112" t="n">
        <v>-0.1204</v>
      </c>
      <c r="T139" s="112" t="n">
        <v>-0.1275</v>
      </c>
      <c r="U139" s="112" t="n">
        <v>-0.1346</v>
      </c>
      <c r="V139" s="112" t="n">
        <v>-0.1417</v>
      </c>
      <c r="W139" s="109" t="n">
        <v>0.023</v>
      </c>
      <c r="X139" s="110" t="n">
        <v>0</v>
      </c>
      <c r="Y139" s="110" t="n">
        <v>0.03</v>
      </c>
      <c r="Z139" s="110" t="n">
        <v>0.05</v>
      </c>
    </row>
    <row r="140" customFormat="false" ht="15.75" hidden="false" customHeight="false" outlineLevel="0" collapsed="false">
      <c r="A140" s="57" t="n">
        <v>138</v>
      </c>
      <c r="B140" s="112" t="n">
        <v>-0.037</v>
      </c>
      <c r="C140" s="112" t="n">
        <v>-0.031</v>
      </c>
      <c r="D140" s="112" t="n">
        <v>-0.027</v>
      </c>
      <c r="E140" s="112" t="n">
        <v>-0.0405</v>
      </c>
      <c r="F140" s="112" t="n">
        <v>-0.0539</v>
      </c>
      <c r="G140" s="112" t="n">
        <v>-0.0674</v>
      </c>
      <c r="H140" s="112" t="n">
        <v>-0.0809</v>
      </c>
      <c r="I140" s="112" t="n">
        <v>-0.0944</v>
      </c>
      <c r="J140" s="112" t="n">
        <v>-0.1079</v>
      </c>
      <c r="K140" s="112" t="n">
        <v>-0.1214</v>
      </c>
      <c r="L140" s="112" t="n">
        <v>-0.1348</v>
      </c>
      <c r="M140" s="112" t="n">
        <v>-0.1483</v>
      </c>
      <c r="N140" s="112" t="n">
        <v>-0.1618</v>
      </c>
      <c r="O140" s="112" t="n">
        <v>-0.1753</v>
      </c>
      <c r="P140" s="112" t="n">
        <v>-0.1888</v>
      </c>
      <c r="Q140" s="112" t="n">
        <v>-0.2023</v>
      </c>
      <c r="R140" s="112" t="n">
        <v>-0.2157</v>
      </c>
      <c r="S140" s="112" t="n">
        <v>-0.2292</v>
      </c>
      <c r="T140" s="112" t="n">
        <v>-0.2427</v>
      </c>
      <c r="U140" s="112" t="n">
        <v>-0.2562</v>
      </c>
      <c r="V140" s="112" t="n">
        <v>-0.2697</v>
      </c>
      <c r="W140" s="109" t="n">
        <v>-0.1271</v>
      </c>
      <c r="X140" s="110" t="n">
        <v>0</v>
      </c>
      <c r="Y140" s="110" t="n">
        <v>0.03</v>
      </c>
      <c r="Z140" s="110" t="n">
        <v>0.05</v>
      </c>
    </row>
    <row r="141" customFormat="false" ht="15.75" hidden="false" customHeight="false" outlineLevel="0" collapsed="false">
      <c r="A141" s="57" t="n">
        <v>139</v>
      </c>
      <c r="B141" s="112" t="n">
        <v>-0.0203</v>
      </c>
      <c r="C141" s="112" t="n">
        <v>-0.0153</v>
      </c>
      <c r="D141" s="108" t="n">
        <v>0.0152</v>
      </c>
      <c r="E141" s="108" t="n">
        <v>0.0228</v>
      </c>
      <c r="F141" s="108" t="n">
        <v>0.0303</v>
      </c>
      <c r="G141" s="108" t="n">
        <v>0.0379</v>
      </c>
      <c r="H141" s="108" t="n">
        <v>0.0455</v>
      </c>
      <c r="I141" s="108" t="n">
        <v>0.0531</v>
      </c>
      <c r="J141" s="108" t="n">
        <v>0.0607</v>
      </c>
      <c r="K141" s="108" t="n">
        <v>0.0683</v>
      </c>
      <c r="L141" s="108" t="n">
        <v>0.0758</v>
      </c>
      <c r="M141" s="108" t="n">
        <v>0.0834</v>
      </c>
      <c r="N141" s="108" t="n">
        <v>0.091</v>
      </c>
      <c r="O141" s="108" t="n">
        <v>0.0986</v>
      </c>
      <c r="P141" s="108" t="n">
        <v>0.1062</v>
      </c>
      <c r="Q141" s="108" t="n">
        <v>0.1138</v>
      </c>
      <c r="R141" s="108" t="n">
        <v>0.1213</v>
      </c>
      <c r="S141" s="108" t="n">
        <v>0.1289</v>
      </c>
      <c r="T141" s="108" t="n">
        <v>0.1365</v>
      </c>
      <c r="U141" s="108" t="n">
        <v>0.1441</v>
      </c>
      <c r="V141" s="108" t="n">
        <v>0.1517</v>
      </c>
      <c r="W141" s="109" t="n">
        <v>0.3747</v>
      </c>
      <c r="X141" s="110" t="n">
        <v>0</v>
      </c>
      <c r="Y141" s="110" t="n">
        <v>0.03</v>
      </c>
      <c r="Z141" s="110" t="n">
        <v>0.05</v>
      </c>
    </row>
    <row r="142" customFormat="false" ht="15.75" hidden="false" customHeight="false" outlineLevel="0" collapsed="false">
      <c r="A142" s="57" t="n">
        <v>140</v>
      </c>
      <c r="B142" s="112" t="n">
        <v>-0.005</v>
      </c>
      <c r="C142" s="108" t="n">
        <v>0</v>
      </c>
      <c r="D142" s="108" t="n">
        <v>0.0087</v>
      </c>
      <c r="E142" s="108" t="n">
        <v>0.013</v>
      </c>
      <c r="F142" s="108" t="n">
        <v>0.0173</v>
      </c>
      <c r="G142" s="108" t="n">
        <v>0.0217</v>
      </c>
      <c r="H142" s="108" t="n">
        <v>0.026</v>
      </c>
      <c r="I142" s="108" t="n">
        <v>0.0303</v>
      </c>
      <c r="J142" s="108" t="n">
        <v>0.0347</v>
      </c>
      <c r="K142" s="108" t="n">
        <v>0.039</v>
      </c>
      <c r="L142" s="108" t="n">
        <v>0.0433</v>
      </c>
      <c r="M142" s="108" t="n">
        <v>0.0477</v>
      </c>
      <c r="N142" s="108" t="n">
        <v>0.052</v>
      </c>
      <c r="O142" s="108" t="n">
        <v>0.0563</v>
      </c>
      <c r="P142" s="108" t="n">
        <v>0.0607</v>
      </c>
      <c r="Q142" s="108" t="n">
        <v>0.065</v>
      </c>
      <c r="R142" s="108" t="n">
        <v>0.0693</v>
      </c>
      <c r="S142" s="108" t="n">
        <v>0.0737</v>
      </c>
      <c r="T142" s="108" t="n">
        <v>0.078</v>
      </c>
      <c r="U142" s="108" t="n">
        <v>0.0823</v>
      </c>
      <c r="V142" s="108" t="n">
        <v>0.0867</v>
      </c>
      <c r="W142" s="109" t="n">
        <v>0.0806</v>
      </c>
      <c r="X142" s="110" t="n">
        <v>0</v>
      </c>
      <c r="Y142" s="110" t="n">
        <v>0.03</v>
      </c>
      <c r="Z142" s="110" t="n">
        <v>0.05</v>
      </c>
    </row>
    <row r="143" customFormat="false" ht="15.75" hidden="false" customHeight="false" outlineLevel="0" collapsed="false">
      <c r="A143" s="57" t="n">
        <v>141</v>
      </c>
      <c r="B143" s="112" t="n">
        <v>-0.0064</v>
      </c>
      <c r="C143" s="112" t="n">
        <v>-0.0014</v>
      </c>
      <c r="D143" s="108" t="n">
        <v>0.0202</v>
      </c>
      <c r="E143" s="108" t="n">
        <v>0.0303</v>
      </c>
      <c r="F143" s="108" t="n">
        <v>0.0403</v>
      </c>
      <c r="G143" s="108" t="n">
        <v>0.0504</v>
      </c>
      <c r="H143" s="108" t="n">
        <v>0.0605</v>
      </c>
      <c r="I143" s="108" t="n">
        <v>0.0706</v>
      </c>
      <c r="J143" s="108" t="n">
        <v>0.0807</v>
      </c>
      <c r="K143" s="108" t="n">
        <v>0.0908</v>
      </c>
      <c r="L143" s="108" t="n">
        <v>0.1008</v>
      </c>
      <c r="M143" s="108" t="n">
        <v>0.1109</v>
      </c>
      <c r="N143" s="108" t="n">
        <v>0.121</v>
      </c>
      <c r="O143" s="108" t="n">
        <v>0.1311</v>
      </c>
      <c r="P143" s="108" t="n">
        <v>0.1412</v>
      </c>
      <c r="Q143" s="108" t="n">
        <v>0.1513</v>
      </c>
      <c r="R143" s="108" t="n">
        <v>0.1613</v>
      </c>
      <c r="S143" s="108" t="n">
        <v>0.1714</v>
      </c>
      <c r="T143" s="108" t="n">
        <v>0.1815</v>
      </c>
      <c r="U143" s="108" t="n">
        <v>0.1916</v>
      </c>
      <c r="V143" s="108" t="n">
        <v>0.2017</v>
      </c>
      <c r="W143" s="109" t="n">
        <v>-0.0391</v>
      </c>
      <c r="X143" s="110" t="n">
        <v>0</v>
      </c>
      <c r="Y143" s="110" t="n">
        <v>0.03</v>
      </c>
      <c r="Z143" s="110" t="n">
        <v>0.05</v>
      </c>
    </row>
    <row r="144" customFormat="false" ht="15.75" hidden="false" customHeight="false" outlineLevel="0" collapsed="false">
      <c r="A144" s="57" t="n">
        <v>142</v>
      </c>
      <c r="B144" s="112" t="n">
        <v>-0.0057</v>
      </c>
      <c r="C144" s="112" t="n">
        <v>-0.0007</v>
      </c>
      <c r="D144" s="108" t="n">
        <v>0.0168</v>
      </c>
      <c r="E144" s="108" t="n">
        <v>0.0252</v>
      </c>
      <c r="F144" s="108" t="n">
        <v>0.0337</v>
      </c>
      <c r="G144" s="108" t="n">
        <v>0.0421</v>
      </c>
      <c r="H144" s="108" t="n">
        <v>0.0505</v>
      </c>
      <c r="I144" s="108" t="n">
        <v>0.0589</v>
      </c>
      <c r="J144" s="108" t="n">
        <v>0.0673</v>
      </c>
      <c r="K144" s="108" t="n">
        <v>0.0757</v>
      </c>
      <c r="L144" s="108" t="n">
        <v>0.0842</v>
      </c>
      <c r="M144" s="108" t="n">
        <v>0.0926</v>
      </c>
      <c r="N144" s="108" t="n">
        <v>0.101</v>
      </c>
      <c r="O144" s="108" t="n">
        <v>0.1094</v>
      </c>
      <c r="P144" s="108" t="n">
        <v>0.1178</v>
      </c>
      <c r="Q144" s="108" t="n">
        <v>0.1262</v>
      </c>
      <c r="R144" s="108" t="n">
        <v>0.1347</v>
      </c>
      <c r="S144" s="108" t="n">
        <v>0.1431</v>
      </c>
      <c r="T144" s="108" t="n">
        <v>0.1515</v>
      </c>
      <c r="U144" s="108" t="n">
        <v>0.1599</v>
      </c>
      <c r="V144" s="108" t="n">
        <v>0.1683</v>
      </c>
      <c r="W144" s="109" t="n">
        <v>0.2326</v>
      </c>
      <c r="X144" s="110" t="n">
        <v>0</v>
      </c>
      <c r="Y144" s="110" t="n">
        <v>0.03</v>
      </c>
      <c r="Z144" s="110" t="n">
        <v>0.05</v>
      </c>
    </row>
    <row r="145" customFormat="false" ht="15.75" hidden="false" customHeight="false" outlineLevel="0" collapsed="false">
      <c r="A145" s="57" t="n">
        <v>143</v>
      </c>
      <c r="B145" s="108" t="n">
        <v>0.0023</v>
      </c>
      <c r="C145" s="108" t="n">
        <v>0.0073</v>
      </c>
      <c r="D145" s="108" t="n">
        <v>0.0163</v>
      </c>
      <c r="E145" s="108" t="n">
        <v>0.0245</v>
      </c>
      <c r="F145" s="108" t="n">
        <v>0.0327</v>
      </c>
      <c r="G145" s="108" t="n">
        <v>0.0408</v>
      </c>
      <c r="H145" s="108" t="n">
        <v>0.049</v>
      </c>
      <c r="I145" s="108" t="n">
        <v>0.0572</v>
      </c>
      <c r="J145" s="108" t="n">
        <v>0.0653</v>
      </c>
      <c r="K145" s="108" t="n">
        <v>0.0735</v>
      </c>
      <c r="L145" s="108" t="n">
        <v>0.0817</v>
      </c>
      <c r="M145" s="108" t="n">
        <v>0.0898</v>
      </c>
      <c r="N145" s="108" t="n">
        <v>0.098</v>
      </c>
      <c r="O145" s="108" t="n">
        <v>0.1062</v>
      </c>
      <c r="P145" s="108" t="n">
        <v>0.1143</v>
      </c>
      <c r="Q145" s="108" t="n">
        <v>0.1225</v>
      </c>
      <c r="R145" s="108" t="n">
        <v>0.1307</v>
      </c>
      <c r="S145" s="108" t="n">
        <v>0.1388</v>
      </c>
      <c r="T145" s="108" t="n">
        <v>0.147</v>
      </c>
      <c r="U145" s="108" t="n">
        <v>0.1552</v>
      </c>
      <c r="V145" s="108" t="n">
        <v>0.1633</v>
      </c>
      <c r="W145" s="109" t="n">
        <v>-0.1165</v>
      </c>
      <c r="X145" s="110" t="n">
        <v>0</v>
      </c>
      <c r="Y145" s="110" t="n">
        <v>0.03</v>
      </c>
      <c r="Z145" s="110" t="n">
        <v>0.05</v>
      </c>
    </row>
    <row r="146" customFormat="false" ht="15.75" hidden="false" customHeight="false" outlineLevel="0" collapsed="false">
      <c r="A146" s="57" t="n">
        <v>144</v>
      </c>
      <c r="B146" s="108" t="n">
        <v>0.0125</v>
      </c>
      <c r="C146" s="108" t="n">
        <v>0.0175</v>
      </c>
      <c r="D146" s="112" t="n">
        <v>-0.0422</v>
      </c>
      <c r="E146" s="112" t="n">
        <v>-0.0633</v>
      </c>
      <c r="F146" s="112" t="n">
        <v>-0.0843</v>
      </c>
      <c r="G146" s="112" t="n">
        <v>-0.1054</v>
      </c>
      <c r="H146" s="112" t="n">
        <v>-0.1265</v>
      </c>
      <c r="I146" s="112" t="n">
        <v>-0.1476</v>
      </c>
      <c r="J146" s="112" t="n">
        <v>-0.1687</v>
      </c>
      <c r="K146" s="112" t="n">
        <v>-0.1898</v>
      </c>
      <c r="L146" s="112" t="n">
        <v>-0.2108</v>
      </c>
      <c r="M146" s="112" t="n">
        <v>-0.2319</v>
      </c>
      <c r="N146" s="112" t="n">
        <v>-0.253</v>
      </c>
      <c r="O146" s="112" t="n">
        <v>-0.2741</v>
      </c>
      <c r="P146" s="112" t="n">
        <v>-0.2952</v>
      </c>
      <c r="Q146" s="112" t="n">
        <v>-0.3163</v>
      </c>
      <c r="R146" s="112" t="n">
        <v>-0.3373</v>
      </c>
      <c r="S146" s="112" t="n">
        <v>-0.3584</v>
      </c>
      <c r="T146" s="112" t="n">
        <v>-0.3795</v>
      </c>
      <c r="U146" s="112" t="n">
        <v>-0.4006</v>
      </c>
      <c r="V146" s="112" t="n">
        <v>-0.4217</v>
      </c>
      <c r="W146" s="109" t="n">
        <v>0.2032</v>
      </c>
      <c r="X146" s="110" t="n">
        <v>0</v>
      </c>
      <c r="Y146" s="110" t="n">
        <v>0.03</v>
      </c>
      <c r="Z146" s="110" t="n">
        <v>0.05</v>
      </c>
    </row>
    <row r="147" customFormat="false" ht="15.75" hidden="false" customHeight="false" outlineLevel="0" collapsed="false">
      <c r="A147" s="57" t="n">
        <v>145</v>
      </c>
      <c r="B147" s="112" t="n">
        <v>0.006</v>
      </c>
      <c r="C147" s="108" t="n">
        <v>0.011</v>
      </c>
      <c r="D147" s="108" t="n">
        <v>0.022</v>
      </c>
      <c r="E147" s="108" t="n">
        <v>0.033</v>
      </c>
      <c r="F147" s="108" t="n">
        <v>0.044</v>
      </c>
      <c r="G147" s="108" t="n">
        <v>0.055</v>
      </c>
      <c r="H147" s="108" t="n">
        <v>0.066</v>
      </c>
      <c r="I147" s="108" t="n">
        <v>0.077</v>
      </c>
      <c r="J147" s="108" t="n">
        <v>0.088</v>
      </c>
      <c r="K147" s="108" t="n">
        <v>0.099</v>
      </c>
      <c r="L147" s="108" t="n">
        <v>0.11</v>
      </c>
      <c r="M147" s="108" t="n">
        <v>0.121</v>
      </c>
      <c r="N147" s="108" t="n">
        <v>0.132</v>
      </c>
      <c r="O147" s="108" t="n">
        <v>0.143</v>
      </c>
      <c r="P147" s="108" t="n">
        <v>0.154</v>
      </c>
      <c r="Q147" s="108" t="n">
        <v>0.165</v>
      </c>
      <c r="R147" s="108" t="n">
        <v>0.176</v>
      </c>
      <c r="S147" s="108" t="n">
        <v>0.187</v>
      </c>
      <c r="T147" s="108" t="n">
        <v>0.198</v>
      </c>
      <c r="U147" s="108" t="n">
        <v>0.209</v>
      </c>
      <c r="V147" s="108" t="n">
        <v>0.22</v>
      </c>
      <c r="W147" s="109" t="n">
        <v>0.1167</v>
      </c>
      <c r="X147" s="110" t="n">
        <v>0</v>
      </c>
      <c r="Y147" s="110" t="n">
        <v>0.03</v>
      </c>
      <c r="Z147" s="110" t="n">
        <v>0.05</v>
      </c>
    </row>
    <row r="148" customFormat="false" ht="15.75" hidden="false" customHeight="false" outlineLevel="0" collapsed="false">
      <c r="A148" s="57" t="n">
        <v>146</v>
      </c>
      <c r="B148" s="112" t="n">
        <v>-0.0217</v>
      </c>
      <c r="C148" s="112" t="n">
        <v>-0.0167</v>
      </c>
      <c r="D148" s="108" t="n">
        <v>0.0087</v>
      </c>
      <c r="E148" s="108" t="n">
        <v>0.013</v>
      </c>
      <c r="F148" s="108" t="n">
        <v>0.0173</v>
      </c>
      <c r="G148" s="108" t="n">
        <v>0.0217</v>
      </c>
      <c r="H148" s="108" t="n">
        <v>0.026</v>
      </c>
      <c r="I148" s="108" t="n">
        <v>0.0303</v>
      </c>
      <c r="J148" s="108" t="n">
        <v>0.0347</v>
      </c>
      <c r="K148" s="108" t="n">
        <v>0.039</v>
      </c>
      <c r="L148" s="108" t="n">
        <v>0.0433</v>
      </c>
      <c r="M148" s="108" t="n">
        <v>0.0477</v>
      </c>
      <c r="N148" s="108" t="n">
        <v>0.052</v>
      </c>
      <c r="O148" s="108" t="n">
        <v>0.0563</v>
      </c>
      <c r="P148" s="108" t="n">
        <v>0.0607</v>
      </c>
      <c r="Q148" s="108" t="n">
        <v>0.065</v>
      </c>
      <c r="R148" s="108" t="n">
        <v>0.0693</v>
      </c>
      <c r="S148" s="108" t="n">
        <v>0.0737</v>
      </c>
      <c r="T148" s="108" t="n">
        <v>0.078</v>
      </c>
      <c r="U148" s="108" t="n">
        <v>0.0823</v>
      </c>
      <c r="V148" s="108" t="n">
        <v>0.0867</v>
      </c>
      <c r="W148" s="109" t="n">
        <v>0.0944</v>
      </c>
      <c r="X148" s="110" t="n">
        <v>0</v>
      </c>
      <c r="Y148" s="110" t="n">
        <v>0.03</v>
      </c>
      <c r="Z148" s="110" t="n">
        <v>0.05</v>
      </c>
    </row>
    <row r="149" customFormat="false" ht="15.75" hidden="false" customHeight="false" outlineLevel="0" collapsed="false">
      <c r="A149" s="57" t="n">
        <v>147</v>
      </c>
      <c r="B149" s="112" t="n">
        <v>-0.0026</v>
      </c>
      <c r="C149" s="108" t="n">
        <v>0.0024</v>
      </c>
      <c r="D149" s="108" t="n">
        <v>0.0074</v>
      </c>
      <c r="E149" s="108" t="n">
        <v>0.0111</v>
      </c>
      <c r="F149" s="108" t="n">
        <v>0.0149</v>
      </c>
      <c r="G149" s="108" t="n">
        <v>0.0186</v>
      </c>
      <c r="H149" s="108" t="n">
        <v>0.0223</v>
      </c>
      <c r="I149" s="108" t="n">
        <v>0.026</v>
      </c>
      <c r="J149" s="108" t="n">
        <v>0.0297</v>
      </c>
      <c r="K149" s="108" t="n">
        <v>0.0334</v>
      </c>
      <c r="L149" s="108" t="n">
        <v>0.0372</v>
      </c>
      <c r="M149" s="108" t="n">
        <v>0.0409</v>
      </c>
      <c r="N149" s="108" t="n">
        <v>0.0446</v>
      </c>
      <c r="O149" s="108" t="n">
        <v>0.0483</v>
      </c>
      <c r="P149" s="108" t="n">
        <v>0.052</v>
      </c>
      <c r="Q149" s="108" t="n">
        <v>0.0557</v>
      </c>
      <c r="R149" s="108" t="n">
        <v>0.0595</v>
      </c>
      <c r="S149" s="108" t="n">
        <v>0.0632</v>
      </c>
      <c r="T149" s="108" t="n">
        <v>0.0669</v>
      </c>
      <c r="U149" s="108" t="n">
        <v>0.0706</v>
      </c>
      <c r="V149" s="108" t="n">
        <v>0.0743</v>
      </c>
      <c r="W149" s="109" t="n">
        <v>-0.128</v>
      </c>
      <c r="X149" s="110" t="n">
        <v>0</v>
      </c>
      <c r="Y149" s="110" t="n">
        <v>0.03</v>
      </c>
      <c r="Z149" s="110" t="n">
        <v>0.05</v>
      </c>
    </row>
    <row r="150" customFormat="false" ht="15.75" hidden="false" customHeight="false" outlineLevel="0" collapsed="false">
      <c r="A150" s="57" t="n">
        <v>148</v>
      </c>
      <c r="B150" s="108" t="n">
        <v>0.0101</v>
      </c>
      <c r="C150" s="108" t="n">
        <v>0.0151</v>
      </c>
      <c r="D150" s="108" t="n">
        <v>0.0201</v>
      </c>
      <c r="E150" s="108" t="n">
        <v>0.0302</v>
      </c>
      <c r="F150" s="108" t="n">
        <v>0.0402</v>
      </c>
      <c r="G150" s="108" t="n">
        <v>0.0503</v>
      </c>
      <c r="H150" s="108" t="n">
        <v>0.0604</v>
      </c>
      <c r="I150" s="108" t="n">
        <v>0.0704</v>
      </c>
      <c r="J150" s="108" t="n">
        <v>0.0805</v>
      </c>
      <c r="K150" s="108" t="n">
        <v>0.0905</v>
      </c>
      <c r="L150" s="108" t="n">
        <v>0.1006</v>
      </c>
      <c r="M150" s="108" t="n">
        <v>0.1106</v>
      </c>
      <c r="N150" s="108" t="n">
        <v>0.1207</v>
      </c>
      <c r="O150" s="108" t="n">
        <v>0.1308</v>
      </c>
      <c r="P150" s="108" t="n">
        <v>0.1408</v>
      </c>
      <c r="Q150" s="108" t="n">
        <v>0.1509</v>
      </c>
      <c r="R150" s="108" t="n">
        <v>0.1609</v>
      </c>
      <c r="S150" s="108" t="n">
        <v>0.171</v>
      </c>
      <c r="T150" s="108" t="n">
        <v>0.1811</v>
      </c>
      <c r="U150" s="108" t="n">
        <v>0.1911</v>
      </c>
      <c r="V150" s="108" t="n">
        <v>0.2012</v>
      </c>
      <c r="W150" s="109" t="n">
        <v>0.1957</v>
      </c>
      <c r="X150" s="110" t="n">
        <v>0</v>
      </c>
      <c r="Y150" s="110" t="n">
        <v>0.03</v>
      </c>
      <c r="Z150" s="110" t="n">
        <v>0.05</v>
      </c>
    </row>
    <row r="151" customFormat="false" ht="15.75" hidden="false" customHeight="false" outlineLevel="0" collapsed="false">
      <c r="A151" s="57" t="n">
        <v>149</v>
      </c>
      <c r="B151" s="108" t="n">
        <v>0.0135</v>
      </c>
      <c r="C151" s="108" t="n">
        <v>0.0185</v>
      </c>
      <c r="D151" s="108" t="n">
        <v>0.0038</v>
      </c>
      <c r="E151" s="108" t="n">
        <v>0.0057</v>
      </c>
      <c r="F151" s="108" t="n">
        <v>0.0077</v>
      </c>
      <c r="G151" s="108" t="n">
        <v>0.0096</v>
      </c>
      <c r="H151" s="108" t="n">
        <v>0.0115</v>
      </c>
      <c r="I151" s="108" t="n">
        <v>0.0134</v>
      </c>
      <c r="J151" s="108" t="n">
        <v>0.0153</v>
      </c>
      <c r="K151" s="108" t="n">
        <v>0.0172</v>
      </c>
      <c r="L151" s="108" t="n">
        <v>0.0192</v>
      </c>
      <c r="M151" s="108" t="n">
        <v>0.0211</v>
      </c>
      <c r="N151" s="108" t="n">
        <v>0.023</v>
      </c>
      <c r="O151" s="108" t="n">
        <v>0.0249</v>
      </c>
      <c r="P151" s="108" t="n">
        <v>0.0268</v>
      </c>
      <c r="Q151" s="108" t="n">
        <v>0.0287</v>
      </c>
      <c r="R151" s="108" t="n">
        <v>0.0307</v>
      </c>
      <c r="S151" s="108" t="n">
        <v>0.0326</v>
      </c>
      <c r="T151" s="108" t="n">
        <v>0.0345</v>
      </c>
      <c r="U151" s="108" t="n">
        <v>0.0364</v>
      </c>
      <c r="V151" s="108" t="n">
        <v>0.0383</v>
      </c>
      <c r="W151" s="109" t="n">
        <v>0.0814</v>
      </c>
      <c r="X151" s="110" t="n">
        <v>0</v>
      </c>
      <c r="Y151" s="110" t="n">
        <v>0.03</v>
      </c>
      <c r="Z151" s="110" t="n">
        <v>0.05</v>
      </c>
    </row>
    <row r="152" customFormat="false" ht="15.75" hidden="false" customHeight="false" outlineLevel="0" collapsed="false">
      <c r="A152" s="57" t="n">
        <v>150</v>
      </c>
      <c r="B152" s="108" t="n">
        <v>0.0189</v>
      </c>
      <c r="C152" s="108" t="n">
        <v>0.0237</v>
      </c>
      <c r="D152" s="108" t="n">
        <v>0.0108</v>
      </c>
      <c r="E152" s="108" t="n">
        <v>0.0162</v>
      </c>
      <c r="F152" s="108" t="n">
        <v>0.0217</v>
      </c>
      <c r="G152" s="108" t="n">
        <v>0.0271</v>
      </c>
      <c r="H152" s="108" t="n">
        <v>0.0325</v>
      </c>
      <c r="I152" s="108" t="n">
        <v>0.0379</v>
      </c>
      <c r="J152" s="108" t="n">
        <v>0.0433</v>
      </c>
      <c r="K152" s="108" t="n">
        <v>0.0487</v>
      </c>
      <c r="L152" s="108" t="n">
        <v>0.0542</v>
      </c>
      <c r="M152" s="108" t="n">
        <v>0.0596</v>
      </c>
      <c r="N152" s="108" t="n">
        <v>0.065</v>
      </c>
      <c r="O152" s="108" t="n">
        <v>0.0704</v>
      </c>
      <c r="P152" s="108" t="n">
        <v>0.0758</v>
      </c>
      <c r="Q152" s="108" t="n">
        <v>0.0812</v>
      </c>
      <c r="R152" s="108" t="n">
        <v>0.0867</v>
      </c>
      <c r="S152" s="108" t="n">
        <v>0.0921</v>
      </c>
      <c r="T152" s="108" t="n">
        <v>0.0975</v>
      </c>
      <c r="U152" s="108" t="n">
        <v>0.1029</v>
      </c>
      <c r="V152" s="108" t="n">
        <v>0.1083</v>
      </c>
      <c r="W152" s="109" t="n">
        <v>-0.1052</v>
      </c>
      <c r="X152" s="110" t="n">
        <v>0</v>
      </c>
      <c r="Y152" s="110" t="n">
        <v>0.03</v>
      </c>
      <c r="Z152" s="110" t="n">
        <v>0.05</v>
      </c>
    </row>
    <row r="153" customFormat="false" ht="15.75" hidden="false" customHeight="false" outlineLevel="0" collapsed="false">
      <c r="A153" s="57" t="n">
        <v>151</v>
      </c>
      <c r="B153" s="108" t="n">
        <v>0.0126</v>
      </c>
      <c r="C153" s="108" t="n">
        <v>0.0176</v>
      </c>
      <c r="D153" s="108" t="n">
        <v>0.0226</v>
      </c>
      <c r="E153" s="108" t="n">
        <v>0.0339</v>
      </c>
      <c r="F153" s="108" t="n">
        <v>0.0451</v>
      </c>
      <c r="G153" s="108" t="n">
        <v>0.0564</v>
      </c>
      <c r="H153" s="108" t="n">
        <v>0.0677</v>
      </c>
      <c r="I153" s="108" t="n">
        <v>0.079</v>
      </c>
      <c r="J153" s="108" t="n">
        <v>0.0903</v>
      </c>
      <c r="K153" s="108" t="n">
        <v>0.1016</v>
      </c>
      <c r="L153" s="108" t="n">
        <v>0.1128</v>
      </c>
      <c r="M153" s="108" t="n">
        <v>0.1241</v>
      </c>
      <c r="N153" s="108" t="n">
        <v>0.1354</v>
      </c>
      <c r="O153" s="108" t="n">
        <v>0.1467</v>
      </c>
      <c r="P153" s="108" t="n">
        <v>0.158</v>
      </c>
      <c r="Q153" s="108" t="n">
        <v>0.1693</v>
      </c>
      <c r="R153" s="108" t="n">
        <v>0.1805</v>
      </c>
      <c r="S153" s="108" t="n">
        <v>0.1918</v>
      </c>
      <c r="T153" s="108" t="n">
        <v>0.2031</v>
      </c>
      <c r="U153" s="108" t="n">
        <v>0.2144</v>
      </c>
      <c r="V153" s="108" t="n">
        <v>0.2257</v>
      </c>
      <c r="W153" s="109" t="n">
        <v>-0.0199</v>
      </c>
      <c r="X153" s="110" t="n">
        <v>0</v>
      </c>
      <c r="Y153" s="110" t="n">
        <v>0.03</v>
      </c>
      <c r="Z153" s="110" t="n">
        <v>0.05</v>
      </c>
    </row>
    <row r="154" customFormat="false" ht="15.75" hidden="false" customHeight="false" outlineLevel="0" collapsed="false">
      <c r="A154" s="57" t="n">
        <v>152</v>
      </c>
      <c r="B154" s="108" t="n">
        <v>0.0177</v>
      </c>
      <c r="C154" s="108" t="n">
        <v>0.0227</v>
      </c>
      <c r="D154" s="108" t="n">
        <v>0.0148</v>
      </c>
      <c r="E154" s="108" t="n">
        <v>0.0222</v>
      </c>
      <c r="F154" s="108" t="n">
        <v>0.0297</v>
      </c>
      <c r="G154" s="108" t="n">
        <v>0.0371</v>
      </c>
      <c r="H154" s="108" t="n">
        <v>0.0445</v>
      </c>
      <c r="I154" s="108" t="n">
        <v>0.0519</v>
      </c>
      <c r="J154" s="108" t="n">
        <v>0.0593</v>
      </c>
      <c r="K154" s="108" t="n">
        <v>0.0667</v>
      </c>
      <c r="L154" s="108" t="n">
        <v>0.0742</v>
      </c>
      <c r="M154" s="108" t="n">
        <v>0.0816</v>
      </c>
      <c r="N154" s="108" t="n">
        <v>0.089</v>
      </c>
      <c r="O154" s="108" t="n">
        <v>0.0964</v>
      </c>
      <c r="P154" s="108" t="n">
        <v>0.1038</v>
      </c>
      <c r="Q154" s="108" t="n">
        <v>0.1112</v>
      </c>
      <c r="R154" s="108" t="n">
        <v>0.1187</v>
      </c>
      <c r="S154" s="108" t="n">
        <v>0.1261</v>
      </c>
      <c r="T154" s="108" t="n">
        <v>0.1335</v>
      </c>
      <c r="U154" s="108" t="n">
        <v>0.1409</v>
      </c>
      <c r="V154" s="108" t="n">
        <v>0.1483</v>
      </c>
      <c r="W154" s="109" t="n">
        <v>0.1154</v>
      </c>
      <c r="X154" s="110" t="n">
        <v>0</v>
      </c>
      <c r="Y154" s="110" t="n">
        <v>0.03</v>
      </c>
      <c r="Z154" s="110" t="n">
        <v>0.05</v>
      </c>
    </row>
    <row r="155" customFormat="false" ht="15.75" hidden="false" customHeight="false" outlineLevel="0" collapsed="false">
      <c r="A155" s="57" t="n">
        <v>153</v>
      </c>
      <c r="B155" s="112" t="n">
        <v>0.0291</v>
      </c>
      <c r="C155" s="108" t="n">
        <v>0.0341</v>
      </c>
      <c r="D155" s="108" t="n">
        <v>0.0237</v>
      </c>
      <c r="E155" s="108" t="n">
        <v>0.0355</v>
      </c>
      <c r="F155" s="108" t="n">
        <v>0.0473</v>
      </c>
      <c r="G155" s="108" t="n">
        <v>0.0592</v>
      </c>
      <c r="H155" s="108" t="n">
        <v>0.071</v>
      </c>
      <c r="I155" s="108" t="n">
        <v>0.0828</v>
      </c>
      <c r="J155" s="108" t="n">
        <v>0.0947</v>
      </c>
      <c r="K155" s="108" t="n">
        <v>0.1065</v>
      </c>
      <c r="L155" s="108" t="n">
        <v>0.1183</v>
      </c>
      <c r="M155" s="108" t="n">
        <v>0.1302</v>
      </c>
      <c r="N155" s="108" t="n">
        <v>0.142</v>
      </c>
      <c r="O155" s="108" t="n">
        <v>0.1538</v>
      </c>
      <c r="P155" s="108" t="n">
        <v>0.1657</v>
      </c>
      <c r="Q155" s="108" t="n">
        <v>0.1775</v>
      </c>
      <c r="R155" s="108" t="n">
        <v>0.1893</v>
      </c>
      <c r="S155" s="108" t="n">
        <v>0.2012</v>
      </c>
      <c r="T155" s="108" t="n">
        <v>0.213</v>
      </c>
      <c r="U155" s="108" t="n">
        <v>0.2248</v>
      </c>
      <c r="V155" s="108" t="n">
        <v>0.2367</v>
      </c>
      <c r="W155" s="109" t="n">
        <v>0.1714</v>
      </c>
      <c r="X155" s="110" t="n">
        <v>0</v>
      </c>
      <c r="Y155" s="110" t="n">
        <v>0.03</v>
      </c>
      <c r="Z155" s="110" t="n">
        <v>0.05</v>
      </c>
    </row>
    <row r="156" customFormat="false" ht="15.75" hidden="false" customHeight="false" outlineLevel="0" collapsed="false">
      <c r="A156" s="57" t="n">
        <v>154</v>
      </c>
      <c r="B156" s="112" t="n">
        <v>-0.0071</v>
      </c>
      <c r="C156" s="112" t="n">
        <v>-0.0021</v>
      </c>
      <c r="D156" s="108" t="n">
        <v>0.0163</v>
      </c>
      <c r="E156" s="108" t="n">
        <v>0.0245</v>
      </c>
      <c r="F156" s="108" t="n">
        <v>0.0327</v>
      </c>
      <c r="G156" s="108" t="n">
        <v>0.0408</v>
      </c>
      <c r="H156" s="108" t="n">
        <v>0.049</v>
      </c>
      <c r="I156" s="108" t="n">
        <v>0.0572</v>
      </c>
      <c r="J156" s="108" t="n">
        <v>0.0653</v>
      </c>
      <c r="K156" s="108" t="n">
        <v>0.0735</v>
      </c>
      <c r="L156" s="108" t="n">
        <v>0.0817</v>
      </c>
      <c r="M156" s="108" t="n">
        <v>0.0898</v>
      </c>
      <c r="N156" s="108" t="n">
        <v>0.098</v>
      </c>
      <c r="O156" s="108" t="n">
        <v>0.1062</v>
      </c>
      <c r="P156" s="108" t="n">
        <v>0.1143</v>
      </c>
      <c r="Q156" s="108" t="n">
        <v>0.1225</v>
      </c>
      <c r="R156" s="108" t="n">
        <v>0.1307</v>
      </c>
      <c r="S156" s="108" t="n">
        <v>0.1388</v>
      </c>
      <c r="T156" s="108" t="n">
        <v>0.147</v>
      </c>
      <c r="U156" s="108" t="n">
        <v>0.1552</v>
      </c>
      <c r="V156" s="108" t="n">
        <v>0.1633</v>
      </c>
      <c r="W156" s="109" t="n">
        <v>-0.1798</v>
      </c>
      <c r="X156" s="110" t="n">
        <v>0</v>
      </c>
      <c r="Y156" s="110" t="n">
        <v>0.03</v>
      </c>
      <c r="Z156" s="110" t="n">
        <v>0.05</v>
      </c>
    </row>
    <row r="157" customFormat="false" ht="15.75" hidden="false" customHeight="false" outlineLevel="0" collapsed="false">
      <c r="A157" s="57" t="n">
        <v>155</v>
      </c>
      <c r="B157" s="112" t="n">
        <v>0.0023</v>
      </c>
      <c r="C157" s="108" t="n">
        <v>0.0073</v>
      </c>
      <c r="D157" s="108" t="n">
        <v>0.0202</v>
      </c>
      <c r="E157" s="108" t="n">
        <v>0.0303</v>
      </c>
      <c r="F157" s="108" t="n">
        <v>0.0403</v>
      </c>
      <c r="G157" s="108" t="n">
        <v>0.0504</v>
      </c>
      <c r="H157" s="108" t="n">
        <v>0.0605</v>
      </c>
      <c r="I157" s="108" t="n">
        <v>0.0706</v>
      </c>
      <c r="J157" s="108" t="n">
        <v>0.0807</v>
      </c>
      <c r="K157" s="108" t="n">
        <v>0.0908</v>
      </c>
      <c r="L157" s="108" t="n">
        <v>0.1008</v>
      </c>
      <c r="M157" s="108" t="n">
        <v>0.1109</v>
      </c>
      <c r="N157" s="108" t="n">
        <v>0.121</v>
      </c>
      <c r="O157" s="108" t="n">
        <v>0.1311</v>
      </c>
      <c r="P157" s="108" t="n">
        <v>0.1412</v>
      </c>
      <c r="Q157" s="108" t="n">
        <v>0.1513</v>
      </c>
      <c r="R157" s="108" t="n">
        <v>0.1613</v>
      </c>
      <c r="S157" s="108" t="n">
        <v>0.1714</v>
      </c>
      <c r="T157" s="108" t="n">
        <v>0.1815</v>
      </c>
      <c r="U157" s="108" t="n">
        <v>0.1916</v>
      </c>
      <c r="V157" s="108" t="n">
        <v>0.2017</v>
      </c>
      <c r="W157" s="109" t="n">
        <v>-0.281</v>
      </c>
      <c r="X157" s="110" t="n">
        <v>0</v>
      </c>
      <c r="Y157" s="110" t="n">
        <v>0.03</v>
      </c>
      <c r="Z157" s="110" t="n">
        <v>0.05</v>
      </c>
    </row>
    <row r="158" customFormat="false" ht="15.75" hidden="false" customHeight="false" outlineLevel="0" collapsed="false">
      <c r="A158" s="57" t="n">
        <v>156</v>
      </c>
      <c r="B158" s="112" t="n">
        <v>-0.0125</v>
      </c>
      <c r="C158" s="112" t="n">
        <v>-0.0075</v>
      </c>
      <c r="D158" s="112" t="n">
        <v>-0.0025</v>
      </c>
      <c r="E158" s="112" t="n">
        <v>-0.0037</v>
      </c>
      <c r="F158" s="112" t="n">
        <v>-0.005</v>
      </c>
      <c r="G158" s="112" t="n">
        <v>-0.0062</v>
      </c>
      <c r="H158" s="112" t="n">
        <v>-0.0074</v>
      </c>
      <c r="I158" s="112" t="n">
        <v>-0.0087</v>
      </c>
      <c r="J158" s="112" t="n">
        <v>-0.0099</v>
      </c>
      <c r="K158" s="112" t="n">
        <v>-0.0112</v>
      </c>
      <c r="L158" s="112" t="n">
        <v>-0.0124</v>
      </c>
      <c r="M158" s="112" t="n">
        <v>-0.0137</v>
      </c>
      <c r="N158" s="112" t="n">
        <v>-0.0149</v>
      </c>
      <c r="O158" s="112" t="n">
        <v>-0.0161</v>
      </c>
      <c r="P158" s="112" t="n">
        <v>-0.0174</v>
      </c>
      <c r="Q158" s="112" t="n">
        <v>-0.0186</v>
      </c>
      <c r="R158" s="112" t="n">
        <v>-0.0199</v>
      </c>
      <c r="S158" s="112" t="n">
        <v>-0.0211</v>
      </c>
      <c r="T158" s="112" t="n">
        <v>-0.0223</v>
      </c>
      <c r="U158" s="112" t="n">
        <v>-0.0236</v>
      </c>
      <c r="V158" s="112" t="n">
        <v>-0.0248</v>
      </c>
      <c r="W158" s="109" t="n">
        <v>0.2943</v>
      </c>
      <c r="X158" s="110" t="n">
        <v>0</v>
      </c>
      <c r="Y158" s="110" t="n">
        <v>0.03</v>
      </c>
      <c r="Z158" s="110" t="n">
        <v>0.05</v>
      </c>
    </row>
    <row r="159" customFormat="false" ht="15.75" hidden="false" customHeight="false" outlineLevel="0" collapsed="false">
      <c r="A159" s="57" t="n">
        <v>157</v>
      </c>
      <c r="B159" s="112" t="n">
        <v>0.0245</v>
      </c>
      <c r="C159" s="108" t="n">
        <v>0.0293</v>
      </c>
      <c r="D159" s="108" t="n">
        <v>0.0345</v>
      </c>
      <c r="E159" s="108" t="n">
        <v>0.0518</v>
      </c>
      <c r="F159" s="108" t="n">
        <v>0.0691</v>
      </c>
      <c r="G159" s="108" t="n">
        <v>0.0864</v>
      </c>
      <c r="H159" s="108" t="n">
        <v>0.1037</v>
      </c>
      <c r="I159" s="108" t="n">
        <v>0.1209</v>
      </c>
      <c r="J159" s="108" t="n">
        <v>0.1382</v>
      </c>
      <c r="K159" s="108" t="n">
        <v>0.1555</v>
      </c>
      <c r="L159" s="108" t="n">
        <v>0.1727</v>
      </c>
      <c r="M159" s="108" t="n">
        <v>0.19</v>
      </c>
      <c r="N159" s="108" t="n">
        <v>0.2073</v>
      </c>
      <c r="O159" s="108" t="n">
        <v>0.2246</v>
      </c>
      <c r="P159" s="108" t="n">
        <v>0.2419</v>
      </c>
      <c r="Q159" s="108" t="n">
        <v>0.2591</v>
      </c>
      <c r="R159" s="108" t="n">
        <v>0.2764</v>
      </c>
      <c r="S159" s="108" t="n">
        <v>0.2937</v>
      </c>
      <c r="T159" s="108" t="n">
        <v>0.311</v>
      </c>
      <c r="U159" s="108" t="n">
        <v>0.3282</v>
      </c>
      <c r="V159" s="108" t="n">
        <v>0.3455</v>
      </c>
      <c r="W159" s="109" t="n">
        <v>0.1771</v>
      </c>
      <c r="X159" s="110" t="n">
        <v>0</v>
      </c>
      <c r="Y159" s="110" t="n">
        <v>0.03</v>
      </c>
      <c r="Z159" s="110" t="n">
        <v>0.05</v>
      </c>
    </row>
    <row r="160" customFormat="false" ht="15.75" hidden="false" customHeight="false" outlineLevel="0" collapsed="false">
      <c r="A160" s="57" t="n">
        <v>158</v>
      </c>
      <c r="B160" s="112" t="n">
        <v>-0.0065</v>
      </c>
      <c r="C160" s="112" t="n">
        <v>-0.0015</v>
      </c>
      <c r="D160" s="108" t="n">
        <v>0.0035</v>
      </c>
      <c r="E160" s="108" t="n">
        <v>0.0052</v>
      </c>
      <c r="F160" s="108" t="n">
        <v>0.007</v>
      </c>
      <c r="G160" s="108" t="n">
        <v>0.0087</v>
      </c>
      <c r="H160" s="108" t="n">
        <v>0.0104</v>
      </c>
      <c r="I160" s="108" t="n">
        <v>0.0122</v>
      </c>
      <c r="J160" s="108" t="n">
        <v>0.0139</v>
      </c>
      <c r="K160" s="108" t="n">
        <v>0.0157</v>
      </c>
      <c r="L160" s="108" t="n">
        <v>0.0174</v>
      </c>
      <c r="M160" s="108" t="n">
        <v>0.0192</v>
      </c>
      <c r="N160" s="108" t="n">
        <v>0.0209</v>
      </c>
      <c r="O160" s="108" t="n">
        <v>0.0226</v>
      </c>
      <c r="P160" s="108" t="n">
        <v>0.0244</v>
      </c>
      <c r="Q160" s="108" t="n">
        <v>0.0261</v>
      </c>
      <c r="R160" s="108" t="n">
        <v>0.0279</v>
      </c>
      <c r="S160" s="108" t="n">
        <v>0.0296</v>
      </c>
      <c r="T160" s="108" t="n">
        <v>0.0313</v>
      </c>
      <c r="U160" s="108" t="n">
        <v>0.0331</v>
      </c>
      <c r="V160" s="108" t="n">
        <v>0.0348</v>
      </c>
      <c r="W160" s="109" t="n">
        <v>-0.1232</v>
      </c>
      <c r="X160" s="110" t="n">
        <v>0</v>
      </c>
      <c r="Y160" s="110" t="n">
        <v>0.03</v>
      </c>
      <c r="Z160" s="110" t="n">
        <v>0.05</v>
      </c>
    </row>
    <row r="161" customFormat="false" ht="15.75" hidden="false" customHeight="false" outlineLevel="0" collapsed="false">
      <c r="A161" s="57" t="n">
        <v>159</v>
      </c>
      <c r="B161" s="112" t="n">
        <v>-0.0057</v>
      </c>
      <c r="C161" s="112" t="n">
        <v>-0.0007</v>
      </c>
      <c r="D161" s="108" t="n">
        <v>0.0108</v>
      </c>
      <c r="E161" s="108" t="n">
        <v>0.0162</v>
      </c>
      <c r="F161" s="108" t="n">
        <v>0.0217</v>
      </c>
      <c r="G161" s="108" t="n">
        <v>0.0271</v>
      </c>
      <c r="H161" s="108" t="n">
        <v>0.0325</v>
      </c>
      <c r="I161" s="108" t="n">
        <v>0.0379</v>
      </c>
      <c r="J161" s="108" t="n">
        <v>0.0433</v>
      </c>
      <c r="K161" s="108" t="n">
        <v>0.0487</v>
      </c>
      <c r="L161" s="108" t="n">
        <v>0.0542</v>
      </c>
      <c r="M161" s="108" t="n">
        <v>0.0596</v>
      </c>
      <c r="N161" s="108" t="n">
        <v>0.065</v>
      </c>
      <c r="O161" s="108" t="n">
        <v>0.0704</v>
      </c>
      <c r="P161" s="108" t="n">
        <v>0.0758</v>
      </c>
      <c r="Q161" s="108" t="n">
        <v>0.0812</v>
      </c>
      <c r="R161" s="108" t="n">
        <v>0.0867</v>
      </c>
      <c r="S161" s="108" t="n">
        <v>0.0921</v>
      </c>
      <c r="T161" s="108" t="n">
        <v>0.0975</v>
      </c>
      <c r="U161" s="108" t="n">
        <v>0.1029</v>
      </c>
      <c r="V161" s="108" t="n">
        <v>0.1083</v>
      </c>
      <c r="W161" s="109" t="n">
        <v>0.031</v>
      </c>
      <c r="X161" s="110" t="n">
        <v>0</v>
      </c>
      <c r="Y161" s="110" t="n">
        <v>0.03</v>
      </c>
      <c r="Z161" s="110" t="n">
        <v>0.05</v>
      </c>
    </row>
    <row r="162" customFormat="false" ht="15.75" hidden="false" customHeight="false" outlineLevel="0" collapsed="false">
      <c r="A162" s="57" t="n">
        <v>160</v>
      </c>
      <c r="B162" s="112" t="n">
        <v>-0.006</v>
      </c>
      <c r="C162" s="112" t="n">
        <v>-0.001</v>
      </c>
      <c r="D162" s="108" t="n">
        <v>0.0105</v>
      </c>
      <c r="E162" s="108" t="n">
        <v>0.0158</v>
      </c>
      <c r="F162" s="108" t="n">
        <v>0.021</v>
      </c>
      <c r="G162" s="108" t="n">
        <v>0.0262</v>
      </c>
      <c r="H162" s="108" t="n">
        <v>0.0315</v>
      </c>
      <c r="I162" s="108" t="n">
        <v>0.0367</v>
      </c>
      <c r="J162" s="108" t="n">
        <v>0.042</v>
      </c>
      <c r="K162" s="108" t="n">
        <v>0.0472</v>
      </c>
      <c r="L162" s="108" t="n">
        <v>0.0525</v>
      </c>
      <c r="M162" s="108" t="n">
        <v>0.0578</v>
      </c>
      <c r="N162" s="108" t="n">
        <v>0.063</v>
      </c>
      <c r="O162" s="108" t="n">
        <v>0.0683</v>
      </c>
      <c r="P162" s="108" t="n">
        <v>0.0735</v>
      </c>
      <c r="Q162" s="108" t="n">
        <v>0.0788</v>
      </c>
      <c r="R162" s="108" t="n">
        <v>0.084</v>
      </c>
      <c r="S162" s="108" t="n">
        <v>0.0893</v>
      </c>
      <c r="T162" s="108" t="n">
        <v>0.0945</v>
      </c>
      <c r="U162" s="108" t="n">
        <v>0.0997</v>
      </c>
      <c r="V162" s="108" t="n">
        <v>0.105</v>
      </c>
      <c r="W162" s="109" t="n">
        <v>0.0934</v>
      </c>
      <c r="X162" s="110" t="n">
        <v>0</v>
      </c>
      <c r="Y162" s="110" t="n">
        <v>0.03</v>
      </c>
      <c r="Z162" s="110" t="n">
        <v>0.05</v>
      </c>
    </row>
    <row r="163" customFormat="false" ht="15.75" hidden="false" customHeight="false" outlineLevel="0" collapsed="false">
      <c r="A163" s="57" t="n">
        <v>161</v>
      </c>
      <c r="B163" s="112" t="n">
        <v>-0.0196</v>
      </c>
      <c r="C163" s="112" t="n">
        <v>-0.0144</v>
      </c>
      <c r="D163" s="112" t="n">
        <v>-0.0096</v>
      </c>
      <c r="E163" s="112" t="n">
        <v>-0.0144</v>
      </c>
      <c r="F163" s="112" t="n">
        <v>-0.0192</v>
      </c>
      <c r="G163" s="112" t="n">
        <v>-0.024</v>
      </c>
      <c r="H163" s="112" t="n">
        <v>-0.0288</v>
      </c>
      <c r="I163" s="112" t="n">
        <v>-0.0336</v>
      </c>
      <c r="J163" s="112" t="n">
        <v>-0.0384</v>
      </c>
      <c r="K163" s="112" t="n">
        <v>-0.0432</v>
      </c>
      <c r="L163" s="112" t="n">
        <v>-0.048</v>
      </c>
      <c r="M163" s="112" t="n">
        <v>-0.0528</v>
      </c>
      <c r="N163" s="112" t="n">
        <v>-0.0576</v>
      </c>
      <c r="O163" s="112" t="n">
        <v>-0.0624</v>
      </c>
      <c r="P163" s="112" t="n">
        <v>-0.0672</v>
      </c>
      <c r="Q163" s="112" t="n">
        <v>-0.072</v>
      </c>
      <c r="R163" s="112" t="n">
        <v>-0.0768</v>
      </c>
      <c r="S163" s="112" t="n">
        <v>-0.0816</v>
      </c>
      <c r="T163" s="112" t="n">
        <v>-0.0864</v>
      </c>
      <c r="U163" s="112" t="n">
        <v>-0.0912</v>
      </c>
      <c r="V163" s="112" t="n">
        <v>-0.096</v>
      </c>
      <c r="W163" s="109" t="n">
        <v>0.2891</v>
      </c>
      <c r="X163" s="110" t="n">
        <v>0</v>
      </c>
      <c r="Y163" s="110" t="n">
        <v>0.03</v>
      </c>
      <c r="Z163" s="110" t="n">
        <v>0.05</v>
      </c>
    </row>
    <row r="164" customFormat="false" ht="15.75" hidden="false" customHeight="false" outlineLevel="0" collapsed="false">
      <c r="A164" s="57" t="n">
        <v>162</v>
      </c>
      <c r="B164" s="112" t="n">
        <v>-0.0176</v>
      </c>
      <c r="C164" s="112" t="n">
        <v>-0.0126</v>
      </c>
      <c r="D164" s="112" t="n">
        <v>-0.0076</v>
      </c>
      <c r="E164" s="112" t="n">
        <v>-0.0115</v>
      </c>
      <c r="F164" s="112" t="n">
        <v>-0.0153</v>
      </c>
      <c r="G164" s="112" t="n">
        <v>-0.0191</v>
      </c>
      <c r="H164" s="112" t="n">
        <v>-0.0229</v>
      </c>
      <c r="I164" s="112" t="n">
        <v>-0.0268</v>
      </c>
      <c r="J164" s="112" t="n">
        <v>-0.0306</v>
      </c>
      <c r="K164" s="112" t="n">
        <v>-0.0344</v>
      </c>
      <c r="L164" s="112" t="n">
        <v>-0.0382</v>
      </c>
      <c r="M164" s="112" t="n">
        <v>-0.0421</v>
      </c>
      <c r="N164" s="112" t="n">
        <v>-0.0459</v>
      </c>
      <c r="O164" s="112" t="n">
        <v>-0.0497</v>
      </c>
      <c r="P164" s="112" t="n">
        <v>-0.0535</v>
      </c>
      <c r="Q164" s="112" t="n">
        <v>-0.0574</v>
      </c>
      <c r="R164" s="112" t="n">
        <v>-0.0612</v>
      </c>
      <c r="S164" s="112" t="n">
        <v>-0.065</v>
      </c>
      <c r="T164" s="112" t="n">
        <v>-0.0688</v>
      </c>
      <c r="U164" s="112" t="n">
        <v>-0.0727</v>
      </c>
      <c r="V164" s="112" t="n">
        <v>-0.0765</v>
      </c>
      <c r="W164" s="109" t="n">
        <v>-0.0998</v>
      </c>
      <c r="X164" s="110" t="n">
        <v>0</v>
      </c>
      <c r="Y164" s="110" t="n">
        <v>0.03</v>
      </c>
      <c r="Z164" s="110" t="n">
        <v>0.05</v>
      </c>
    </row>
    <row r="165" customFormat="false" ht="15.75" hidden="false" customHeight="false" outlineLevel="0" collapsed="false">
      <c r="A165" s="57" t="n">
        <v>163</v>
      </c>
      <c r="B165" s="112" t="n">
        <v>-0.0037</v>
      </c>
      <c r="C165" s="108" t="n">
        <v>0.0013</v>
      </c>
      <c r="D165" s="108" t="n">
        <v>0.0063</v>
      </c>
      <c r="E165" s="108" t="n">
        <v>0.0094</v>
      </c>
      <c r="F165" s="108" t="n">
        <v>0.0126</v>
      </c>
      <c r="G165" s="108" t="n">
        <v>0.0157</v>
      </c>
      <c r="H165" s="108" t="n">
        <v>0.0188</v>
      </c>
      <c r="I165" s="108" t="n">
        <v>0.022</v>
      </c>
      <c r="J165" s="108" t="n">
        <v>0.0251</v>
      </c>
      <c r="K165" s="108" t="n">
        <v>0.0283</v>
      </c>
      <c r="L165" s="108" t="n">
        <v>0.0314</v>
      </c>
      <c r="M165" s="108" t="n">
        <v>0.0346</v>
      </c>
      <c r="N165" s="108" t="n">
        <v>0.0377</v>
      </c>
      <c r="O165" s="108" t="n">
        <v>0.0408</v>
      </c>
      <c r="P165" s="108" t="n">
        <v>0.044</v>
      </c>
      <c r="Q165" s="108" t="n">
        <v>0.0471</v>
      </c>
      <c r="R165" s="108" t="n">
        <v>0.0503</v>
      </c>
      <c r="S165" s="108" t="n">
        <v>0.0534</v>
      </c>
      <c r="T165" s="108" t="n">
        <v>0.0565</v>
      </c>
      <c r="U165" s="108" t="n">
        <v>0.0597</v>
      </c>
      <c r="V165" s="108" t="n">
        <v>0.0628</v>
      </c>
      <c r="W165" s="109" t="n">
        <v>0.1271</v>
      </c>
      <c r="X165" s="110" t="n">
        <v>0</v>
      </c>
      <c r="Y165" s="110" t="n">
        <v>0.03</v>
      </c>
      <c r="Z165" s="110" t="n">
        <v>0.05</v>
      </c>
    </row>
    <row r="166" customFormat="false" ht="15.75" hidden="false" customHeight="false" outlineLevel="0" collapsed="false">
      <c r="A166" s="57" t="n">
        <v>164</v>
      </c>
      <c r="B166" s="112" t="n">
        <v>-0.0023</v>
      </c>
      <c r="C166" s="108" t="n">
        <v>0.0027</v>
      </c>
      <c r="D166" s="108" t="n">
        <v>0.0145</v>
      </c>
      <c r="E166" s="108" t="n">
        <v>0.0217</v>
      </c>
      <c r="F166" s="108" t="n">
        <v>0.029</v>
      </c>
      <c r="G166" s="108" t="n">
        <v>0.0362</v>
      </c>
      <c r="H166" s="108" t="n">
        <v>0.0435</v>
      </c>
      <c r="I166" s="108" t="n">
        <v>0.0508</v>
      </c>
      <c r="J166" s="108" t="n">
        <v>0.058</v>
      </c>
      <c r="K166" s="108" t="n">
        <v>0.0653</v>
      </c>
      <c r="L166" s="108" t="n">
        <v>0.0725</v>
      </c>
      <c r="M166" s="108" t="n">
        <v>0.0798</v>
      </c>
      <c r="N166" s="108" t="n">
        <v>0.087</v>
      </c>
      <c r="O166" s="108" t="n">
        <v>0.0943</v>
      </c>
      <c r="P166" s="108" t="n">
        <v>0.1015</v>
      </c>
      <c r="Q166" s="108" t="n">
        <v>0.1087</v>
      </c>
      <c r="R166" s="108" t="n">
        <v>0.116</v>
      </c>
      <c r="S166" s="108" t="n">
        <v>0.1232</v>
      </c>
      <c r="T166" s="108" t="n">
        <v>0.1305</v>
      </c>
      <c r="U166" s="108" t="n">
        <v>0.1378</v>
      </c>
      <c r="V166" s="108" t="n">
        <v>0.145</v>
      </c>
      <c r="W166" s="109" t="n">
        <v>0.1858</v>
      </c>
      <c r="X166" s="110" t="n">
        <v>0</v>
      </c>
      <c r="Y166" s="110" t="n">
        <v>0.03</v>
      </c>
      <c r="Z166" s="110" t="n">
        <v>0.05</v>
      </c>
    </row>
    <row r="167" customFormat="false" ht="15.75" hidden="false" customHeight="false" outlineLevel="0" collapsed="false">
      <c r="A167" s="57" t="n">
        <v>165</v>
      </c>
      <c r="B167" s="112" t="n">
        <v>-0.0396</v>
      </c>
      <c r="C167" s="112" t="n">
        <v>-0.0346</v>
      </c>
      <c r="D167" s="112" t="n">
        <v>-0.0296</v>
      </c>
      <c r="E167" s="112" t="n">
        <v>-0.0444</v>
      </c>
      <c r="F167" s="112" t="n">
        <v>-0.0593</v>
      </c>
      <c r="G167" s="112" t="n">
        <v>-0.0741</v>
      </c>
      <c r="H167" s="112" t="n">
        <v>-0.0889</v>
      </c>
      <c r="I167" s="112" t="n">
        <v>-0.1037</v>
      </c>
      <c r="J167" s="112" t="n">
        <v>-0.1185</v>
      </c>
      <c r="K167" s="112" t="n">
        <v>-0.1333</v>
      </c>
      <c r="L167" s="112" t="n">
        <v>-0.1482</v>
      </c>
      <c r="M167" s="112" t="n">
        <v>-0.163</v>
      </c>
      <c r="N167" s="112" t="n">
        <v>-0.1778</v>
      </c>
      <c r="O167" s="112" t="n">
        <v>-0.1926</v>
      </c>
      <c r="P167" s="112" t="n">
        <v>-0.2074</v>
      </c>
      <c r="Q167" s="112" t="n">
        <v>-0.2222</v>
      </c>
      <c r="R167" s="112" t="n">
        <v>-0.2371</v>
      </c>
      <c r="S167" s="112" t="n">
        <v>-0.2519</v>
      </c>
      <c r="T167" s="112" t="n">
        <v>-0.2667</v>
      </c>
      <c r="U167" s="112" t="n">
        <v>-0.2815</v>
      </c>
      <c r="V167" s="112" t="n">
        <v>-0.2963</v>
      </c>
      <c r="W167" s="109" t="n">
        <v>0.0081</v>
      </c>
      <c r="X167" s="110" t="n">
        <v>0</v>
      </c>
      <c r="Y167" s="110" t="n">
        <v>0.03</v>
      </c>
      <c r="Z167" s="110" t="n">
        <v>0.05</v>
      </c>
    </row>
    <row r="168" customFormat="false" ht="15.75" hidden="false" customHeight="false" outlineLevel="0" collapsed="false">
      <c r="A168" s="57" t="n">
        <v>166</v>
      </c>
      <c r="B168" s="112" t="n">
        <v>-0.0002</v>
      </c>
      <c r="C168" s="108" t="n">
        <v>0.0049</v>
      </c>
      <c r="D168" s="108" t="n">
        <v>0.0097</v>
      </c>
      <c r="E168" s="108" t="n">
        <v>0.0146</v>
      </c>
      <c r="F168" s="108" t="n">
        <v>0.0195</v>
      </c>
      <c r="G168" s="108" t="n">
        <v>0.0244</v>
      </c>
      <c r="H168" s="108" t="n">
        <v>0.0292</v>
      </c>
      <c r="I168" s="108" t="n">
        <v>0.0341</v>
      </c>
      <c r="J168" s="108" t="n">
        <v>0.039</v>
      </c>
      <c r="K168" s="108" t="n">
        <v>0.0439</v>
      </c>
      <c r="L168" s="108" t="n">
        <v>0.0488</v>
      </c>
      <c r="M168" s="108" t="n">
        <v>0.0536</v>
      </c>
      <c r="N168" s="108" t="n">
        <v>0.0585</v>
      </c>
      <c r="O168" s="108" t="n">
        <v>0.0634</v>
      </c>
      <c r="P168" s="108" t="n">
        <v>0.0682</v>
      </c>
      <c r="Q168" s="108" t="n">
        <v>0.0731</v>
      </c>
      <c r="R168" s="108" t="n">
        <v>0.078</v>
      </c>
      <c r="S168" s="108" t="n">
        <v>0.0829</v>
      </c>
      <c r="T168" s="108" t="n">
        <v>0.0877</v>
      </c>
      <c r="U168" s="108" t="n">
        <v>0.0926</v>
      </c>
      <c r="V168" s="108" t="n">
        <v>0.0975</v>
      </c>
      <c r="W168" s="109" t="n">
        <v>0.2674</v>
      </c>
      <c r="X168" s="110" t="n">
        <v>0</v>
      </c>
      <c r="Y168" s="110" t="n">
        <v>0.03</v>
      </c>
      <c r="Z168" s="110" t="n">
        <v>0.05</v>
      </c>
    </row>
    <row r="169" customFormat="false" ht="15.75" hidden="false" customHeight="false" outlineLevel="0" collapsed="false">
      <c r="A169" s="57" t="n">
        <v>167</v>
      </c>
      <c r="B169" s="112" t="n">
        <v>-0.0084</v>
      </c>
      <c r="C169" s="112" t="n">
        <v>-0.0034</v>
      </c>
      <c r="D169" s="108" t="n">
        <v>0.0016</v>
      </c>
      <c r="E169" s="108" t="n">
        <v>0.0024</v>
      </c>
      <c r="F169" s="108" t="n">
        <v>0.0031</v>
      </c>
      <c r="G169" s="108" t="n">
        <v>0.0039</v>
      </c>
      <c r="H169" s="108" t="n">
        <v>0.0047</v>
      </c>
      <c r="I169" s="108" t="n">
        <v>0.0055</v>
      </c>
      <c r="J169" s="108" t="n">
        <v>0.0063</v>
      </c>
      <c r="K169" s="108" t="n">
        <v>0.0071</v>
      </c>
      <c r="L169" s="108" t="n">
        <v>0.0078</v>
      </c>
      <c r="M169" s="108" t="n">
        <v>0.0086</v>
      </c>
      <c r="N169" s="108" t="n">
        <v>0.0094</v>
      </c>
      <c r="O169" s="108" t="n">
        <v>0.0102</v>
      </c>
      <c r="P169" s="108" t="n">
        <v>0.011</v>
      </c>
      <c r="Q169" s="108" t="n">
        <v>0.0118</v>
      </c>
      <c r="R169" s="108" t="n">
        <v>0.0125</v>
      </c>
      <c r="S169" s="108" t="n">
        <v>0.0133</v>
      </c>
      <c r="T169" s="108" t="n">
        <v>0.0141</v>
      </c>
      <c r="U169" s="108" t="n">
        <v>0.0149</v>
      </c>
      <c r="V169" s="108" t="n">
        <v>0.0157</v>
      </c>
      <c r="W169" s="109" t="n">
        <v>0.1759</v>
      </c>
      <c r="X169" s="110" t="n">
        <v>0</v>
      </c>
      <c r="Y169" s="110" t="n">
        <v>0.03</v>
      </c>
      <c r="Z169" s="110" t="n">
        <v>0.05</v>
      </c>
    </row>
    <row r="170" customFormat="false" ht="15.75" hidden="false" customHeight="false" outlineLevel="0" collapsed="false">
      <c r="A170" s="57" t="n">
        <v>168</v>
      </c>
      <c r="B170" s="108" t="n">
        <v>0.0248</v>
      </c>
      <c r="C170" s="108" t="n">
        <v>0.0293</v>
      </c>
      <c r="D170" s="108" t="n">
        <v>0.0348</v>
      </c>
      <c r="E170" s="108" t="n">
        <v>0.0522</v>
      </c>
      <c r="F170" s="108" t="n">
        <v>0.0695</v>
      </c>
      <c r="G170" s="108" t="n">
        <v>0.0869</v>
      </c>
      <c r="H170" s="108" t="n">
        <v>0.1043</v>
      </c>
      <c r="I170" s="108" t="n">
        <v>0.1217</v>
      </c>
      <c r="J170" s="108" t="n">
        <v>0.1391</v>
      </c>
      <c r="K170" s="108" t="n">
        <v>0.1565</v>
      </c>
      <c r="L170" s="108" t="n">
        <v>0.1738</v>
      </c>
      <c r="M170" s="108" t="n">
        <v>0.1912</v>
      </c>
      <c r="N170" s="108" t="n">
        <v>0.2086</v>
      </c>
      <c r="O170" s="108" t="n">
        <v>0.226</v>
      </c>
      <c r="P170" s="108" t="n">
        <v>0.2434</v>
      </c>
      <c r="Q170" s="108" t="n">
        <v>0.2608</v>
      </c>
      <c r="R170" s="108" t="n">
        <v>0.2781</v>
      </c>
      <c r="S170" s="108" t="n">
        <v>0.2955</v>
      </c>
      <c r="T170" s="108" t="n">
        <v>0.3129</v>
      </c>
      <c r="U170" s="108" t="n">
        <v>0.3303</v>
      </c>
      <c r="V170" s="108" t="n">
        <v>0.3477</v>
      </c>
      <c r="W170" s="109" t="n">
        <v>0.0385</v>
      </c>
      <c r="X170" s="110" t="n">
        <v>0</v>
      </c>
      <c r="Y170" s="110" t="n">
        <v>0.03</v>
      </c>
      <c r="Z170" s="110" t="n">
        <v>0.05</v>
      </c>
    </row>
    <row r="171" customFormat="false" ht="15.75" hidden="false" customHeight="false" outlineLevel="0" collapsed="false">
      <c r="A171" s="57" t="n">
        <v>169</v>
      </c>
      <c r="B171" s="108" t="n">
        <v>0.0103</v>
      </c>
      <c r="C171" s="108" t="n">
        <v>0.0153</v>
      </c>
      <c r="D171" s="108" t="n">
        <v>0.0203</v>
      </c>
      <c r="E171" s="108" t="n">
        <v>0.0304</v>
      </c>
      <c r="F171" s="108" t="n">
        <v>0.0405</v>
      </c>
      <c r="G171" s="108" t="n">
        <v>0.0507</v>
      </c>
      <c r="H171" s="108" t="n">
        <v>0.0608</v>
      </c>
      <c r="I171" s="108" t="n">
        <v>0.0709</v>
      </c>
      <c r="J171" s="108" t="n">
        <v>0.0811</v>
      </c>
      <c r="K171" s="108" t="n">
        <v>0.0912</v>
      </c>
      <c r="L171" s="108" t="n">
        <v>0.1013</v>
      </c>
      <c r="M171" s="108" t="n">
        <v>0.1115</v>
      </c>
      <c r="N171" s="108" t="n">
        <v>0.1216</v>
      </c>
      <c r="O171" s="108" t="n">
        <v>0.1317</v>
      </c>
      <c r="P171" s="108" t="n">
        <v>0.1419</v>
      </c>
      <c r="Q171" s="108" t="n">
        <v>0.152</v>
      </c>
      <c r="R171" s="108" t="n">
        <v>0.1621</v>
      </c>
      <c r="S171" s="108" t="n">
        <v>0.1723</v>
      </c>
      <c r="T171" s="108" t="n">
        <v>0.1824</v>
      </c>
      <c r="U171" s="108" t="n">
        <v>0.1925</v>
      </c>
      <c r="V171" s="108" t="n">
        <v>0.2027</v>
      </c>
      <c r="W171" s="109" t="n">
        <v>0.0757</v>
      </c>
      <c r="X171" s="110" t="n">
        <v>0</v>
      </c>
      <c r="Y171" s="110" t="n">
        <v>0.03</v>
      </c>
      <c r="Z171" s="110" t="n">
        <v>0.05</v>
      </c>
    </row>
    <row r="172" customFormat="false" ht="15.75" hidden="false" customHeight="false" outlineLevel="0" collapsed="false">
      <c r="A172" s="57" t="n">
        <v>170</v>
      </c>
      <c r="B172" s="108" t="n">
        <v>0.0137</v>
      </c>
      <c r="C172" s="108" t="n">
        <v>0.0187</v>
      </c>
      <c r="D172" s="108" t="n">
        <v>0.0237</v>
      </c>
      <c r="E172" s="108" t="n">
        <v>0.0356</v>
      </c>
      <c r="F172" s="108" t="n">
        <v>0.0475</v>
      </c>
      <c r="G172" s="108" t="n">
        <v>0.0593</v>
      </c>
      <c r="H172" s="108" t="n">
        <v>0.0712</v>
      </c>
      <c r="I172" s="108" t="n">
        <v>0.0831</v>
      </c>
      <c r="J172" s="108" t="n">
        <v>0.0949</v>
      </c>
      <c r="K172" s="108" t="n">
        <v>0.1068</v>
      </c>
      <c r="L172" s="108" t="n">
        <v>0.1187</v>
      </c>
      <c r="M172" s="108" t="n">
        <v>0.1305</v>
      </c>
      <c r="N172" s="108" t="n">
        <v>0.1424</v>
      </c>
      <c r="O172" s="108" t="n">
        <v>0.1543</v>
      </c>
      <c r="P172" s="108" t="n">
        <v>0.1661</v>
      </c>
      <c r="Q172" s="108" t="n">
        <v>0.178</v>
      </c>
      <c r="R172" s="108" t="n">
        <v>0.1899</v>
      </c>
      <c r="S172" s="108" t="n">
        <v>0.2017</v>
      </c>
      <c r="T172" s="108" t="n">
        <v>0.2136</v>
      </c>
      <c r="U172" s="108" t="n">
        <v>0.2255</v>
      </c>
      <c r="V172" s="108" t="n">
        <v>0.2373</v>
      </c>
      <c r="W172" s="109" t="n">
        <v>0.3065</v>
      </c>
      <c r="X172" s="110" t="n">
        <v>0</v>
      </c>
      <c r="Y172" s="110" t="n">
        <v>0.03</v>
      </c>
      <c r="Z172" s="110" t="n">
        <v>0.05</v>
      </c>
    </row>
    <row r="173" customFormat="false" ht="15.75" hidden="false" customHeight="false" outlineLevel="0" collapsed="false">
      <c r="A173" s="57" t="n">
        <v>171</v>
      </c>
      <c r="B173" s="108" t="n">
        <v>0.0003</v>
      </c>
      <c r="C173" s="108" t="n">
        <v>0.0053</v>
      </c>
      <c r="D173" s="108" t="n">
        <v>0.0103</v>
      </c>
      <c r="E173" s="108" t="n">
        <v>0.0155</v>
      </c>
      <c r="F173" s="108" t="n">
        <v>0.0207</v>
      </c>
      <c r="G173" s="108" t="n">
        <v>0.0259</v>
      </c>
      <c r="H173" s="108" t="n">
        <v>0.0311</v>
      </c>
      <c r="I173" s="108" t="n">
        <v>0.0362</v>
      </c>
      <c r="J173" s="108" t="n">
        <v>0.0414</v>
      </c>
      <c r="K173" s="108" t="n">
        <v>0.0466</v>
      </c>
      <c r="L173" s="108" t="n">
        <v>0.0517</v>
      </c>
      <c r="M173" s="108" t="n">
        <v>0.0569</v>
      </c>
      <c r="N173" s="108" t="n">
        <v>0.0621</v>
      </c>
      <c r="O173" s="108" t="n">
        <v>0.0673</v>
      </c>
      <c r="P173" s="108" t="n">
        <v>0.0725</v>
      </c>
      <c r="Q173" s="108" t="n">
        <v>0.0776</v>
      </c>
      <c r="R173" s="108" t="n">
        <v>0.0828</v>
      </c>
      <c r="S173" s="108" t="n">
        <v>0.088</v>
      </c>
      <c r="T173" s="108" t="n">
        <v>0.0931</v>
      </c>
      <c r="U173" s="108" t="n">
        <v>0.0983</v>
      </c>
      <c r="V173" s="108" t="n">
        <v>0.1035</v>
      </c>
      <c r="W173" s="109" t="n">
        <v>-0.0924</v>
      </c>
      <c r="X173" s="110" t="n">
        <v>0</v>
      </c>
      <c r="Y173" s="110" t="n">
        <v>0.03</v>
      </c>
      <c r="Z173" s="110" t="n">
        <v>0.05</v>
      </c>
    </row>
    <row r="174" customFormat="false" ht="15.75" hidden="false" customHeight="false" outlineLevel="0" collapsed="false">
      <c r="A174" s="57" t="n">
        <v>172</v>
      </c>
      <c r="B174" s="112" t="n">
        <v>0.0033</v>
      </c>
      <c r="C174" s="108" t="n">
        <v>0.0083</v>
      </c>
      <c r="D174" s="108" t="n">
        <v>0.0133</v>
      </c>
      <c r="E174" s="108" t="n">
        <v>0.0199</v>
      </c>
      <c r="F174" s="108" t="n">
        <v>0.0265</v>
      </c>
      <c r="G174" s="108" t="n">
        <v>0.0332</v>
      </c>
      <c r="H174" s="108" t="n">
        <v>0.0398</v>
      </c>
      <c r="I174" s="108" t="n">
        <v>0.0464</v>
      </c>
      <c r="J174" s="108" t="n">
        <v>0.0531</v>
      </c>
      <c r="K174" s="108" t="n">
        <v>0.0597</v>
      </c>
      <c r="L174" s="108" t="n">
        <v>0.0663</v>
      </c>
      <c r="M174" s="108" t="n">
        <v>0.073</v>
      </c>
      <c r="N174" s="108" t="n">
        <v>0.0796</v>
      </c>
      <c r="O174" s="108" t="n">
        <v>0.0862</v>
      </c>
      <c r="P174" s="108" t="n">
        <v>0.0929</v>
      </c>
      <c r="Q174" s="108" t="n">
        <v>0.0995</v>
      </c>
      <c r="R174" s="108" t="n">
        <v>0.1061</v>
      </c>
      <c r="S174" s="108" t="n">
        <v>0.1128</v>
      </c>
      <c r="T174" s="108" t="n">
        <v>0.1194</v>
      </c>
      <c r="U174" s="108" t="n">
        <v>0.126</v>
      </c>
      <c r="V174" s="108" t="n">
        <v>0.1327</v>
      </c>
      <c r="W174" s="109" t="n">
        <v>0.2782</v>
      </c>
      <c r="X174" s="110" t="n">
        <v>0</v>
      </c>
      <c r="Y174" s="110" t="n">
        <v>0.03</v>
      </c>
      <c r="Z174" s="110" t="n">
        <v>0.05</v>
      </c>
    </row>
    <row r="175" customFormat="false" ht="15.75" hidden="false" customHeight="false" outlineLevel="0" collapsed="false">
      <c r="A175" s="57" t="n">
        <v>173</v>
      </c>
      <c r="B175" s="112" t="n">
        <v>-0.0162</v>
      </c>
      <c r="C175" s="112" t="n">
        <v>-0.0112</v>
      </c>
      <c r="D175" s="112" t="n">
        <v>-0.0062</v>
      </c>
      <c r="E175" s="112" t="n">
        <v>-0.0093</v>
      </c>
      <c r="F175" s="112" t="n">
        <v>-0.0124</v>
      </c>
      <c r="G175" s="112" t="n">
        <v>-0.0155</v>
      </c>
      <c r="H175" s="112" t="n">
        <v>-0.0186</v>
      </c>
      <c r="I175" s="112" t="n">
        <v>-0.0217</v>
      </c>
      <c r="J175" s="112" t="n">
        <v>-0.0248</v>
      </c>
      <c r="K175" s="112" t="n">
        <v>-0.0279</v>
      </c>
      <c r="L175" s="112" t="n">
        <v>-0.031</v>
      </c>
      <c r="M175" s="112" t="n">
        <v>-0.0341</v>
      </c>
      <c r="N175" s="112" t="n">
        <v>-0.0372</v>
      </c>
      <c r="O175" s="112" t="n">
        <v>-0.0403</v>
      </c>
      <c r="P175" s="112" t="n">
        <v>-0.0434</v>
      </c>
      <c r="Q175" s="112" t="n">
        <v>-0.0465</v>
      </c>
      <c r="R175" s="112" t="n">
        <v>-0.0496</v>
      </c>
      <c r="S175" s="112" t="n">
        <v>-0.0527</v>
      </c>
      <c r="T175" s="112" t="n">
        <v>-0.0558</v>
      </c>
      <c r="U175" s="112" t="n">
        <v>-0.0589</v>
      </c>
      <c r="V175" s="112" t="n">
        <v>-0.062</v>
      </c>
      <c r="W175" s="109" t="n">
        <v>0.0434</v>
      </c>
      <c r="X175" s="110" t="n">
        <v>0</v>
      </c>
      <c r="Y175" s="110" t="n">
        <v>0.03</v>
      </c>
      <c r="Z175" s="110" t="n">
        <v>0.05</v>
      </c>
    </row>
    <row r="176" customFormat="false" ht="15.75" hidden="false" customHeight="false" outlineLevel="0" collapsed="false">
      <c r="A176" s="57" t="n">
        <v>174</v>
      </c>
      <c r="B176" s="112" t="n">
        <v>-0.0052</v>
      </c>
      <c r="C176" s="112" t="n">
        <v>-0.0002</v>
      </c>
      <c r="D176" s="108" t="n">
        <v>0.0048</v>
      </c>
      <c r="E176" s="108" t="n">
        <v>0.0072</v>
      </c>
      <c r="F176" s="108" t="n">
        <v>0.0096</v>
      </c>
      <c r="G176" s="108" t="n">
        <v>0.012</v>
      </c>
      <c r="H176" s="108" t="n">
        <v>0.0144</v>
      </c>
      <c r="I176" s="108" t="n">
        <v>0.0168</v>
      </c>
      <c r="J176" s="108" t="n">
        <v>0.0192</v>
      </c>
      <c r="K176" s="108" t="n">
        <v>0.0216</v>
      </c>
      <c r="L176" s="108" t="n">
        <v>0.024</v>
      </c>
      <c r="M176" s="108" t="n">
        <v>0.0264</v>
      </c>
      <c r="N176" s="108" t="n">
        <v>0.0288</v>
      </c>
      <c r="O176" s="108" t="n">
        <v>0.0312</v>
      </c>
      <c r="P176" s="108" t="n">
        <v>0.0336</v>
      </c>
      <c r="Q176" s="108" t="n">
        <v>0.036</v>
      </c>
      <c r="R176" s="108" t="n">
        <v>0.0384</v>
      </c>
      <c r="S176" s="108" t="n">
        <v>0.0408</v>
      </c>
      <c r="T176" s="108" t="n">
        <v>0.0432</v>
      </c>
      <c r="U176" s="108" t="n">
        <v>0.0456</v>
      </c>
      <c r="V176" s="108" t="n">
        <v>0.048</v>
      </c>
      <c r="W176" s="109" t="n">
        <v>0.069</v>
      </c>
      <c r="X176" s="110" t="n">
        <v>0</v>
      </c>
      <c r="Y176" s="110" t="n">
        <v>0.03</v>
      </c>
      <c r="Z176" s="110" t="n">
        <v>0.05</v>
      </c>
    </row>
    <row r="177" customFormat="false" ht="15.75" hidden="false" customHeight="false" outlineLevel="0" collapsed="false">
      <c r="A177" s="57" t="n">
        <v>175</v>
      </c>
      <c r="B177" s="108" t="n">
        <v>0.0041</v>
      </c>
      <c r="C177" s="108" t="n">
        <v>0.0091</v>
      </c>
      <c r="D177" s="108" t="n">
        <v>0.0141</v>
      </c>
      <c r="E177" s="108" t="n">
        <v>0.0211</v>
      </c>
      <c r="F177" s="108" t="n">
        <v>0.0281</v>
      </c>
      <c r="G177" s="108" t="n">
        <v>0.0352</v>
      </c>
      <c r="H177" s="108" t="n">
        <v>0.0422</v>
      </c>
      <c r="I177" s="108" t="n">
        <v>0.0492</v>
      </c>
      <c r="J177" s="108" t="n">
        <v>0.0563</v>
      </c>
      <c r="K177" s="108" t="n">
        <v>0.0633</v>
      </c>
      <c r="L177" s="108" t="n">
        <v>0.0703</v>
      </c>
      <c r="M177" s="108" t="n">
        <v>0.0774</v>
      </c>
      <c r="N177" s="108" t="n">
        <v>0.0844</v>
      </c>
      <c r="O177" s="108" t="n">
        <v>0.0914</v>
      </c>
      <c r="P177" s="108" t="n">
        <v>0.0985</v>
      </c>
      <c r="Q177" s="108" t="n">
        <v>0.1055</v>
      </c>
      <c r="R177" s="108" t="n">
        <v>0.1125</v>
      </c>
      <c r="S177" s="108" t="n">
        <v>0.1196</v>
      </c>
      <c r="T177" s="108" t="n">
        <v>0.1266</v>
      </c>
      <c r="U177" s="108" t="n">
        <v>0.1336</v>
      </c>
      <c r="V177" s="108" t="n">
        <v>0.1407</v>
      </c>
      <c r="W177" s="109" t="n">
        <v>-0.0136</v>
      </c>
      <c r="X177" s="110" t="n">
        <v>0</v>
      </c>
      <c r="Y177" s="110" t="n">
        <v>0.03</v>
      </c>
      <c r="Z177" s="110" t="n">
        <v>0.05</v>
      </c>
    </row>
    <row r="178" customFormat="false" ht="15.75" hidden="false" customHeight="false" outlineLevel="0" collapsed="false">
      <c r="A178" s="57" t="n">
        <v>176</v>
      </c>
      <c r="B178" s="112" t="n">
        <v>0.0016</v>
      </c>
      <c r="C178" s="108" t="n">
        <v>0.0066</v>
      </c>
      <c r="D178" s="108" t="n">
        <v>0.0116</v>
      </c>
      <c r="E178" s="108" t="n">
        <v>0.0174</v>
      </c>
      <c r="F178" s="108" t="n">
        <v>0.0232</v>
      </c>
      <c r="G178" s="108" t="n">
        <v>0.029</v>
      </c>
      <c r="H178" s="108" t="n">
        <v>0.0347</v>
      </c>
      <c r="I178" s="108" t="n">
        <v>0.0405</v>
      </c>
      <c r="J178" s="108" t="n">
        <v>0.0463</v>
      </c>
      <c r="K178" s="108" t="n">
        <v>0.0521</v>
      </c>
      <c r="L178" s="108" t="n">
        <v>0.0579</v>
      </c>
      <c r="M178" s="108" t="n">
        <v>0.0637</v>
      </c>
      <c r="N178" s="108" t="n">
        <v>0.0695</v>
      </c>
      <c r="O178" s="108" t="n">
        <v>0.0753</v>
      </c>
      <c r="P178" s="108" t="n">
        <v>0.0811</v>
      </c>
      <c r="Q178" s="108" t="n">
        <v>0.0869</v>
      </c>
      <c r="R178" s="108" t="n">
        <v>0.0927</v>
      </c>
      <c r="S178" s="108" t="n">
        <v>0.0985</v>
      </c>
      <c r="T178" s="108" t="n">
        <v>0.1042</v>
      </c>
      <c r="U178" s="108" t="n">
        <v>0.11</v>
      </c>
      <c r="V178" s="108" t="n">
        <v>0.1158</v>
      </c>
      <c r="W178" s="109" t="n">
        <v>0.352</v>
      </c>
      <c r="X178" s="110" t="n">
        <v>0</v>
      </c>
      <c r="Y178" s="110" t="n">
        <v>0.03</v>
      </c>
      <c r="Z178" s="110" t="n">
        <v>0.05</v>
      </c>
    </row>
    <row r="179" customFormat="false" ht="15.75" hidden="false" customHeight="false" outlineLevel="0" collapsed="false">
      <c r="A179" s="57" t="n">
        <v>177</v>
      </c>
      <c r="B179" s="112" t="n">
        <v>-0.0102</v>
      </c>
      <c r="C179" s="112" t="n">
        <v>-0.0052</v>
      </c>
      <c r="D179" s="112" t="n">
        <v>-0.0253</v>
      </c>
      <c r="E179" s="112" t="n">
        <v>-0.038</v>
      </c>
      <c r="F179" s="112" t="n">
        <v>-0.0507</v>
      </c>
      <c r="G179" s="112" t="n">
        <v>-0.0633</v>
      </c>
      <c r="H179" s="112" t="n">
        <v>-0.076</v>
      </c>
      <c r="I179" s="112" t="n">
        <v>-0.0887</v>
      </c>
      <c r="J179" s="112" t="n">
        <v>-0.1013</v>
      </c>
      <c r="K179" s="112" t="n">
        <v>-0.114</v>
      </c>
      <c r="L179" s="112" t="n">
        <v>-0.1267</v>
      </c>
      <c r="M179" s="112" t="n">
        <v>-0.1393</v>
      </c>
      <c r="N179" s="112" t="n">
        <v>-0.152</v>
      </c>
      <c r="O179" s="112" t="n">
        <v>-0.1647</v>
      </c>
      <c r="P179" s="112" t="n">
        <v>-0.1773</v>
      </c>
      <c r="Q179" s="112" t="n">
        <v>-0.19</v>
      </c>
      <c r="R179" s="112" t="n">
        <v>-0.2027</v>
      </c>
      <c r="S179" s="112" t="n">
        <v>-0.2153</v>
      </c>
      <c r="T179" s="112" t="n">
        <v>-0.228</v>
      </c>
      <c r="U179" s="112" t="n">
        <v>-0.2407</v>
      </c>
      <c r="V179" s="112" t="n">
        <v>-0.2533</v>
      </c>
      <c r="W179" s="109" t="n">
        <v>0.1873</v>
      </c>
      <c r="X179" s="110" t="n">
        <v>0</v>
      </c>
      <c r="Y179" s="110" t="n">
        <v>0.03</v>
      </c>
      <c r="Z179" s="110" t="n">
        <v>0.05</v>
      </c>
    </row>
    <row r="180" customFormat="false" ht="15.75" hidden="false" customHeight="false" outlineLevel="0" collapsed="false">
      <c r="A180" s="57" t="n">
        <v>178</v>
      </c>
      <c r="B180" s="112" t="n">
        <v>-0.0088</v>
      </c>
      <c r="C180" s="112" t="n">
        <v>-0.0038</v>
      </c>
      <c r="D180" s="108" t="n">
        <v>0.0012</v>
      </c>
      <c r="E180" s="108" t="n">
        <v>0.0018</v>
      </c>
      <c r="F180" s="108" t="n">
        <v>0.0024</v>
      </c>
      <c r="G180" s="108" t="n">
        <v>0.003</v>
      </c>
      <c r="H180" s="108" t="n">
        <v>0.0036</v>
      </c>
      <c r="I180" s="108" t="n">
        <v>0.0042</v>
      </c>
      <c r="J180" s="108" t="n">
        <v>0.0048</v>
      </c>
      <c r="K180" s="108" t="n">
        <v>0.0054</v>
      </c>
      <c r="L180" s="108" t="n">
        <v>0.006</v>
      </c>
      <c r="M180" s="108" t="n">
        <v>0.0066</v>
      </c>
      <c r="N180" s="108" t="n">
        <v>0.0072</v>
      </c>
      <c r="O180" s="108" t="n">
        <v>0.0078</v>
      </c>
      <c r="P180" s="108" t="n">
        <v>0.0084</v>
      </c>
      <c r="Q180" s="108" t="n">
        <v>0.009</v>
      </c>
      <c r="R180" s="108" t="n">
        <v>0.0096</v>
      </c>
      <c r="S180" s="108" t="n">
        <v>0.0102</v>
      </c>
      <c r="T180" s="108" t="n">
        <v>0.0108</v>
      </c>
      <c r="U180" s="108" t="n">
        <v>0.0114</v>
      </c>
      <c r="V180" s="108" t="n">
        <v>0.012</v>
      </c>
      <c r="W180" s="109" t="n">
        <v>0.323</v>
      </c>
      <c r="X180" s="110" t="n">
        <v>0</v>
      </c>
      <c r="Y180" s="110" t="n">
        <v>0.03</v>
      </c>
      <c r="Z180" s="110" t="n">
        <v>0.05</v>
      </c>
    </row>
    <row r="181" customFormat="false" ht="15.75" hidden="false" customHeight="false" outlineLevel="0" collapsed="false">
      <c r="A181" s="57" t="n">
        <v>179</v>
      </c>
      <c r="B181" s="112" t="n">
        <v>-0.004</v>
      </c>
      <c r="C181" s="108" t="n">
        <v>0.001</v>
      </c>
      <c r="D181" s="108" t="n">
        <v>0.006</v>
      </c>
      <c r="E181" s="108" t="n">
        <v>0.0091</v>
      </c>
      <c r="F181" s="108" t="n">
        <v>0.0121</v>
      </c>
      <c r="G181" s="108" t="n">
        <v>0.0151</v>
      </c>
      <c r="H181" s="108" t="n">
        <v>0.0181</v>
      </c>
      <c r="I181" s="108" t="n">
        <v>0.0212</v>
      </c>
      <c r="J181" s="108" t="n">
        <v>0.0242</v>
      </c>
      <c r="K181" s="108" t="n">
        <v>0.0272</v>
      </c>
      <c r="L181" s="108" t="n">
        <v>0.0302</v>
      </c>
      <c r="M181" s="108" t="n">
        <v>0.0333</v>
      </c>
      <c r="N181" s="108" t="n">
        <v>0.0363</v>
      </c>
      <c r="O181" s="108" t="n">
        <v>0.0393</v>
      </c>
      <c r="P181" s="108" t="n">
        <v>0.0423</v>
      </c>
      <c r="Q181" s="108" t="n">
        <v>0.0454</v>
      </c>
      <c r="R181" s="108" t="n">
        <v>0.0484</v>
      </c>
      <c r="S181" s="108" t="n">
        <v>0.0514</v>
      </c>
      <c r="T181" s="108" t="n">
        <v>0.0545</v>
      </c>
      <c r="U181" s="108" t="n">
        <v>0.0575</v>
      </c>
      <c r="V181" s="108" t="n">
        <v>0.0605</v>
      </c>
      <c r="W181" s="109" t="n">
        <v>0.2595</v>
      </c>
      <c r="X181" s="110" t="n">
        <v>0</v>
      </c>
      <c r="Y181" s="110" t="n">
        <v>0.03</v>
      </c>
      <c r="Z181" s="110" t="n">
        <v>0.05</v>
      </c>
    </row>
    <row r="182" customFormat="false" ht="15.75" hidden="false" customHeight="false" outlineLevel="0" collapsed="false">
      <c r="A182" s="57" t="n">
        <v>180</v>
      </c>
      <c r="B182" s="112" t="n">
        <v>0.0064</v>
      </c>
      <c r="C182" s="108" t="n">
        <v>0.0114</v>
      </c>
      <c r="D182" s="108" t="n">
        <v>0.0164</v>
      </c>
      <c r="E182" s="108" t="n">
        <v>0.0246</v>
      </c>
      <c r="F182" s="108" t="n">
        <v>0.0328</v>
      </c>
      <c r="G182" s="108" t="n">
        <v>0.041</v>
      </c>
      <c r="H182" s="108" t="n">
        <v>0.0492</v>
      </c>
      <c r="I182" s="108" t="n">
        <v>0.0574</v>
      </c>
      <c r="J182" s="108" t="n">
        <v>0.0656</v>
      </c>
      <c r="K182" s="108" t="n">
        <v>0.0738</v>
      </c>
      <c r="L182" s="108" t="n">
        <v>0.082</v>
      </c>
      <c r="M182" s="108" t="n">
        <v>0.0902</v>
      </c>
      <c r="N182" s="108" t="n">
        <v>0.0984</v>
      </c>
      <c r="O182" s="108" t="n">
        <v>0.1066</v>
      </c>
      <c r="P182" s="108" t="n">
        <v>0.1148</v>
      </c>
      <c r="Q182" s="108" t="n">
        <v>0.123</v>
      </c>
      <c r="R182" s="108" t="n">
        <v>0.1312</v>
      </c>
      <c r="S182" s="108" t="n">
        <v>0.1394</v>
      </c>
      <c r="T182" s="108" t="n">
        <v>0.1476</v>
      </c>
      <c r="U182" s="108" t="n">
        <v>0.1558</v>
      </c>
      <c r="V182" s="108" t="n">
        <v>0.164</v>
      </c>
      <c r="W182" s="109" t="n">
        <v>0.1849</v>
      </c>
      <c r="X182" s="110" t="n">
        <v>0</v>
      </c>
      <c r="Y182" s="110" t="n">
        <v>0.03</v>
      </c>
      <c r="Z182" s="110" t="n">
        <v>0.05</v>
      </c>
    </row>
    <row r="183" customFormat="false" ht="15.75" hidden="false" customHeight="false" outlineLevel="0" collapsed="false">
      <c r="A183" s="57" t="n">
        <v>181</v>
      </c>
      <c r="B183" s="112" t="n">
        <v>-0.0079</v>
      </c>
      <c r="C183" s="112" t="n">
        <v>-0.0028</v>
      </c>
      <c r="D183" s="108" t="n">
        <v>0.0021</v>
      </c>
      <c r="E183" s="108" t="n">
        <v>0.0032</v>
      </c>
      <c r="F183" s="108" t="n">
        <v>0.0043</v>
      </c>
      <c r="G183" s="108" t="n">
        <v>0.0053</v>
      </c>
      <c r="H183" s="108" t="n">
        <v>0.0064</v>
      </c>
      <c r="I183" s="108" t="n">
        <v>0.0075</v>
      </c>
      <c r="J183" s="108" t="n">
        <v>0.0085</v>
      </c>
      <c r="K183" s="108" t="n">
        <v>0.0096</v>
      </c>
      <c r="L183" s="108" t="n">
        <v>0.0107</v>
      </c>
      <c r="M183" s="108" t="n">
        <v>0.0117</v>
      </c>
      <c r="N183" s="108" t="n">
        <v>0.0128</v>
      </c>
      <c r="O183" s="108" t="n">
        <v>0.0139</v>
      </c>
      <c r="P183" s="108" t="n">
        <v>0.0149</v>
      </c>
      <c r="Q183" s="108" t="n">
        <v>0.016</v>
      </c>
      <c r="R183" s="108" t="n">
        <v>0.0171</v>
      </c>
      <c r="S183" s="108" t="n">
        <v>0.0181</v>
      </c>
      <c r="T183" s="108" t="n">
        <v>0.0192</v>
      </c>
      <c r="U183" s="108" t="n">
        <v>0.0203</v>
      </c>
      <c r="V183" s="108" t="n">
        <v>0.0213</v>
      </c>
      <c r="W183" s="109" t="n">
        <v>-0.1182</v>
      </c>
      <c r="X183" s="110" t="n">
        <v>0</v>
      </c>
      <c r="Y183" s="110" t="n">
        <v>0.03</v>
      </c>
      <c r="Z183" s="110" t="n">
        <v>0.05</v>
      </c>
    </row>
    <row r="184" customFormat="false" ht="15.75" hidden="false" customHeight="false" outlineLevel="0" collapsed="false">
      <c r="A184" s="57" t="n">
        <v>182</v>
      </c>
      <c r="B184" s="108" t="n">
        <v>0.0126</v>
      </c>
      <c r="C184" s="108" t="n">
        <v>0.0176</v>
      </c>
      <c r="D184" s="108" t="n">
        <v>0.0226</v>
      </c>
      <c r="E184" s="108" t="n">
        <v>0.0339</v>
      </c>
      <c r="F184" s="108" t="n">
        <v>0.0451</v>
      </c>
      <c r="G184" s="108" t="n">
        <v>0.0564</v>
      </c>
      <c r="H184" s="108" t="n">
        <v>0.0677</v>
      </c>
      <c r="I184" s="108" t="n">
        <v>0.079</v>
      </c>
      <c r="J184" s="108" t="n">
        <v>0.0903</v>
      </c>
      <c r="K184" s="108" t="n">
        <v>0.1016</v>
      </c>
      <c r="L184" s="108" t="n">
        <v>0.1128</v>
      </c>
      <c r="M184" s="108" t="n">
        <v>0.1241</v>
      </c>
      <c r="N184" s="108" t="n">
        <v>0.1354</v>
      </c>
      <c r="O184" s="108" t="n">
        <v>0.1467</v>
      </c>
      <c r="P184" s="108" t="n">
        <v>0.158</v>
      </c>
      <c r="Q184" s="108" t="n">
        <v>0.1693</v>
      </c>
      <c r="R184" s="108" t="n">
        <v>0.1805</v>
      </c>
      <c r="S184" s="108" t="n">
        <v>0.1918</v>
      </c>
      <c r="T184" s="108" t="n">
        <v>0.2031</v>
      </c>
      <c r="U184" s="108" t="n">
        <v>0.2144</v>
      </c>
      <c r="V184" s="108" t="n">
        <v>0.2257</v>
      </c>
      <c r="W184" s="109" t="n">
        <v>-0.1002</v>
      </c>
      <c r="X184" s="110" t="n">
        <v>0</v>
      </c>
      <c r="Y184" s="110" t="n">
        <v>0.03</v>
      </c>
      <c r="Z184" s="110" t="n">
        <v>0.05</v>
      </c>
    </row>
    <row r="185" customFormat="false" ht="15.75" hidden="false" customHeight="false" outlineLevel="0" collapsed="false">
      <c r="A185" s="57" t="n">
        <v>183</v>
      </c>
      <c r="B185" s="112" t="n">
        <v>0.0071</v>
      </c>
      <c r="C185" s="108" t="n">
        <v>0.0121</v>
      </c>
      <c r="D185" s="108" t="n">
        <v>0.0171</v>
      </c>
      <c r="E185" s="108" t="n">
        <v>0.0256</v>
      </c>
      <c r="F185" s="108" t="n">
        <v>0.0342</v>
      </c>
      <c r="G185" s="108" t="n">
        <v>0.0428</v>
      </c>
      <c r="H185" s="108" t="n">
        <v>0.0513</v>
      </c>
      <c r="I185" s="108" t="n">
        <v>0.0598</v>
      </c>
      <c r="J185" s="108" t="n">
        <v>0.0684</v>
      </c>
      <c r="K185" s="108" t="n">
        <v>0.077</v>
      </c>
      <c r="L185" s="108" t="n">
        <v>0.0855</v>
      </c>
      <c r="M185" s="108" t="n">
        <v>0.094</v>
      </c>
      <c r="N185" s="108" t="n">
        <v>0.1026</v>
      </c>
      <c r="O185" s="108" t="n">
        <v>0.1111</v>
      </c>
      <c r="P185" s="108" t="n">
        <v>0.1197</v>
      </c>
      <c r="Q185" s="108" t="n">
        <v>0.1283</v>
      </c>
      <c r="R185" s="108" t="n">
        <v>0.1368</v>
      </c>
      <c r="S185" s="108" t="n">
        <v>0.1454</v>
      </c>
      <c r="T185" s="108" t="n">
        <v>0.1539</v>
      </c>
      <c r="U185" s="108" t="n">
        <v>0.1624</v>
      </c>
      <c r="V185" s="108" t="n">
        <v>0.171</v>
      </c>
      <c r="W185" s="109" t="n">
        <v>-0.2127</v>
      </c>
      <c r="X185" s="110" t="n">
        <v>0</v>
      </c>
      <c r="Y185" s="110" t="n">
        <v>0.03</v>
      </c>
      <c r="Z185" s="110" t="n">
        <v>0.05</v>
      </c>
    </row>
    <row r="186" customFormat="false" ht="15.75" hidden="false" customHeight="false" outlineLevel="0" collapsed="false">
      <c r="A186" s="57" t="n">
        <v>184</v>
      </c>
      <c r="B186" s="112" t="n">
        <v>-0.033</v>
      </c>
      <c r="C186" s="112" t="n">
        <v>-0.028</v>
      </c>
      <c r="D186" s="112" t="n">
        <v>-0.023</v>
      </c>
      <c r="E186" s="112" t="n">
        <v>-0.0345</v>
      </c>
      <c r="F186" s="112" t="n">
        <v>-0.0459</v>
      </c>
      <c r="G186" s="112" t="n">
        <v>-0.0574</v>
      </c>
      <c r="H186" s="112" t="n">
        <v>-0.0689</v>
      </c>
      <c r="I186" s="112" t="n">
        <v>-0.0804</v>
      </c>
      <c r="J186" s="112" t="n">
        <v>-0.0919</v>
      </c>
      <c r="K186" s="112" t="n">
        <v>-0.1034</v>
      </c>
      <c r="L186" s="112" t="n">
        <v>-0.1148</v>
      </c>
      <c r="M186" s="112" t="n">
        <v>-0.1263</v>
      </c>
      <c r="N186" s="112" t="n">
        <v>-0.1378</v>
      </c>
      <c r="O186" s="112" t="n">
        <v>-0.1493</v>
      </c>
      <c r="P186" s="112" t="n">
        <v>-0.1608</v>
      </c>
      <c r="Q186" s="112" t="n">
        <v>-0.1723</v>
      </c>
      <c r="R186" s="112" t="n">
        <v>-0.1837</v>
      </c>
      <c r="S186" s="112" t="n">
        <v>-0.1952</v>
      </c>
      <c r="T186" s="112" t="n">
        <v>-0.2067</v>
      </c>
      <c r="U186" s="112" t="n">
        <v>-0.2182</v>
      </c>
      <c r="V186" s="112" t="n">
        <v>-0.2297</v>
      </c>
      <c r="W186" s="109" t="n">
        <v>0.2194</v>
      </c>
      <c r="X186" s="110" t="n">
        <v>0</v>
      </c>
      <c r="Y186" s="110" t="n">
        <v>0.03</v>
      </c>
      <c r="Z186" s="110" t="n">
        <v>0.05</v>
      </c>
    </row>
    <row r="187" customFormat="false" ht="15.75" hidden="false" customHeight="false" outlineLevel="0" collapsed="false">
      <c r="A187" s="57" t="n">
        <v>185</v>
      </c>
      <c r="B187" s="108" t="n">
        <v>0.0056</v>
      </c>
      <c r="C187" s="108" t="n">
        <v>0.0106</v>
      </c>
      <c r="D187" s="108" t="n">
        <v>0.0156</v>
      </c>
      <c r="E187" s="108" t="n">
        <v>0.0234</v>
      </c>
      <c r="F187" s="108" t="n">
        <v>0.0312</v>
      </c>
      <c r="G187" s="108" t="n">
        <v>0.039</v>
      </c>
      <c r="H187" s="108" t="n">
        <v>0.0468</v>
      </c>
      <c r="I187" s="108" t="n">
        <v>0.0546</v>
      </c>
      <c r="J187" s="108" t="n">
        <v>0.0624</v>
      </c>
      <c r="K187" s="108" t="n">
        <v>0.0702</v>
      </c>
      <c r="L187" s="108" t="n">
        <v>0.078</v>
      </c>
      <c r="M187" s="108" t="n">
        <v>0.0858</v>
      </c>
      <c r="N187" s="108" t="n">
        <v>0.0936</v>
      </c>
      <c r="O187" s="108" t="n">
        <v>0.1014</v>
      </c>
      <c r="P187" s="108" t="n">
        <v>0.1092</v>
      </c>
      <c r="Q187" s="108" t="n">
        <v>0.117</v>
      </c>
      <c r="R187" s="108" t="n">
        <v>0.1248</v>
      </c>
      <c r="S187" s="108" t="n">
        <v>0.1326</v>
      </c>
      <c r="T187" s="108" t="n">
        <v>0.1404</v>
      </c>
      <c r="U187" s="108" t="n">
        <v>0.1482</v>
      </c>
      <c r="V187" s="108" t="n">
        <v>0.156</v>
      </c>
      <c r="W187" s="109" t="n">
        <v>0.0844</v>
      </c>
      <c r="X187" s="110" t="n">
        <v>0</v>
      </c>
      <c r="Y187" s="110" t="n">
        <v>0.03</v>
      </c>
      <c r="Z187" s="110" t="n">
        <v>0.05</v>
      </c>
    </row>
    <row r="188" customFormat="false" ht="15.75" hidden="false" customHeight="false" outlineLevel="0" collapsed="false">
      <c r="A188" s="57" t="n">
        <v>186</v>
      </c>
      <c r="B188" s="112" t="n">
        <v>0.0029</v>
      </c>
      <c r="C188" s="108" t="n">
        <v>0.0079</v>
      </c>
      <c r="D188" s="108" t="n">
        <v>0.0129</v>
      </c>
      <c r="E188" s="108" t="n">
        <v>0.0193</v>
      </c>
      <c r="F188" s="108" t="n">
        <v>0.0258</v>
      </c>
      <c r="G188" s="108" t="n">
        <v>0.0322</v>
      </c>
      <c r="H188" s="108" t="n">
        <v>0.0386</v>
      </c>
      <c r="I188" s="108" t="n">
        <v>0.0451</v>
      </c>
      <c r="J188" s="108" t="n">
        <v>0.0515</v>
      </c>
      <c r="K188" s="108" t="n">
        <v>0.058</v>
      </c>
      <c r="L188" s="108" t="n">
        <v>0.0644</v>
      </c>
      <c r="M188" s="108" t="n">
        <v>0.0709</v>
      </c>
      <c r="N188" s="108" t="n">
        <v>0.0773</v>
      </c>
      <c r="O188" s="108" t="n">
        <v>0.0837</v>
      </c>
      <c r="P188" s="108" t="n">
        <v>0.0902</v>
      </c>
      <c r="Q188" s="108" t="n">
        <v>0.0966</v>
      </c>
      <c r="R188" s="108" t="n">
        <v>0.1031</v>
      </c>
      <c r="S188" s="108" t="n">
        <v>0.1095</v>
      </c>
      <c r="T188" s="108" t="n">
        <v>0.1159</v>
      </c>
      <c r="U188" s="108" t="n">
        <v>0.1224</v>
      </c>
      <c r="V188" s="108" t="n">
        <v>0.1288</v>
      </c>
      <c r="W188" s="109" t="n">
        <v>0.0555</v>
      </c>
      <c r="X188" s="110" t="n">
        <v>0</v>
      </c>
      <c r="Y188" s="110" t="n">
        <v>0.03</v>
      </c>
      <c r="Z188" s="110" t="n">
        <v>0.05</v>
      </c>
    </row>
    <row r="189" customFormat="false" ht="15.75" hidden="false" customHeight="false" outlineLevel="0" collapsed="false">
      <c r="A189" s="57" t="n">
        <v>187</v>
      </c>
      <c r="B189" s="112" t="n">
        <v>-0.0026</v>
      </c>
      <c r="C189" s="108" t="n">
        <v>0.0024</v>
      </c>
      <c r="D189" s="108" t="n">
        <v>0.0263</v>
      </c>
      <c r="E189" s="108" t="n">
        <v>0.0395</v>
      </c>
      <c r="F189" s="108" t="n">
        <v>0.0527</v>
      </c>
      <c r="G189" s="108" t="n">
        <v>0.0658</v>
      </c>
      <c r="H189" s="108" t="n">
        <v>0.079</v>
      </c>
      <c r="I189" s="108" t="n">
        <v>0.0922</v>
      </c>
      <c r="J189" s="108" t="n">
        <v>0.1053</v>
      </c>
      <c r="K189" s="108" t="n">
        <v>0.1185</v>
      </c>
      <c r="L189" s="108" t="n">
        <v>0.1317</v>
      </c>
      <c r="M189" s="108" t="n">
        <v>0.1448</v>
      </c>
      <c r="N189" s="108" t="n">
        <v>0.158</v>
      </c>
      <c r="O189" s="108" t="n">
        <v>0.1712</v>
      </c>
      <c r="P189" s="108" t="n">
        <v>0.1843</v>
      </c>
      <c r="Q189" s="108" t="n">
        <v>0.1975</v>
      </c>
      <c r="R189" s="108" t="n">
        <v>0.2107</v>
      </c>
      <c r="S189" s="108" t="n">
        <v>0.2238</v>
      </c>
      <c r="T189" s="108" t="n">
        <v>0.237</v>
      </c>
      <c r="U189" s="108" t="n">
        <v>0.2502</v>
      </c>
      <c r="V189" s="108" t="n">
        <v>0.2633</v>
      </c>
      <c r="W189" s="109" t="n">
        <v>0.1165</v>
      </c>
      <c r="X189" s="110" t="n">
        <v>0</v>
      </c>
      <c r="Y189" s="110" t="n">
        <v>0.03</v>
      </c>
      <c r="Z189" s="110" t="n">
        <v>0.05</v>
      </c>
    </row>
    <row r="190" customFormat="false" ht="15.75" hidden="false" customHeight="false" outlineLevel="0" collapsed="false">
      <c r="A190" s="57" t="n">
        <v>188</v>
      </c>
      <c r="B190" s="112" t="n">
        <v>-0.0056</v>
      </c>
      <c r="C190" s="112" t="n">
        <v>-0.0006</v>
      </c>
      <c r="D190" s="108" t="n">
        <v>0.0202</v>
      </c>
      <c r="E190" s="108" t="n">
        <v>0.0303</v>
      </c>
      <c r="F190" s="108" t="n">
        <v>0.0403</v>
      </c>
      <c r="G190" s="108" t="n">
        <v>0.0504</v>
      </c>
      <c r="H190" s="108" t="n">
        <v>0.0605</v>
      </c>
      <c r="I190" s="108" t="n">
        <v>0.0706</v>
      </c>
      <c r="J190" s="108" t="n">
        <v>0.0807</v>
      </c>
      <c r="K190" s="108" t="n">
        <v>0.0908</v>
      </c>
      <c r="L190" s="108" t="n">
        <v>0.1008</v>
      </c>
      <c r="M190" s="108" t="n">
        <v>0.1109</v>
      </c>
      <c r="N190" s="108" t="n">
        <v>0.121</v>
      </c>
      <c r="O190" s="108" t="n">
        <v>0.1311</v>
      </c>
      <c r="P190" s="108" t="n">
        <v>0.1412</v>
      </c>
      <c r="Q190" s="108" t="n">
        <v>0.1513</v>
      </c>
      <c r="R190" s="108" t="n">
        <v>0.1613</v>
      </c>
      <c r="S190" s="108" t="n">
        <v>0.1714</v>
      </c>
      <c r="T190" s="108" t="n">
        <v>0.1815</v>
      </c>
      <c r="U190" s="108" t="n">
        <v>0.1916</v>
      </c>
      <c r="V190" s="108" t="n">
        <v>0.2017</v>
      </c>
      <c r="W190" s="109" t="n">
        <v>0.0216</v>
      </c>
      <c r="X190" s="110" t="n">
        <v>0</v>
      </c>
      <c r="Y190" s="110" t="n">
        <v>0.03</v>
      </c>
      <c r="Z190" s="110" t="n">
        <v>0.05</v>
      </c>
    </row>
    <row r="191" customFormat="false" ht="15.75" hidden="false" customHeight="false" outlineLevel="0" collapsed="false">
      <c r="A191" s="57" t="n">
        <v>189</v>
      </c>
      <c r="B191" s="112" t="n">
        <v>0.0021</v>
      </c>
      <c r="C191" s="108" t="n">
        <v>0.0071</v>
      </c>
      <c r="D191" s="108" t="n">
        <v>0.012</v>
      </c>
      <c r="E191" s="108" t="n">
        <v>0.0181</v>
      </c>
      <c r="F191" s="108" t="n">
        <v>0.0241</v>
      </c>
      <c r="G191" s="108" t="n">
        <v>0.0301</v>
      </c>
      <c r="H191" s="108" t="n">
        <v>0.0362</v>
      </c>
      <c r="I191" s="108" t="n">
        <v>0.0422</v>
      </c>
      <c r="J191" s="108" t="n">
        <v>0.0482</v>
      </c>
      <c r="K191" s="108" t="n">
        <v>0.0542</v>
      </c>
      <c r="L191" s="108" t="n">
        <v>0.0603</v>
      </c>
      <c r="M191" s="108" t="n">
        <v>0.0663</v>
      </c>
      <c r="N191" s="108" t="n">
        <v>0.0723</v>
      </c>
      <c r="O191" s="108" t="n">
        <v>0.0783</v>
      </c>
      <c r="P191" s="108" t="n">
        <v>0.0844</v>
      </c>
      <c r="Q191" s="108" t="n">
        <v>0.0904</v>
      </c>
      <c r="R191" s="108" t="n">
        <v>0.0964</v>
      </c>
      <c r="S191" s="108" t="n">
        <v>0.1024</v>
      </c>
      <c r="T191" s="108" t="n">
        <v>0.1085</v>
      </c>
      <c r="U191" s="108" t="n">
        <v>0.1145</v>
      </c>
      <c r="V191" s="108" t="n">
        <v>0.1205</v>
      </c>
      <c r="W191" s="109" t="n">
        <v>-0.3561</v>
      </c>
      <c r="X191" s="110" t="n">
        <v>0</v>
      </c>
      <c r="Y191" s="110" t="n">
        <v>0.03</v>
      </c>
      <c r="Z191" s="110" t="n">
        <v>0.05</v>
      </c>
    </row>
    <row r="192" customFormat="false" ht="15.75" hidden="false" customHeight="false" outlineLevel="0" collapsed="false">
      <c r="A192" s="57" t="n">
        <v>190</v>
      </c>
      <c r="B192" s="112" t="n">
        <v>-0.0094</v>
      </c>
      <c r="C192" s="112" t="n">
        <v>-0.0044</v>
      </c>
      <c r="D192" s="108" t="n">
        <v>0.0208</v>
      </c>
      <c r="E192" s="108" t="n">
        <v>0.0312</v>
      </c>
      <c r="F192" s="108" t="n">
        <v>0.0417</v>
      </c>
      <c r="G192" s="108" t="n">
        <v>0.0521</v>
      </c>
      <c r="H192" s="108" t="n">
        <v>0.0625</v>
      </c>
      <c r="I192" s="108" t="n">
        <v>0.0729</v>
      </c>
      <c r="J192" s="108" t="n">
        <v>0.0833</v>
      </c>
      <c r="K192" s="108" t="n">
        <v>0.0937</v>
      </c>
      <c r="L192" s="108" t="n">
        <v>0.1042</v>
      </c>
      <c r="M192" s="108" t="n">
        <v>0.1146</v>
      </c>
      <c r="N192" s="108" t="n">
        <v>0.125</v>
      </c>
      <c r="O192" s="108" t="n">
        <v>0.1354</v>
      </c>
      <c r="P192" s="108" t="n">
        <v>0.1458</v>
      </c>
      <c r="Q192" s="108" t="n">
        <v>0.1562</v>
      </c>
      <c r="R192" s="108" t="n">
        <v>0.1667</v>
      </c>
      <c r="S192" s="108" t="n">
        <v>0.1771</v>
      </c>
      <c r="T192" s="108" t="n">
        <v>0.1875</v>
      </c>
      <c r="U192" s="108" t="n">
        <v>0.1979</v>
      </c>
      <c r="V192" s="108" t="n">
        <v>0.2083</v>
      </c>
      <c r="W192" s="109" t="n">
        <v>0.2159</v>
      </c>
      <c r="X192" s="110" t="n">
        <v>0</v>
      </c>
      <c r="Y192" s="110" t="n">
        <v>0.03</v>
      </c>
      <c r="Z192" s="110" t="n">
        <v>0.05</v>
      </c>
    </row>
    <row r="193" customFormat="false" ht="15.75" hidden="false" customHeight="false" outlineLevel="0" collapsed="false">
      <c r="A193" s="57" t="n">
        <v>191</v>
      </c>
      <c r="B193" s="108" t="n">
        <v>0.0047</v>
      </c>
      <c r="C193" s="108" t="n">
        <v>0.0094</v>
      </c>
      <c r="D193" s="108" t="n">
        <v>0.0147</v>
      </c>
      <c r="E193" s="108" t="n">
        <v>0.022</v>
      </c>
      <c r="F193" s="108" t="n">
        <v>0.0293</v>
      </c>
      <c r="G193" s="108" t="n">
        <v>0.0366</v>
      </c>
      <c r="H193" s="108" t="n">
        <v>0.0439</v>
      </c>
      <c r="I193" s="108" t="n">
        <v>0.0513</v>
      </c>
      <c r="J193" s="108" t="n">
        <v>0.0586</v>
      </c>
      <c r="K193" s="108" t="n">
        <v>0.0659</v>
      </c>
      <c r="L193" s="108" t="n">
        <v>0.0732</v>
      </c>
      <c r="M193" s="108" t="n">
        <v>0.0806</v>
      </c>
      <c r="N193" s="108" t="n">
        <v>0.0879</v>
      </c>
      <c r="O193" s="108" t="n">
        <v>0.0952</v>
      </c>
      <c r="P193" s="108" t="n">
        <v>0.1026</v>
      </c>
      <c r="Q193" s="108" t="n">
        <v>0.1099</v>
      </c>
      <c r="R193" s="108" t="n">
        <v>0.1172</v>
      </c>
      <c r="S193" s="108" t="n">
        <v>0.1245</v>
      </c>
      <c r="T193" s="108" t="n">
        <v>0.1318</v>
      </c>
      <c r="U193" s="108" t="n">
        <v>0.1392</v>
      </c>
      <c r="V193" s="108" t="n">
        <v>0.1465</v>
      </c>
      <c r="W193" s="109" t="n">
        <v>0.1226</v>
      </c>
      <c r="X193" s="110" t="n">
        <v>0</v>
      </c>
      <c r="Y193" s="110" t="n">
        <v>0.03</v>
      </c>
      <c r="Z193" s="110" t="n">
        <v>0.05</v>
      </c>
    </row>
    <row r="194" customFormat="false" ht="15.75" hidden="false" customHeight="false" outlineLevel="0" collapsed="false">
      <c r="A194" s="57" t="n">
        <v>192</v>
      </c>
      <c r="B194" s="112" t="n">
        <v>0.0018</v>
      </c>
      <c r="C194" s="108" t="n">
        <v>0.0068</v>
      </c>
      <c r="D194" s="108" t="n">
        <v>0.0118</v>
      </c>
      <c r="E194" s="108" t="n">
        <v>0.0177</v>
      </c>
      <c r="F194" s="108" t="n">
        <v>0.0235</v>
      </c>
      <c r="G194" s="108" t="n">
        <v>0.0294</v>
      </c>
      <c r="H194" s="108" t="n">
        <v>0.0353</v>
      </c>
      <c r="I194" s="108" t="n">
        <v>0.0412</v>
      </c>
      <c r="J194" s="108" t="n">
        <v>0.0471</v>
      </c>
      <c r="K194" s="108" t="n">
        <v>0.053</v>
      </c>
      <c r="L194" s="108" t="n">
        <v>0.0588</v>
      </c>
      <c r="M194" s="108" t="n">
        <v>0.0647</v>
      </c>
      <c r="N194" s="108" t="n">
        <v>0.0706</v>
      </c>
      <c r="O194" s="108" t="n">
        <v>0.0765</v>
      </c>
      <c r="P194" s="108" t="n">
        <v>0.0824</v>
      </c>
      <c r="Q194" s="108" t="n">
        <v>0.0883</v>
      </c>
      <c r="R194" s="108" t="n">
        <v>0.0941</v>
      </c>
      <c r="S194" s="108" t="n">
        <v>0.1</v>
      </c>
      <c r="T194" s="108" t="n">
        <v>0.1059</v>
      </c>
      <c r="U194" s="108" t="n">
        <v>0.1118</v>
      </c>
      <c r="V194" s="108" t="n">
        <v>0.1177</v>
      </c>
      <c r="W194" s="109" t="n">
        <v>0.0041</v>
      </c>
      <c r="X194" s="110" t="n">
        <v>0</v>
      </c>
      <c r="Y194" s="110" t="n">
        <v>0.03</v>
      </c>
      <c r="Z194" s="110" t="n">
        <v>0.05</v>
      </c>
    </row>
    <row r="195" customFormat="false" ht="15.75" hidden="false" customHeight="false" outlineLevel="0" collapsed="false">
      <c r="A195" s="57" t="n">
        <v>193</v>
      </c>
      <c r="B195" s="112" t="n">
        <v>-0.0203</v>
      </c>
      <c r="C195" s="112" t="n">
        <v>-0.0153</v>
      </c>
      <c r="D195" s="112" t="n">
        <v>-0.0163</v>
      </c>
      <c r="E195" s="112" t="n">
        <v>-0.0245</v>
      </c>
      <c r="F195" s="112" t="n">
        <v>-0.0327</v>
      </c>
      <c r="G195" s="112" t="n">
        <v>-0.0408</v>
      </c>
      <c r="H195" s="112" t="n">
        <v>-0.049</v>
      </c>
      <c r="I195" s="112" t="n">
        <v>-0.0572</v>
      </c>
      <c r="J195" s="112" t="n">
        <v>-0.0653</v>
      </c>
      <c r="K195" s="112" t="n">
        <v>-0.0735</v>
      </c>
      <c r="L195" s="112" t="n">
        <v>-0.0817</v>
      </c>
      <c r="M195" s="112" t="n">
        <v>-0.0898</v>
      </c>
      <c r="N195" s="112" t="n">
        <v>-0.098</v>
      </c>
      <c r="O195" s="112" t="n">
        <v>-0.1062</v>
      </c>
      <c r="P195" s="112" t="n">
        <v>-0.1143</v>
      </c>
      <c r="Q195" s="112" t="n">
        <v>-0.1225</v>
      </c>
      <c r="R195" s="112" t="n">
        <v>-0.1307</v>
      </c>
      <c r="S195" s="112" t="n">
        <v>-0.1388</v>
      </c>
      <c r="T195" s="112" t="n">
        <v>-0.147</v>
      </c>
      <c r="U195" s="112" t="n">
        <v>-0.1552</v>
      </c>
      <c r="V195" s="112" t="n">
        <v>-0.1633</v>
      </c>
      <c r="W195" s="109" t="n">
        <v>0.1451</v>
      </c>
      <c r="X195" s="110" t="n">
        <v>0</v>
      </c>
      <c r="Y195" s="110" t="n">
        <v>0.03</v>
      </c>
      <c r="Z195" s="110" t="n">
        <v>0.05</v>
      </c>
    </row>
    <row r="196" customFormat="false" ht="15.75" hidden="false" customHeight="false" outlineLevel="0" collapsed="false">
      <c r="A196" s="57" t="n">
        <v>194</v>
      </c>
      <c r="B196" s="108" t="n">
        <v>0.0126</v>
      </c>
      <c r="C196" s="108" t="n">
        <v>0.0176</v>
      </c>
      <c r="D196" s="108" t="n">
        <v>0.0224</v>
      </c>
      <c r="E196" s="108" t="n">
        <v>0.0336</v>
      </c>
      <c r="F196" s="108" t="n">
        <v>0.0448</v>
      </c>
      <c r="G196" s="108" t="n">
        <v>0.056</v>
      </c>
      <c r="H196" s="108" t="n">
        <v>0.0671</v>
      </c>
      <c r="I196" s="108" t="n">
        <v>0.0783</v>
      </c>
      <c r="J196" s="108" t="n">
        <v>0.0895</v>
      </c>
      <c r="K196" s="108" t="n">
        <v>0.1007</v>
      </c>
      <c r="L196" s="108" t="n">
        <v>0.1119</v>
      </c>
      <c r="M196" s="108" t="n">
        <v>0.1231</v>
      </c>
      <c r="N196" s="108" t="n">
        <v>0.1343</v>
      </c>
      <c r="O196" s="108" t="n">
        <v>0.1455</v>
      </c>
      <c r="P196" s="108" t="n">
        <v>0.1567</v>
      </c>
      <c r="Q196" s="108" t="n">
        <v>0.1679</v>
      </c>
      <c r="R196" s="108" t="n">
        <v>0.1791</v>
      </c>
      <c r="S196" s="108" t="n">
        <v>0.1903</v>
      </c>
      <c r="T196" s="108" t="n">
        <v>0.2014</v>
      </c>
      <c r="U196" s="108" t="n">
        <v>0.2126</v>
      </c>
      <c r="V196" s="108" t="n">
        <v>0.2238</v>
      </c>
      <c r="W196" s="109" t="n">
        <v>0.2527</v>
      </c>
      <c r="X196" s="110" t="n">
        <v>0</v>
      </c>
      <c r="Y196" s="110" t="n">
        <v>0.03</v>
      </c>
      <c r="Z196" s="110" t="n">
        <v>0.05</v>
      </c>
    </row>
    <row r="197" customFormat="false" ht="15.75" hidden="false" customHeight="false" outlineLevel="0" collapsed="false">
      <c r="A197" s="57" t="n">
        <v>195</v>
      </c>
      <c r="B197" s="108" t="n">
        <v>0.0226</v>
      </c>
      <c r="C197" s="108" t="n">
        <v>0.0275</v>
      </c>
      <c r="D197" s="108" t="n">
        <v>0.0326</v>
      </c>
      <c r="E197" s="108" t="n">
        <v>0.0489</v>
      </c>
      <c r="F197" s="108" t="n">
        <v>0.0652</v>
      </c>
      <c r="G197" s="108" t="n">
        <v>0.0815</v>
      </c>
      <c r="H197" s="108" t="n">
        <v>0.0979</v>
      </c>
      <c r="I197" s="108" t="n">
        <v>0.1142</v>
      </c>
      <c r="J197" s="108" t="n">
        <v>0.1305</v>
      </c>
      <c r="K197" s="108" t="n">
        <v>0.1468</v>
      </c>
      <c r="L197" s="108" t="n">
        <v>0.1631</v>
      </c>
      <c r="M197" s="108" t="n">
        <v>0.1794</v>
      </c>
      <c r="N197" s="108" t="n">
        <v>0.1957</v>
      </c>
      <c r="O197" s="108" t="n">
        <v>0.212</v>
      </c>
      <c r="P197" s="108" t="n">
        <v>0.2283</v>
      </c>
      <c r="Q197" s="108" t="n">
        <v>0.2446</v>
      </c>
      <c r="R197" s="108" t="n">
        <v>0.2609</v>
      </c>
      <c r="S197" s="108" t="n">
        <v>0.2772</v>
      </c>
      <c r="T197" s="108" t="n">
        <v>0.2936</v>
      </c>
      <c r="U197" s="108" t="n">
        <v>0.3099</v>
      </c>
      <c r="V197" s="108" t="n">
        <v>0.3262</v>
      </c>
      <c r="W197" s="109" t="n">
        <v>0.1239</v>
      </c>
      <c r="X197" s="110" t="n">
        <v>0</v>
      </c>
      <c r="Y197" s="110" t="n">
        <v>0.03</v>
      </c>
      <c r="Z197" s="110" t="n">
        <v>0.05</v>
      </c>
    </row>
    <row r="198" customFormat="false" ht="15.75" hidden="false" customHeight="false" outlineLevel="0" collapsed="false">
      <c r="A198" s="57" t="n">
        <v>196</v>
      </c>
      <c r="B198" s="112" t="n">
        <v>0.0066</v>
      </c>
      <c r="C198" s="108" t="n">
        <v>0.0116</v>
      </c>
      <c r="D198" s="108" t="n">
        <v>0.0166</v>
      </c>
      <c r="E198" s="108" t="n">
        <v>0.0249</v>
      </c>
      <c r="F198" s="108" t="n">
        <v>0.0331</v>
      </c>
      <c r="G198" s="108" t="n">
        <v>0.0414</v>
      </c>
      <c r="H198" s="108" t="n">
        <v>0.0497</v>
      </c>
      <c r="I198" s="108" t="n">
        <v>0.058</v>
      </c>
      <c r="J198" s="108" t="n">
        <v>0.0663</v>
      </c>
      <c r="K198" s="108" t="n">
        <v>0.0746</v>
      </c>
      <c r="L198" s="108" t="n">
        <v>0.0828</v>
      </c>
      <c r="M198" s="108" t="n">
        <v>0.0911</v>
      </c>
      <c r="N198" s="108" t="n">
        <v>0.0994</v>
      </c>
      <c r="O198" s="108" t="n">
        <v>0.1077</v>
      </c>
      <c r="P198" s="108" t="n">
        <v>0.116</v>
      </c>
      <c r="Q198" s="108" t="n">
        <v>0.1243</v>
      </c>
      <c r="R198" s="108" t="n">
        <v>0.1325</v>
      </c>
      <c r="S198" s="108" t="n">
        <v>0.1408</v>
      </c>
      <c r="T198" s="108" t="n">
        <v>0.1491</v>
      </c>
      <c r="U198" s="108" t="n">
        <v>0.1574</v>
      </c>
      <c r="V198" s="108" t="n">
        <v>0.1657</v>
      </c>
      <c r="W198" s="109" t="n">
        <v>0.2467</v>
      </c>
      <c r="X198" s="110" t="n">
        <v>0</v>
      </c>
      <c r="Y198" s="110" t="n">
        <v>0.03</v>
      </c>
      <c r="Z198" s="110" t="n">
        <v>0.05</v>
      </c>
    </row>
    <row r="199" customFormat="false" ht="15.75" hidden="false" customHeight="false" outlineLevel="0" collapsed="false">
      <c r="A199" s="57" t="n">
        <v>197</v>
      </c>
      <c r="B199" s="112" t="n">
        <v>-0.0171</v>
      </c>
      <c r="C199" s="112" t="n">
        <v>-0.0121</v>
      </c>
      <c r="D199" s="112" t="n">
        <v>-0.0071</v>
      </c>
      <c r="E199" s="112" t="n">
        <v>-0.0106</v>
      </c>
      <c r="F199" s="112" t="n">
        <v>-0.0142</v>
      </c>
      <c r="G199" s="112" t="n">
        <v>-0.0177</v>
      </c>
      <c r="H199" s="112" t="n">
        <v>-0.0212</v>
      </c>
      <c r="I199" s="112" t="n">
        <v>-0.0248</v>
      </c>
      <c r="J199" s="112" t="n">
        <v>-0.0283</v>
      </c>
      <c r="K199" s="112" t="n">
        <v>-0.0319</v>
      </c>
      <c r="L199" s="112" t="n">
        <v>-0.0354</v>
      </c>
      <c r="M199" s="112" t="n">
        <v>-0.039</v>
      </c>
      <c r="N199" s="112" t="n">
        <v>-0.0425</v>
      </c>
      <c r="O199" s="112" t="n">
        <v>-0.046</v>
      </c>
      <c r="P199" s="112" t="n">
        <v>-0.0496</v>
      </c>
      <c r="Q199" s="112" t="n">
        <v>-0.0531</v>
      </c>
      <c r="R199" s="112" t="n">
        <v>-0.0567</v>
      </c>
      <c r="S199" s="112" t="n">
        <v>-0.0602</v>
      </c>
      <c r="T199" s="112" t="n">
        <v>-0.0637</v>
      </c>
      <c r="U199" s="112" t="n">
        <v>-0.0673</v>
      </c>
      <c r="V199" s="112" t="n">
        <v>-0.0708</v>
      </c>
      <c r="W199" s="109" t="n">
        <v>0.1459</v>
      </c>
      <c r="X199" s="110" t="n">
        <v>0</v>
      </c>
      <c r="Y199" s="110" t="n">
        <v>0.03</v>
      </c>
      <c r="Z199" s="110" t="n">
        <v>0.05</v>
      </c>
    </row>
    <row r="200" customFormat="false" ht="15.75" hidden="false" customHeight="false" outlineLevel="0" collapsed="false">
      <c r="A200" s="57" t="n">
        <v>198</v>
      </c>
      <c r="B200" s="108" t="n">
        <v>0.0104</v>
      </c>
      <c r="C200" s="108" t="n">
        <v>0.0154</v>
      </c>
      <c r="D200" s="108" t="n">
        <v>0.0204</v>
      </c>
      <c r="E200" s="108" t="n">
        <v>0.0306</v>
      </c>
      <c r="F200" s="108" t="n">
        <v>0.0408</v>
      </c>
      <c r="G200" s="108" t="n">
        <v>0.051</v>
      </c>
      <c r="H200" s="108" t="n">
        <v>0.0611</v>
      </c>
      <c r="I200" s="108" t="n">
        <v>0.0713</v>
      </c>
      <c r="J200" s="108" t="n">
        <v>0.0815</v>
      </c>
      <c r="K200" s="108" t="n">
        <v>0.0917</v>
      </c>
      <c r="L200" s="108" t="n">
        <v>0.1019</v>
      </c>
      <c r="M200" s="108" t="n">
        <v>0.1121</v>
      </c>
      <c r="N200" s="108" t="n">
        <v>0.1223</v>
      </c>
      <c r="O200" s="108" t="n">
        <v>0.1325</v>
      </c>
      <c r="P200" s="108" t="n">
        <v>0.1427</v>
      </c>
      <c r="Q200" s="108" t="n">
        <v>0.1529</v>
      </c>
      <c r="R200" s="108" t="n">
        <v>0.1631</v>
      </c>
      <c r="S200" s="108" t="n">
        <v>0.1733</v>
      </c>
      <c r="T200" s="108" t="n">
        <v>0.1834</v>
      </c>
      <c r="U200" s="108" t="n">
        <v>0.1936</v>
      </c>
      <c r="V200" s="108" t="n">
        <v>0.2038</v>
      </c>
      <c r="W200" s="109" t="n">
        <v>0.1151</v>
      </c>
      <c r="X200" s="110" t="n">
        <v>0</v>
      </c>
      <c r="Y200" s="110" t="n">
        <v>0.03</v>
      </c>
      <c r="Z200" s="110" t="n">
        <v>0.05</v>
      </c>
    </row>
    <row r="201" customFormat="false" ht="15.75" hidden="false" customHeight="false" outlineLevel="0" collapsed="false">
      <c r="A201" s="57" t="n">
        <v>199</v>
      </c>
      <c r="B201" s="112" t="n">
        <v>0.024</v>
      </c>
      <c r="C201" s="108" t="n">
        <v>0.029</v>
      </c>
      <c r="D201" s="108" t="n">
        <v>0.034</v>
      </c>
      <c r="E201" s="108" t="n">
        <v>0.0509</v>
      </c>
      <c r="F201" s="108" t="n">
        <v>0.0679</v>
      </c>
      <c r="G201" s="108" t="n">
        <v>0.0849</v>
      </c>
      <c r="H201" s="108" t="n">
        <v>0.1019</v>
      </c>
      <c r="I201" s="108" t="n">
        <v>0.1188</v>
      </c>
      <c r="J201" s="108" t="n">
        <v>0.1358</v>
      </c>
      <c r="K201" s="108" t="n">
        <v>0.1528</v>
      </c>
      <c r="L201" s="108" t="n">
        <v>0.1698</v>
      </c>
      <c r="M201" s="108" t="n">
        <v>0.1867</v>
      </c>
      <c r="N201" s="108" t="n">
        <v>0.2037</v>
      </c>
      <c r="O201" s="108" t="n">
        <v>0.2207</v>
      </c>
      <c r="P201" s="108" t="n">
        <v>0.2377</v>
      </c>
      <c r="Q201" s="108" t="n">
        <v>0.2546</v>
      </c>
      <c r="R201" s="108" t="n">
        <v>0.2716</v>
      </c>
      <c r="S201" s="108" t="n">
        <v>0.2886</v>
      </c>
      <c r="T201" s="108" t="n">
        <v>0.3055</v>
      </c>
      <c r="U201" s="108" t="n">
        <v>0.3225</v>
      </c>
      <c r="V201" s="108" t="n">
        <v>0.3395</v>
      </c>
      <c r="W201" s="109" t="n">
        <v>-0.0599</v>
      </c>
      <c r="X201" s="110" t="n">
        <v>0</v>
      </c>
      <c r="Y201" s="110" t="n">
        <v>0.03</v>
      </c>
      <c r="Z201" s="110" t="n">
        <v>0.05</v>
      </c>
    </row>
    <row r="202" customFormat="false" ht="15.75" hidden="false" customHeight="false" outlineLevel="0" collapsed="false">
      <c r="A202" s="57" t="n">
        <v>200</v>
      </c>
      <c r="B202" s="112" t="n">
        <v>-0.0152</v>
      </c>
      <c r="C202" s="112" t="n">
        <v>-0.0102</v>
      </c>
      <c r="D202" s="112" t="n">
        <v>-0.0051</v>
      </c>
      <c r="E202" s="112" t="n">
        <v>-0.0077</v>
      </c>
      <c r="F202" s="112" t="n">
        <v>-0.0103</v>
      </c>
      <c r="G202" s="112" t="n">
        <v>-0.0129</v>
      </c>
      <c r="H202" s="112" t="n">
        <v>-0.0154</v>
      </c>
      <c r="I202" s="112" t="n">
        <v>-0.018</v>
      </c>
      <c r="J202" s="112" t="n">
        <v>-0.0206</v>
      </c>
      <c r="K202" s="112" t="n">
        <v>-0.0232</v>
      </c>
      <c r="L202" s="112" t="n">
        <v>-0.0257</v>
      </c>
      <c r="M202" s="112" t="n">
        <v>-0.0283</v>
      </c>
      <c r="N202" s="112" t="n">
        <v>-0.0309</v>
      </c>
      <c r="O202" s="112" t="n">
        <v>-0.0335</v>
      </c>
      <c r="P202" s="112" t="n">
        <v>-0.036</v>
      </c>
      <c r="Q202" s="112" t="n">
        <v>-0.0386</v>
      </c>
      <c r="R202" s="112" t="n">
        <v>-0.0412</v>
      </c>
      <c r="S202" s="112" t="n">
        <v>-0.0438</v>
      </c>
      <c r="T202" s="112" t="n">
        <v>-0.0463</v>
      </c>
      <c r="U202" s="112" t="n">
        <v>-0.0489</v>
      </c>
      <c r="V202" s="112" t="n">
        <v>-0.0515</v>
      </c>
      <c r="W202" s="109" t="n">
        <v>0.4729</v>
      </c>
      <c r="X202" s="110" t="n">
        <v>0</v>
      </c>
      <c r="Y202" s="110" t="n">
        <v>0.03</v>
      </c>
      <c r="Z202" s="110" t="n">
        <v>0.05</v>
      </c>
    </row>
    <row r="203" customFormat="false" ht="15.75" hidden="false" customHeight="false" outlineLevel="0" collapsed="false">
      <c r="A203" s="113"/>
      <c r="B203" s="114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6"/>
    </row>
    <row r="204" customFormat="false" ht="15.75" hidden="false" customHeight="false" outlineLevel="0" collapsed="false">
      <c r="A204" s="113"/>
      <c r="B204" s="114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6"/>
    </row>
    <row r="205" customFormat="false" ht="15.75" hidden="false" customHeight="false" outlineLevel="0" collapsed="false">
      <c r="A205" s="113"/>
      <c r="B205" s="114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6"/>
    </row>
    <row r="206" customFormat="false" ht="15.75" hidden="false" customHeight="false" outlineLevel="0" collapsed="false">
      <c r="A206" s="57" t="s">
        <v>110</v>
      </c>
      <c r="B206" s="108" t="n">
        <v>0</v>
      </c>
      <c r="C206" s="108" t="n">
        <v>0.005</v>
      </c>
      <c r="D206" s="108" t="n">
        <v>0.01</v>
      </c>
      <c r="E206" s="108" t="n">
        <v>0.015</v>
      </c>
      <c r="F206" s="108" t="n">
        <v>0.02</v>
      </c>
      <c r="G206" s="108" t="n">
        <v>0.025</v>
      </c>
      <c r="H206" s="108" t="n">
        <v>0.03</v>
      </c>
      <c r="I206" s="108" t="n">
        <v>0.035</v>
      </c>
      <c r="J206" s="108" t="n">
        <v>0.04</v>
      </c>
      <c r="K206" s="108" t="n">
        <v>0.045</v>
      </c>
      <c r="L206" s="108" t="n">
        <v>0.05</v>
      </c>
      <c r="M206" s="108" t="n">
        <v>0.055</v>
      </c>
      <c r="N206" s="108" t="n">
        <v>0.06</v>
      </c>
      <c r="O206" s="108" t="n">
        <v>0.065</v>
      </c>
      <c r="P206" s="108" t="n">
        <v>0.07</v>
      </c>
      <c r="Q206" s="108" t="n">
        <v>0.075</v>
      </c>
      <c r="R206" s="108" t="n">
        <v>0.08</v>
      </c>
      <c r="S206" s="108" t="n">
        <v>0.085</v>
      </c>
      <c r="T206" s="108" t="n">
        <v>0.09</v>
      </c>
      <c r="U206" s="108" t="n">
        <v>0.095</v>
      </c>
      <c r="V206" s="108" t="n">
        <v>0.1</v>
      </c>
      <c r="W206" s="108" t="n">
        <v>0.0868</v>
      </c>
      <c r="X206" s="108" t="n">
        <v>0</v>
      </c>
      <c r="Y206" s="108" t="n">
        <v>0.03</v>
      </c>
      <c r="Z206" s="108" t="n">
        <v>0.05</v>
      </c>
    </row>
    <row r="207" customFormat="false" ht="15.75" hidden="false" customHeight="false" outlineLevel="0" collapsed="false">
      <c r="A207" s="57" t="s">
        <v>111</v>
      </c>
      <c r="B207" s="108" t="n">
        <v>0.0134</v>
      </c>
      <c r="C207" s="108" t="n">
        <v>0.0133</v>
      </c>
      <c r="D207" s="108" t="n">
        <v>0.0141</v>
      </c>
      <c r="E207" s="108" t="n">
        <v>0.0211</v>
      </c>
      <c r="F207" s="108" t="n">
        <v>0.0281</v>
      </c>
      <c r="G207" s="108" t="n">
        <v>0.0352</v>
      </c>
      <c r="H207" s="108" t="n">
        <v>0.0422</v>
      </c>
      <c r="I207" s="108" t="n">
        <v>0.0492</v>
      </c>
      <c r="J207" s="108" t="n">
        <v>0.0563</v>
      </c>
      <c r="K207" s="108" t="n">
        <v>0.0633</v>
      </c>
      <c r="L207" s="108" t="n">
        <v>0.0703</v>
      </c>
      <c r="M207" s="108" t="n">
        <v>0.0773</v>
      </c>
      <c r="N207" s="108" t="n">
        <v>0.0844</v>
      </c>
      <c r="O207" s="108" t="n">
        <v>0.0914</v>
      </c>
      <c r="P207" s="108" t="n">
        <v>0.0984</v>
      </c>
      <c r="Q207" s="108" t="n">
        <v>0.1055</v>
      </c>
      <c r="R207" s="108" t="n">
        <v>0.1125</v>
      </c>
      <c r="S207" s="108" t="n">
        <v>0.1195</v>
      </c>
      <c r="T207" s="108" t="n">
        <v>0.1266</v>
      </c>
      <c r="U207" s="108" t="n">
        <v>0.1336</v>
      </c>
      <c r="V207" s="108" t="n">
        <v>0.1406</v>
      </c>
      <c r="W207" s="108" t="n">
        <v>0.1654</v>
      </c>
      <c r="X207" s="108" t="n">
        <v>0</v>
      </c>
      <c r="Y207" s="108" t="n">
        <v>0</v>
      </c>
      <c r="Z207" s="108" t="n">
        <v>0</v>
      </c>
    </row>
    <row r="208" customFormat="false" ht="15.75" hidden="false" customHeight="false" outlineLevel="0" collapsed="false">
      <c r="A208" s="57" t="s">
        <v>112</v>
      </c>
      <c r="B208" s="108" t="n">
        <v>0.0291</v>
      </c>
      <c r="C208" s="108" t="n">
        <v>0.0341</v>
      </c>
      <c r="D208" s="108" t="n">
        <v>0.0348</v>
      </c>
      <c r="E208" s="108" t="n">
        <v>0.0522</v>
      </c>
      <c r="F208" s="108" t="n">
        <v>0.0695</v>
      </c>
      <c r="G208" s="108" t="n">
        <v>0.0869</v>
      </c>
      <c r="H208" s="108" t="n">
        <v>0.1043</v>
      </c>
      <c r="I208" s="108" t="n">
        <v>0.1217</v>
      </c>
      <c r="J208" s="108" t="n">
        <v>0.1391</v>
      </c>
      <c r="K208" s="108" t="n">
        <v>0.1565</v>
      </c>
      <c r="L208" s="108" t="n">
        <v>0.1738</v>
      </c>
      <c r="M208" s="108" t="n">
        <v>0.1912</v>
      </c>
      <c r="N208" s="108" t="n">
        <v>0.2086</v>
      </c>
      <c r="O208" s="108" t="n">
        <v>0.226</v>
      </c>
      <c r="P208" s="108" t="n">
        <v>0.2434</v>
      </c>
      <c r="Q208" s="108" t="n">
        <v>0.2608</v>
      </c>
      <c r="R208" s="108" t="n">
        <v>0.2781</v>
      </c>
      <c r="S208" s="108" t="n">
        <v>0.2955</v>
      </c>
      <c r="T208" s="108" t="n">
        <v>0.3129</v>
      </c>
      <c r="U208" s="108" t="n">
        <v>0.3303</v>
      </c>
      <c r="V208" s="108" t="n">
        <v>0.3477</v>
      </c>
      <c r="W208" s="108" t="n">
        <v>0.4729</v>
      </c>
      <c r="X208" s="108" t="n">
        <v>0</v>
      </c>
      <c r="Y208" s="108" t="n">
        <v>0.03</v>
      </c>
      <c r="Z208" s="108" t="n">
        <v>0.05</v>
      </c>
    </row>
    <row r="209" customFormat="false" ht="15.75" hidden="false" customHeight="false" outlineLevel="0" collapsed="false">
      <c r="A209" s="57" t="s">
        <v>113</v>
      </c>
      <c r="B209" s="108" t="n">
        <v>0.0006</v>
      </c>
      <c r="C209" s="108" t="n">
        <v>0.0056</v>
      </c>
      <c r="D209" s="108" t="n">
        <v>0.013</v>
      </c>
      <c r="E209" s="108" t="n">
        <v>0.0194</v>
      </c>
      <c r="F209" s="108" t="n">
        <v>0.0259</v>
      </c>
      <c r="G209" s="108" t="n">
        <v>0.0324</v>
      </c>
      <c r="H209" s="108" t="n">
        <v>0.0388</v>
      </c>
      <c r="I209" s="108" t="n">
        <v>0.0453</v>
      </c>
      <c r="J209" s="108" t="n">
        <v>0.0518</v>
      </c>
      <c r="K209" s="108" t="n">
        <v>0.0583</v>
      </c>
      <c r="L209" s="108" t="n">
        <v>0.0647</v>
      </c>
      <c r="M209" s="108" t="n">
        <v>0.0712</v>
      </c>
      <c r="N209" s="108" t="n">
        <v>0.0777</v>
      </c>
      <c r="O209" s="108" t="n">
        <v>0.0841</v>
      </c>
      <c r="P209" s="108" t="n">
        <v>0.0906</v>
      </c>
      <c r="Q209" s="108" t="n">
        <v>0.0971</v>
      </c>
      <c r="R209" s="108" t="n">
        <v>0.1036</v>
      </c>
      <c r="S209" s="108" t="n">
        <v>0.11</v>
      </c>
      <c r="T209" s="108" t="n">
        <v>0.1165</v>
      </c>
      <c r="U209" s="108" t="n">
        <v>0.123</v>
      </c>
      <c r="V209" s="108" t="n">
        <v>0.1294</v>
      </c>
      <c r="W209" s="108" t="n">
        <v>0.1048</v>
      </c>
      <c r="X209" s="108" t="n">
        <v>0</v>
      </c>
      <c r="Y209" s="108" t="n">
        <v>0.03</v>
      </c>
      <c r="Z209" s="108" t="n">
        <v>0.05</v>
      </c>
    </row>
    <row r="210" customFormat="false" ht="15.75" hidden="false" customHeight="false" outlineLevel="0" collapsed="false">
      <c r="A210" s="57" t="s">
        <v>114</v>
      </c>
      <c r="B210" s="108" t="n">
        <v>-0.0396</v>
      </c>
      <c r="C210" s="108" t="n">
        <v>-0.0346</v>
      </c>
      <c r="D210" s="108" t="n">
        <v>-0.0422</v>
      </c>
      <c r="E210" s="108" t="n">
        <v>-0.0633</v>
      </c>
      <c r="F210" s="108" t="n">
        <v>-0.0843</v>
      </c>
      <c r="G210" s="108" t="n">
        <v>-0.1054</v>
      </c>
      <c r="H210" s="108" t="n">
        <v>-0.1265</v>
      </c>
      <c r="I210" s="108" t="n">
        <v>-0.1476</v>
      </c>
      <c r="J210" s="108" t="n">
        <v>-0.1687</v>
      </c>
      <c r="K210" s="108" t="n">
        <v>-0.1898</v>
      </c>
      <c r="L210" s="108" t="n">
        <v>-0.2108</v>
      </c>
      <c r="M210" s="108" t="n">
        <v>-0.2319</v>
      </c>
      <c r="N210" s="108" t="n">
        <v>-0.253</v>
      </c>
      <c r="O210" s="108" t="n">
        <v>-0.2741</v>
      </c>
      <c r="P210" s="108" t="n">
        <v>-0.2952</v>
      </c>
      <c r="Q210" s="108" t="n">
        <v>-0.3163</v>
      </c>
      <c r="R210" s="108" t="n">
        <v>-0.3373</v>
      </c>
      <c r="S210" s="108" t="n">
        <v>-0.3584</v>
      </c>
      <c r="T210" s="108" t="n">
        <v>-0.3795</v>
      </c>
      <c r="U210" s="108" t="n">
        <v>-0.4006</v>
      </c>
      <c r="V210" s="108" t="n">
        <v>-0.4217</v>
      </c>
      <c r="W210" s="108" t="n">
        <v>-0.3561</v>
      </c>
      <c r="X210" s="108" t="n">
        <v>0</v>
      </c>
      <c r="Y210" s="108" t="n">
        <v>0.03</v>
      </c>
      <c r="Z210" s="108" t="n">
        <v>0.05</v>
      </c>
    </row>
    <row r="211" customFormat="false" ht="15.75" hidden="false" customHeight="false" outlineLevel="0" collapsed="false">
      <c r="A211" s="113" t="s">
        <v>115</v>
      </c>
      <c r="B211" s="114" t="n">
        <v>-2</v>
      </c>
      <c r="C211" s="115" t="n">
        <v>-1</v>
      </c>
      <c r="D211" s="115" t="n">
        <v>0</v>
      </c>
      <c r="E211" s="115" t="n">
        <v>1</v>
      </c>
      <c r="F211" s="115" t="n">
        <v>2</v>
      </c>
      <c r="G211" s="115" t="n">
        <v>3</v>
      </c>
      <c r="H211" s="115" t="n">
        <v>4</v>
      </c>
      <c r="I211" s="115" t="n">
        <v>5</v>
      </c>
      <c r="J211" s="115" t="n">
        <v>6</v>
      </c>
      <c r="K211" s="115" t="n">
        <v>7</v>
      </c>
      <c r="L211" s="115" t="n">
        <v>8</v>
      </c>
      <c r="M211" s="115" t="n">
        <v>9</v>
      </c>
      <c r="N211" s="115" t="n">
        <v>10</v>
      </c>
      <c r="O211" s="115" t="n">
        <v>11</v>
      </c>
      <c r="P211" s="115" t="n">
        <v>12</v>
      </c>
      <c r="Q211" s="115" t="n">
        <v>13</v>
      </c>
      <c r="R211" s="115" t="n">
        <v>14</v>
      </c>
      <c r="S211" s="115" t="n">
        <v>15</v>
      </c>
      <c r="T211" s="115" t="n">
        <v>16</v>
      </c>
      <c r="U211" s="115" t="n">
        <v>17</v>
      </c>
      <c r="V211" s="115"/>
      <c r="W211" s="115"/>
      <c r="X211" s="115"/>
      <c r="Y211" s="117"/>
      <c r="Z211" s="117"/>
    </row>
    <row r="212" customFormat="false" ht="15.75" hidden="false" customHeight="false" outlineLevel="0" collapsed="false">
      <c r="A212" s="113"/>
      <c r="B212" s="114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6"/>
    </row>
    <row r="213" customFormat="false" ht="15.75" hidden="false" customHeight="false" outlineLevel="0" collapsed="false">
      <c r="A213" s="113"/>
      <c r="B213" s="114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6"/>
    </row>
    <row r="214" customFormat="false" ht="15.75" hidden="false" customHeight="false" outlineLevel="0" collapsed="false">
      <c r="A214" s="113"/>
      <c r="B214" s="114"/>
      <c r="C214" s="115" t="n">
        <v>35</v>
      </c>
      <c r="D214" s="115" t="n">
        <v>17</v>
      </c>
      <c r="E214" s="115" t="n">
        <v>17</v>
      </c>
      <c r="F214" s="115" t="n">
        <v>17</v>
      </c>
      <c r="G214" s="115" t="n">
        <v>17</v>
      </c>
      <c r="H214" s="115" t="n">
        <v>17</v>
      </c>
      <c r="I214" s="115" t="n">
        <v>17</v>
      </c>
      <c r="J214" s="115" t="n">
        <v>17</v>
      </c>
      <c r="K214" s="115" t="n">
        <v>17</v>
      </c>
      <c r="L214" s="115" t="n">
        <v>17</v>
      </c>
      <c r="M214" s="115" t="n">
        <v>17</v>
      </c>
      <c r="N214" s="115" t="n">
        <v>17</v>
      </c>
      <c r="O214" s="115" t="n">
        <v>17</v>
      </c>
      <c r="P214" s="115" t="n">
        <v>17</v>
      </c>
      <c r="Q214" s="115" t="n">
        <v>17</v>
      </c>
      <c r="R214" s="115" t="n">
        <v>17</v>
      </c>
      <c r="S214" s="115" t="n">
        <v>17</v>
      </c>
      <c r="T214" s="115" t="n">
        <v>17</v>
      </c>
      <c r="U214" s="115" t="n">
        <v>17</v>
      </c>
      <c r="V214" s="115" t="n">
        <v>17</v>
      </c>
      <c r="W214" s="115"/>
      <c r="X214" s="118" t="s">
        <v>116</v>
      </c>
      <c r="Y214" s="115"/>
      <c r="Z214" s="116"/>
    </row>
    <row r="215" customFormat="false" ht="15.75" hidden="false" customHeight="false" outlineLevel="0" collapsed="false">
      <c r="A215" s="113"/>
      <c r="B215" s="114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6"/>
    </row>
    <row r="216" customFormat="false" ht="15.75" hidden="false" customHeight="false" outlineLevel="0" collapsed="false">
      <c r="A216" s="113"/>
      <c r="B216" s="114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6"/>
    </row>
    <row r="217" customFormat="false" ht="15.75" hidden="false" customHeight="false" outlineLevel="0" collapsed="false">
      <c r="A217" s="113"/>
      <c r="B217" s="114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6"/>
    </row>
    <row r="218" customFormat="false" ht="15.75" hidden="false" customHeight="false" outlineLevel="0" collapsed="false">
      <c r="A218" s="113"/>
      <c r="B218" s="114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6"/>
    </row>
    <row r="219" customFormat="false" ht="15.75" hidden="false" customHeight="false" outlineLevel="0" collapsed="false">
      <c r="A219" s="113"/>
      <c r="B219" s="114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6"/>
    </row>
    <row r="220" customFormat="false" ht="15.75" hidden="false" customHeight="false" outlineLevel="0" collapsed="false">
      <c r="A220" s="113"/>
      <c r="B220" s="114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6"/>
    </row>
    <row r="221" customFormat="false" ht="15.75" hidden="false" customHeight="false" outlineLevel="0" collapsed="false">
      <c r="A221" s="113"/>
      <c r="B221" s="114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6"/>
    </row>
    <row r="222" customFormat="false" ht="15.75" hidden="false" customHeight="false" outlineLevel="0" collapsed="false">
      <c r="A222" s="113"/>
      <c r="B222" s="114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6"/>
    </row>
    <row r="223" customFormat="false" ht="15.75" hidden="false" customHeight="false" outlineLevel="0" collapsed="false">
      <c r="A223" s="113"/>
      <c r="B223" s="114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6"/>
    </row>
    <row r="224" customFormat="false" ht="15.75" hidden="false" customHeight="false" outlineLevel="0" collapsed="false">
      <c r="A224" s="113"/>
      <c r="B224" s="114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6"/>
    </row>
    <row r="225" customFormat="false" ht="15.75" hidden="false" customHeight="false" outlineLevel="0" collapsed="false">
      <c r="A225" s="113"/>
      <c r="B225" s="114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6"/>
    </row>
    <row r="226" customFormat="false" ht="15.75" hidden="false" customHeight="false" outlineLevel="0" collapsed="false">
      <c r="A226" s="113"/>
      <c r="B226" s="114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6"/>
    </row>
    <row r="227" customFormat="false" ht="15.75" hidden="false" customHeight="false" outlineLevel="0" collapsed="false">
      <c r="A227" s="113"/>
      <c r="B227" s="114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6"/>
    </row>
    <row r="228" customFormat="false" ht="15.75" hidden="false" customHeight="false" outlineLevel="0" collapsed="false">
      <c r="A228" s="113"/>
      <c r="B228" s="114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6"/>
    </row>
    <row r="229" customFormat="false" ht="15.75" hidden="false" customHeight="false" outlineLevel="0" collapsed="false">
      <c r="A229" s="113"/>
      <c r="B229" s="114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6"/>
    </row>
    <row r="230" customFormat="false" ht="15.75" hidden="false" customHeight="false" outlineLevel="0" collapsed="false">
      <c r="A230" s="113"/>
      <c r="B230" s="114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6"/>
    </row>
    <row r="231" customFormat="false" ht="15.75" hidden="false" customHeight="false" outlineLevel="0" collapsed="false">
      <c r="A231" s="113"/>
      <c r="B231" s="114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6"/>
    </row>
    <row r="232" customFormat="false" ht="15.75" hidden="false" customHeight="false" outlineLevel="0" collapsed="false">
      <c r="A232" s="113"/>
      <c r="B232" s="114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6"/>
    </row>
    <row r="233" customFormat="false" ht="15.75" hidden="false" customHeight="false" outlineLevel="0" collapsed="false">
      <c r="A233" s="113"/>
      <c r="B233" s="114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6"/>
    </row>
    <row r="234" customFormat="false" ht="15.75" hidden="false" customHeight="false" outlineLevel="0" collapsed="false">
      <c r="A234" s="113"/>
      <c r="B234" s="114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6"/>
    </row>
    <row r="235" customFormat="false" ht="15.75" hidden="false" customHeight="false" outlineLevel="0" collapsed="false">
      <c r="A235" s="113"/>
      <c r="B235" s="114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6"/>
    </row>
    <row r="236" customFormat="false" ht="15.75" hidden="false" customHeight="false" outlineLevel="0" collapsed="false">
      <c r="A236" s="113"/>
      <c r="B236" s="114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6"/>
    </row>
    <row r="237" customFormat="false" ht="15.75" hidden="false" customHeight="false" outlineLevel="0" collapsed="false">
      <c r="A237" s="113"/>
      <c r="B237" s="114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6"/>
    </row>
    <row r="238" customFormat="false" ht="15.75" hidden="false" customHeight="false" outlineLevel="0" collapsed="false">
      <c r="A238" s="113"/>
      <c r="B238" s="114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6"/>
    </row>
    <row r="239" customFormat="false" ht="15.75" hidden="false" customHeight="false" outlineLevel="0" collapsed="false">
      <c r="A239" s="113"/>
      <c r="B239" s="114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6"/>
    </row>
    <row r="240" customFormat="false" ht="15.75" hidden="false" customHeight="false" outlineLevel="0" collapsed="false">
      <c r="A240" s="113"/>
      <c r="B240" s="114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6"/>
    </row>
    <row r="241" customFormat="false" ht="15.75" hidden="false" customHeight="false" outlineLevel="0" collapsed="false">
      <c r="A241" s="113"/>
      <c r="B241" s="114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6"/>
    </row>
    <row r="242" customFormat="false" ht="15.75" hidden="false" customHeight="false" outlineLevel="0" collapsed="false">
      <c r="A242" s="113"/>
      <c r="B242" s="114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6"/>
    </row>
    <row r="243" customFormat="false" ht="15.75" hidden="false" customHeight="false" outlineLevel="0" collapsed="false">
      <c r="A243" s="113"/>
      <c r="B243" s="114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6"/>
    </row>
    <row r="244" customFormat="false" ht="15.75" hidden="false" customHeight="false" outlineLevel="0" collapsed="false">
      <c r="A244" s="113"/>
      <c r="B244" s="114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6"/>
    </row>
    <row r="245" customFormat="false" ht="15.75" hidden="false" customHeight="false" outlineLevel="0" collapsed="false">
      <c r="A245" s="113"/>
      <c r="B245" s="114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6"/>
    </row>
    <row r="246" customFormat="false" ht="15.75" hidden="false" customHeight="false" outlineLevel="0" collapsed="false">
      <c r="A246" s="113"/>
      <c r="B246" s="114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6"/>
    </row>
    <row r="247" customFormat="false" ht="15.75" hidden="false" customHeight="false" outlineLevel="0" collapsed="false">
      <c r="A247" s="113"/>
      <c r="B247" s="114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6"/>
    </row>
    <row r="248" customFormat="false" ht="15.75" hidden="false" customHeight="false" outlineLevel="0" collapsed="false">
      <c r="A248" s="113"/>
      <c r="B248" s="114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6"/>
    </row>
    <row r="249" customFormat="false" ht="15.75" hidden="false" customHeight="false" outlineLevel="0" collapsed="false">
      <c r="A249" s="113"/>
      <c r="B249" s="114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6"/>
    </row>
    <row r="250" customFormat="false" ht="15.75" hidden="false" customHeight="false" outlineLevel="0" collapsed="false">
      <c r="A250" s="113"/>
      <c r="B250" s="114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6"/>
    </row>
    <row r="251" customFormat="false" ht="15.75" hidden="false" customHeight="false" outlineLevel="0" collapsed="false">
      <c r="A251" s="113"/>
      <c r="B251" s="114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6"/>
    </row>
    <row r="252" customFormat="false" ht="15.75" hidden="false" customHeight="false" outlineLevel="0" collapsed="false">
      <c r="A252" s="113"/>
      <c r="B252" s="114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6"/>
    </row>
    <row r="253" customFormat="false" ht="15.75" hidden="false" customHeight="false" outlineLevel="0" collapsed="false">
      <c r="A253" s="113"/>
      <c r="B253" s="114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6"/>
    </row>
    <row r="254" customFormat="false" ht="15.75" hidden="false" customHeight="false" outlineLevel="0" collapsed="false">
      <c r="A254" s="113"/>
      <c r="B254" s="114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6"/>
    </row>
    <row r="255" customFormat="false" ht="15.75" hidden="false" customHeight="false" outlineLevel="0" collapsed="false">
      <c r="A255" s="113"/>
      <c r="B255" s="114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6"/>
    </row>
    <row r="256" customFormat="false" ht="15.75" hidden="false" customHeight="false" outlineLevel="0" collapsed="false">
      <c r="A256" s="113"/>
      <c r="B256" s="114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6"/>
    </row>
    <row r="257" customFormat="false" ht="15.75" hidden="false" customHeight="false" outlineLevel="0" collapsed="false">
      <c r="A257" s="113"/>
      <c r="B257" s="114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6"/>
    </row>
    <row r="258" customFormat="false" ht="15.75" hidden="false" customHeight="false" outlineLevel="0" collapsed="false">
      <c r="A258" s="113"/>
      <c r="B258" s="114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6"/>
    </row>
    <row r="259" customFormat="false" ht="15.75" hidden="false" customHeight="false" outlineLevel="0" collapsed="false">
      <c r="A259" s="113"/>
      <c r="B259" s="114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6"/>
    </row>
    <row r="260" customFormat="false" ht="15.75" hidden="false" customHeight="false" outlineLevel="0" collapsed="false">
      <c r="A260" s="113"/>
      <c r="B260" s="114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6"/>
    </row>
    <row r="261" customFormat="false" ht="15.75" hidden="false" customHeight="false" outlineLevel="0" collapsed="false">
      <c r="A261" s="113"/>
      <c r="B261" s="114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6"/>
    </row>
    <row r="262" customFormat="false" ht="15.75" hidden="false" customHeight="false" outlineLevel="0" collapsed="false">
      <c r="A262" s="113"/>
      <c r="B262" s="114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6"/>
    </row>
    <row r="263" customFormat="false" ht="15.75" hidden="false" customHeight="false" outlineLevel="0" collapsed="false">
      <c r="A263" s="113"/>
      <c r="B263" s="114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6"/>
    </row>
    <row r="264" customFormat="false" ht="15.75" hidden="false" customHeight="false" outlineLevel="0" collapsed="false">
      <c r="A264" s="113"/>
      <c r="B264" s="114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6"/>
    </row>
    <row r="265" customFormat="false" ht="15.75" hidden="false" customHeight="false" outlineLevel="0" collapsed="false">
      <c r="A265" s="113"/>
      <c r="B265" s="114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6"/>
    </row>
    <row r="266" customFormat="false" ht="15.75" hidden="false" customHeight="false" outlineLevel="0" collapsed="false">
      <c r="A266" s="113"/>
      <c r="B266" s="114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6"/>
    </row>
    <row r="267" customFormat="false" ht="15.75" hidden="false" customHeight="false" outlineLevel="0" collapsed="false">
      <c r="A267" s="113"/>
      <c r="B267" s="114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6"/>
    </row>
    <row r="268" customFormat="false" ht="15.75" hidden="false" customHeight="false" outlineLevel="0" collapsed="false">
      <c r="A268" s="113"/>
      <c r="B268" s="114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6"/>
    </row>
    <row r="269" customFormat="false" ht="15.75" hidden="false" customHeight="false" outlineLevel="0" collapsed="false">
      <c r="A269" s="113"/>
      <c r="B269" s="114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6"/>
    </row>
    <row r="270" customFormat="false" ht="15.75" hidden="false" customHeight="false" outlineLevel="0" collapsed="false">
      <c r="A270" s="113"/>
      <c r="B270" s="114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6"/>
    </row>
    <row r="271" customFormat="false" ht="15.75" hidden="false" customHeight="false" outlineLevel="0" collapsed="false">
      <c r="A271" s="113"/>
      <c r="B271" s="114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6"/>
    </row>
    <row r="272" customFormat="false" ht="15.75" hidden="false" customHeight="false" outlineLevel="0" collapsed="false">
      <c r="A272" s="113"/>
      <c r="B272" s="114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6"/>
    </row>
    <row r="273" customFormat="false" ht="15.75" hidden="false" customHeight="false" outlineLevel="0" collapsed="false">
      <c r="A273" s="113"/>
      <c r="B273" s="114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6"/>
    </row>
    <row r="274" customFormat="false" ht="15.75" hidden="false" customHeight="false" outlineLevel="0" collapsed="false">
      <c r="A274" s="113"/>
      <c r="B274" s="114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6"/>
    </row>
    <row r="275" customFormat="false" ht="15.75" hidden="false" customHeight="false" outlineLevel="0" collapsed="false">
      <c r="A275" s="113"/>
      <c r="B275" s="114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6"/>
    </row>
    <row r="276" customFormat="false" ht="15.75" hidden="false" customHeight="false" outlineLevel="0" collapsed="false">
      <c r="A276" s="113"/>
      <c r="B276" s="114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6"/>
    </row>
    <row r="277" customFormat="false" ht="15.75" hidden="false" customHeight="false" outlineLevel="0" collapsed="false">
      <c r="A277" s="113"/>
      <c r="B277" s="114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6"/>
    </row>
    <row r="278" customFormat="false" ht="15.75" hidden="false" customHeight="false" outlineLevel="0" collapsed="false">
      <c r="A278" s="113"/>
      <c r="B278" s="114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6"/>
    </row>
    <row r="279" customFormat="false" ht="15.75" hidden="false" customHeight="false" outlineLevel="0" collapsed="false">
      <c r="A279" s="113"/>
      <c r="B279" s="114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6"/>
    </row>
    <row r="280" customFormat="false" ht="15.75" hidden="false" customHeight="false" outlineLevel="0" collapsed="false">
      <c r="A280" s="113"/>
      <c r="B280" s="114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6"/>
    </row>
    <row r="281" customFormat="false" ht="15.75" hidden="false" customHeight="false" outlineLevel="0" collapsed="false">
      <c r="A281" s="113"/>
      <c r="B281" s="114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6"/>
    </row>
    <row r="282" customFormat="false" ht="15.75" hidden="false" customHeight="false" outlineLevel="0" collapsed="false">
      <c r="A282" s="113"/>
      <c r="B282" s="114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6"/>
    </row>
    <row r="283" customFormat="false" ht="15.75" hidden="false" customHeight="false" outlineLevel="0" collapsed="false">
      <c r="A283" s="113"/>
      <c r="B283" s="114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6"/>
    </row>
    <row r="284" customFormat="false" ht="15.75" hidden="false" customHeight="false" outlineLevel="0" collapsed="false">
      <c r="A284" s="113"/>
      <c r="B284" s="114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6"/>
    </row>
    <row r="285" customFormat="false" ht="15.75" hidden="false" customHeight="false" outlineLevel="0" collapsed="false">
      <c r="A285" s="113"/>
      <c r="B285" s="114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6"/>
    </row>
    <row r="286" customFormat="false" ht="15.75" hidden="false" customHeight="false" outlineLevel="0" collapsed="false">
      <c r="A286" s="113"/>
      <c r="B286" s="114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6"/>
    </row>
    <row r="287" customFormat="false" ht="15.75" hidden="false" customHeight="false" outlineLevel="0" collapsed="false">
      <c r="A287" s="113"/>
      <c r="B287" s="114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6"/>
    </row>
    <row r="288" customFormat="false" ht="15.75" hidden="false" customHeight="false" outlineLevel="0" collapsed="false">
      <c r="A288" s="113"/>
      <c r="B288" s="114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6"/>
    </row>
    <row r="289" customFormat="false" ht="15.75" hidden="false" customHeight="false" outlineLevel="0" collapsed="false">
      <c r="A289" s="113"/>
      <c r="B289" s="114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6"/>
    </row>
    <row r="290" customFormat="false" ht="15.75" hidden="false" customHeight="false" outlineLevel="0" collapsed="false">
      <c r="A290" s="113"/>
      <c r="B290" s="114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6"/>
    </row>
    <row r="291" customFormat="false" ht="15.75" hidden="false" customHeight="false" outlineLevel="0" collapsed="false">
      <c r="A291" s="113"/>
      <c r="B291" s="114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6"/>
    </row>
    <row r="292" customFormat="false" ht="15.75" hidden="false" customHeight="false" outlineLevel="0" collapsed="false">
      <c r="A292" s="113"/>
      <c r="B292" s="114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6"/>
    </row>
    <row r="293" customFormat="false" ht="15.75" hidden="false" customHeight="false" outlineLevel="0" collapsed="false">
      <c r="A293" s="113"/>
      <c r="B293" s="114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6"/>
    </row>
    <row r="294" customFormat="false" ht="15.75" hidden="false" customHeight="false" outlineLevel="0" collapsed="false">
      <c r="A294" s="113"/>
      <c r="B294" s="114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6"/>
    </row>
    <row r="295" customFormat="false" ht="15.75" hidden="false" customHeight="false" outlineLevel="0" collapsed="false">
      <c r="A295" s="113"/>
      <c r="B295" s="114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6"/>
    </row>
    <row r="296" customFormat="false" ht="15.75" hidden="false" customHeight="false" outlineLevel="0" collapsed="false">
      <c r="A296" s="113"/>
      <c r="B296" s="114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6"/>
    </row>
    <row r="297" customFormat="false" ht="15.75" hidden="false" customHeight="false" outlineLevel="0" collapsed="false">
      <c r="A297" s="113"/>
      <c r="B297" s="114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6"/>
    </row>
    <row r="298" customFormat="false" ht="15.75" hidden="false" customHeight="false" outlineLevel="0" collapsed="false">
      <c r="A298" s="113"/>
      <c r="B298" s="114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6"/>
    </row>
    <row r="299" customFormat="false" ht="15.75" hidden="false" customHeight="false" outlineLevel="0" collapsed="false">
      <c r="A299" s="113"/>
      <c r="B299" s="114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6"/>
    </row>
    <row r="300" customFormat="false" ht="15.75" hidden="false" customHeight="false" outlineLevel="0" collapsed="false">
      <c r="A300" s="113"/>
      <c r="B300" s="114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6"/>
    </row>
    <row r="301" customFormat="false" ht="15.75" hidden="false" customHeight="false" outlineLevel="0" collapsed="false">
      <c r="A301" s="113"/>
      <c r="B301" s="114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6"/>
    </row>
    <row r="302" customFormat="false" ht="15.75" hidden="false" customHeight="false" outlineLevel="0" collapsed="false">
      <c r="A302" s="113"/>
      <c r="B302" s="114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6"/>
    </row>
    <row r="303" customFormat="false" ht="15.75" hidden="false" customHeight="false" outlineLevel="0" collapsed="false">
      <c r="A303" s="113"/>
      <c r="B303" s="114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6"/>
    </row>
    <row r="304" customFormat="false" ht="15.75" hidden="false" customHeight="false" outlineLevel="0" collapsed="false">
      <c r="A304" s="113"/>
      <c r="B304" s="114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6"/>
    </row>
    <row r="305" customFormat="false" ht="15.75" hidden="false" customHeight="false" outlineLevel="0" collapsed="false">
      <c r="A305" s="113"/>
      <c r="B305" s="114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6"/>
    </row>
    <row r="306" customFormat="false" ht="15.75" hidden="false" customHeight="false" outlineLevel="0" collapsed="false">
      <c r="A306" s="113"/>
      <c r="B306" s="114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6"/>
    </row>
    <row r="307" customFormat="false" ht="15.75" hidden="false" customHeight="false" outlineLevel="0" collapsed="false">
      <c r="A307" s="113"/>
      <c r="B307" s="114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6"/>
    </row>
    <row r="308" customFormat="false" ht="15.75" hidden="false" customHeight="false" outlineLevel="0" collapsed="false">
      <c r="A308" s="113"/>
      <c r="B308" s="114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6"/>
    </row>
    <row r="309" customFormat="false" ht="15.75" hidden="false" customHeight="false" outlineLevel="0" collapsed="false">
      <c r="A309" s="113"/>
      <c r="B309" s="114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6"/>
    </row>
    <row r="310" customFormat="false" ht="15.75" hidden="false" customHeight="false" outlineLevel="0" collapsed="false">
      <c r="A310" s="113"/>
      <c r="B310" s="114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6"/>
    </row>
    <row r="311" customFormat="false" ht="15.75" hidden="false" customHeight="false" outlineLevel="0" collapsed="false">
      <c r="A311" s="113"/>
      <c r="B311" s="114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6"/>
    </row>
    <row r="312" customFormat="false" ht="15.75" hidden="false" customHeight="false" outlineLevel="0" collapsed="false">
      <c r="A312" s="113"/>
      <c r="B312" s="114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6"/>
    </row>
    <row r="313" customFormat="false" ht="15.75" hidden="false" customHeight="false" outlineLevel="0" collapsed="false">
      <c r="A313" s="113"/>
      <c r="B313" s="114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6"/>
    </row>
    <row r="314" customFormat="false" ht="15.75" hidden="false" customHeight="false" outlineLevel="0" collapsed="false">
      <c r="A314" s="113"/>
      <c r="B314" s="114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6"/>
    </row>
    <row r="315" customFormat="false" ht="15.75" hidden="false" customHeight="false" outlineLevel="0" collapsed="false">
      <c r="A315" s="113"/>
      <c r="B315" s="114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6"/>
    </row>
    <row r="316" customFormat="false" ht="15.75" hidden="false" customHeight="false" outlineLevel="0" collapsed="false">
      <c r="A316" s="113"/>
      <c r="B316" s="114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6"/>
    </row>
    <row r="317" customFormat="false" ht="15.75" hidden="false" customHeight="false" outlineLevel="0" collapsed="false">
      <c r="A317" s="113"/>
      <c r="B317" s="114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6"/>
    </row>
    <row r="318" customFormat="false" ht="15.75" hidden="false" customHeight="false" outlineLevel="0" collapsed="false">
      <c r="A318" s="113"/>
      <c r="B318" s="114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6"/>
    </row>
    <row r="319" customFormat="false" ht="15.75" hidden="false" customHeight="false" outlineLevel="0" collapsed="false">
      <c r="A319" s="113"/>
      <c r="B319" s="114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6"/>
    </row>
    <row r="320" customFormat="false" ht="15.75" hidden="false" customHeight="false" outlineLevel="0" collapsed="false">
      <c r="A320" s="113"/>
      <c r="B320" s="114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6"/>
    </row>
    <row r="321" customFormat="false" ht="15.75" hidden="false" customHeight="false" outlineLevel="0" collapsed="false">
      <c r="A321" s="113"/>
      <c r="B321" s="114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6"/>
    </row>
    <row r="322" customFormat="false" ht="15.75" hidden="false" customHeight="false" outlineLevel="0" collapsed="false">
      <c r="A322" s="113"/>
      <c r="B322" s="114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6"/>
    </row>
    <row r="323" customFormat="false" ht="15.75" hidden="false" customHeight="false" outlineLevel="0" collapsed="false">
      <c r="A323" s="113"/>
      <c r="B323" s="114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6"/>
    </row>
    <row r="324" customFormat="false" ht="15.75" hidden="false" customHeight="false" outlineLevel="0" collapsed="false">
      <c r="A324" s="113"/>
      <c r="B324" s="114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6"/>
    </row>
    <row r="325" customFormat="false" ht="15.75" hidden="false" customHeight="false" outlineLevel="0" collapsed="false">
      <c r="A325" s="113"/>
      <c r="B325" s="114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6"/>
    </row>
    <row r="326" customFormat="false" ht="15.75" hidden="false" customHeight="false" outlineLevel="0" collapsed="false">
      <c r="A326" s="113"/>
      <c r="B326" s="114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6"/>
    </row>
    <row r="327" customFormat="false" ht="15.75" hidden="false" customHeight="false" outlineLevel="0" collapsed="false">
      <c r="A327" s="113"/>
      <c r="B327" s="114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6"/>
    </row>
    <row r="328" customFormat="false" ht="15.75" hidden="false" customHeight="false" outlineLevel="0" collapsed="false">
      <c r="A328" s="113"/>
      <c r="B328" s="114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6"/>
    </row>
    <row r="329" customFormat="false" ht="15.75" hidden="false" customHeight="false" outlineLevel="0" collapsed="false">
      <c r="A329" s="113"/>
      <c r="B329" s="114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6"/>
    </row>
    <row r="330" customFormat="false" ht="15.75" hidden="false" customHeight="false" outlineLevel="0" collapsed="false">
      <c r="A330" s="113"/>
      <c r="B330" s="114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6"/>
    </row>
    <row r="331" customFormat="false" ht="15.75" hidden="false" customHeight="false" outlineLevel="0" collapsed="false">
      <c r="A331" s="113"/>
      <c r="B331" s="114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6"/>
    </row>
    <row r="332" customFormat="false" ht="15.75" hidden="false" customHeight="false" outlineLevel="0" collapsed="false">
      <c r="A332" s="113"/>
      <c r="B332" s="114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6"/>
    </row>
    <row r="333" customFormat="false" ht="15.75" hidden="false" customHeight="false" outlineLevel="0" collapsed="false">
      <c r="A333" s="113"/>
      <c r="B333" s="114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6"/>
    </row>
    <row r="334" customFormat="false" ht="15.75" hidden="false" customHeight="false" outlineLevel="0" collapsed="false">
      <c r="A334" s="113"/>
      <c r="B334" s="114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6"/>
    </row>
    <row r="335" customFormat="false" ht="15.75" hidden="false" customHeight="false" outlineLevel="0" collapsed="false">
      <c r="A335" s="113"/>
      <c r="B335" s="114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6"/>
    </row>
    <row r="336" customFormat="false" ht="15.75" hidden="false" customHeight="false" outlineLevel="0" collapsed="false">
      <c r="A336" s="113"/>
      <c r="B336" s="114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6"/>
    </row>
    <row r="337" customFormat="false" ht="15.75" hidden="false" customHeight="false" outlineLevel="0" collapsed="false">
      <c r="A337" s="113"/>
      <c r="B337" s="114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6"/>
    </row>
    <row r="338" customFormat="false" ht="15.75" hidden="false" customHeight="false" outlineLevel="0" collapsed="false">
      <c r="A338" s="113"/>
      <c r="B338" s="114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6"/>
    </row>
    <row r="339" customFormat="false" ht="15.75" hidden="false" customHeight="false" outlineLevel="0" collapsed="false">
      <c r="A339" s="113"/>
      <c r="B339" s="114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6"/>
    </row>
    <row r="340" customFormat="false" ht="15.75" hidden="false" customHeight="false" outlineLevel="0" collapsed="false">
      <c r="A340" s="113"/>
      <c r="B340" s="114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6"/>
    </row>
    <row r="341" customFormat="false" ht="15.75" hidden="false" customHeight="false" outlineLevel="0" collapsed="false">
      <c r="A341" s="113"/>
      <c r="B341" s="114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6"/>
    </row>
    <row r="342" customFormat="false" ht="15.75" hidden="false" customHeight="false" outlineLevel="0" collapsed="false">
      <c r="A342" s="113"/>
      <c r="B342" s="114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6"/>
    </row>
    <row r="343" customFormat="false" ht="15.75" hidden="false" customHeight="false" outlineLevel="0" collapsed="false">
      <c r="A343" s="113"/>
      <c r="B343" s="114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6"/>
    </row>
    <row r="344" customFormat="false" ht="15.75" hidden="false" customHeight="false" outlineLevel="0" collapsed="false">
      <c r="A344" s="113"/>
      <c r="B344" s="114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6"/>
    </row>
    <row r="345" customFormat="false" ht="15.75" hidden="false" customHeight="false" outlineLevel="0" collapsed="false">
      <c r="A345" s="113"/>
      <c r="B345" s="114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6"/>
    </row>
    <row r="346" customFormat="false" ht="15.75" hidden="false" customHeight="false" outlineLevel="0" collapsed="false">
      <c r="A346" s="113"/>
      <c r="B346" s="114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6"/>
    </row>
    <row r="347" customFormat="false" ht="15.75" hidden="false" customHeight="false" outlineLevel="0" collapsed="false">
      <c r="A347" s="113"/>
      <c r="B347" s="114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6"/>
    </row>
    <row r="348" customFormat="false" ht="15.75" hidden="false" customHeight="false" outlineLevel="0" collapsed="false">
      <c r="A348" s="113"/>
      <c r="B348" s="114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6"/>
    </row>
    <row r="349" customFormat="false" ht="15.75" hidden="false" customHeight="false" outlineLevel="0" collapsed="false">
      <c r="A349" s="113"/>
      <c r="B349" s="114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6"/>
    </row>
    <row r="350" customFormat="false" ht="15.75" hidden="false" customHeight="false" outlineLevel="0" collapsed="false">
      <c r="A350" s="113"/>
      <c r="B350" s="114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6"/>
    </row>
    <row r="351" customFormat="false" ht="15.75" hidden="false" customHeight="false" outlineLevel="0" collapsed="false">
      <c r="A351" s="113"/>
      <c r="B351" s="114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6"/>
    </row>
    <row r="352" customFormat="false" ht="15.75" hidden="false" customHeight="false" outlineLevel="0" collapsed="false">
      <c r="A352" s="113"/>
      <c r="B352" s="114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6"/>
    </row>
    <row r="353" customFormat="false" ht="15.75" hidden="false" customHeight="false" outlineLevel="0" collapsed="false">
      <c r="A353" s="113"/>
      <c r="B353" s="114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6"/>
    </row>
    <row r="354" customFormat="false" ht="15.75" hidden="false" customHeight="false" outlineLevel="0" collapsed="false">
      <c r="A354" s="113"/>
      <c r="B354" s="114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6"/>
    </row>
    <row r="355" customFormat="false" ht="15.75" hidden="false" customHeight="false" outlineLevel="0" collapsed="false">
      <c r="A355" s="113"/>
      <c r="B355" s="114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6"/>
    </row>
    <row r="356" customFormat="false" ht="15.75" hidden="false" customHeight="false" outlineLevel="0" collapsed="false">
      <c r="A356" s="113"/>
      <c r="B356" s="114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6"/>
    </row>
    <row r="357" customFormat="false" ht="15.75" hidden="false" customHeight="false" outlineLevel="0" collapsed="false">
      <c r="A357" s="113"/>
      <c r="B357" s="114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6"/>
    </row>
    <row r="358" customFormat="false" ht="15.75" hidden="false" customHeight="false" outlineLevel="0" collapsed="false">
      <c r="A358" s="113"/>
      <c r="B358" s="114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6"/>
    </row>
    <row r="359" customFormat="false" ht="15.75" hidden="false" customHeight="false" outlineLevel="0" collapsed="false">
      <c r="A359" s="113"/>
      <c r="B359" s="114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6"/>
    </row>
    <row r="360" customFormat="false" ht="15.75" hidden="false" customHeight="false" outlineLevel="0" collapsed="false">
      <c r="A360" s="113"/>
      <c r="B360" s="114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6"/>
    </row>
    <row r="361" customFormat="false" ht="15.75" hidden="false" customHeight="false" outlineLevel="0" collapsed="false">
      <c r="A361" s="113"/>
      <c r="B361" s="114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6"/>
    </row>
    <row r="362" customFormat="false" ht="15.75" hidden="false" customHeight="false" outlineLevel="0" collapsed="false">
      <c r="A362" s="113"/>
      <c r="B362" s="114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6"/>
    </row>
    <row r="363" customFormat="false" ht="15.75" hidden="false" customHeight="false" outlineLevel="0" collapsed="false">
      <c r="A363" s="113"/>
      <c r="B363" s="114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6"/>
    </row>
    <row r="364" customFormat="false" ht="15.75" hidden="false" customHeight="false" outlineLevel="0" collapsed="false">
      <c r="A364" s="113"/>
      <c r="B364" s="114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6"/>
    </row>
    <row r="365" customFormat="false" ht="15.75" hidden="false" customHeight="false" outlineLevel="0" collapsed="false">
      <c r="A365" s="113"/>
      <c r="B365" s="114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6"/>
    </row>
    <row r="366" customFormat="false" ht="15.75" hidden="false" customHeight="false" outlineLevel="0" collapsed="false">
      <c r="A366" s="113"/>
      <c r="B366" s="114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6"/>
    </row>
    <row r="367" customFormat="false" ht="15.75" hidden="false" customHeight="false" outlineLevel="0" collapsed="false">
      <c r="A367" s="113"/>
      <c r="B367" s="114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6"/>
    </row>
    <row r="368" customFormat="false" ht="15.75" hidden="false" customHeight="false" outlineLevel="0" collapsed="false">
      <c r="A368" s="113"/>
      <c r="B368" s="114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6"/>
    </row>
    <row r="369" customFormat="false" ht="15.75" hidden="false" customHeight="false" outlineLevel="0" collapsed="false">
      <c r="A369" s="113"/>
      <c r="B369" s="114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6"/>
    </row>
    <row r="370" customFormat="false" ht="15.75" hidden="false" customHeight="false" outlineLevel="0" collapsed="false">
      <c r="A370" s="113"/>
      <c r="B370" s="114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6"/>
    </row>
    <row r="371" customFormat="false" ht="15.75" hidden="false" customHeight="false" outlineLevel="0" collapsed="false">
      <c r="A371" s="113"/>
      <c r="B371" s="114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6"/>
    </row>
    <row r="372" customFormat="false" ht="15.75" hidden="false" customHeight="false" outlineLevel="0" collapsed="false">
      <c r="A372" s="113"/>
      <c r="B372" s="114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6"/>
    </row>
    <row r="373" customFormat="false" ht="15.75" hidden="false" customHeight="false" outlineLevel="0" collapsed="false">
      <c r="A373" s="113"/>
      <c r="B373" s="114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6"/>
    </row>
    <row r="374" customFormat="false" ht="15.75" hidden="false" customHeight="false" outlineLevel="0" collapsed="false">
      <c r="A374" s="113"/>
      <c r="B374" s="114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6"/>
    </row>
    <row r="375" customFormat="false" ht="15.75" hidden="false" customHeight="false" outlineLevel="0" collapsed="false">
      <c r="A375" s="113"/>
      <c r="B375" s="114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6"/>
    </row>
    <row r="376" customFormat="false" ht="15.75" hidden="false" customHeight="false" outlineLevel="0" collapsed="false">
      <c r="A376" s="113"/>
      <c r="B376" s="114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6"/>
    </row>
    <row r="377" customFormat="false" ht="15.75" hidden="false" customHeight="false" outlineLevel="0" collapsed="false">
      <c r="A377" s="113"/>
      <c r="B377" s="114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6"/>
    </row>
    <row r="378" customFormat="false" ht="15.75" hidden="false" customHeight="false" outlineLevel="0" collapsed="false">
      <c r="A378" s="113"/>
      <c r="B378" s="114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6"/>
    </row>
    <row r="379" customFormat="false" ht="15.75" hidden="false" customHeight="false" outlineLevel="0" collapsed="false">
      <c r="A379" s="113"/>
      <c r="B379" s="114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6"/>
    </row>
    <row r="380" customFormat="false" ht="15.75" hidden="false" customHeight="false" outlineLevel="0" collapsed="false">
      <c r="A380" s="113"/>
      <c r="B380" s="114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6"/>
    </row>
    <row r="381" customFormat="false" ht="15.75" hidden="false" customHeight="false" outlineLevel="0" collapsed="false">
      <c r="A381" s="113"/>
      <c r="B381" s="114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6"/>
    </row>
    <row r="382" customFormat="false" ht="15.75" hidden="false" customHeight="false" outlineLevel="0" collapsed="false">
      <c r="A382" s="113"/>
      <c r="B382" s="114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6"/>
    </row>
    <row r="383" customFormat="false" ht="15.75" hidden="false" customHeight="false" outlineLevel="0" collapsed="false">
      <c r="A383" s="113"/>
      <c r="B383" s="114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6"/>
    </row>
    <row r="384" customFormat="false" ht="15.75" hidden="false" customHeight="false" outlineLevel="0" collapsed="false">
      <c r="A384" s="113"/>
      <c r="B384" s="114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6"/>
    </row>
    <row r="385" customFormat="false" ht="15.75" hidden="false" customHeight="false" outlineLevel="0" collapsed="false">
      <c r="A385" s="113"/>
      <c r="B385" s="114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6"/>
    </row>
    <row r="386" customFormat="false" ht="15.75" hidden="false" customHeight="false" outlineLevel="0" collapsed="false">
      <c r="A386" s="113"/>
      <c r="B386" s="114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6"/>
    </row>
    <row r="387" customFormat="false" ht="15.75" hidden="false" customHeight="false" outlineLevel="0" collapsed="false">
      <c r="A387" s="113"/>
      <c r="B387" s="114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6"/>
    </row>
    <row r="388" customFormat="false" ht="15.75" hidden="false" customHeight="false" outlineLevel="0" collapsed="false">
      <c r="A388" s="113"/>
      <c r="B388" s="114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6"/>
    </row>
    <row r="389" customFormat="false" ht="15.75" hidden="false" customHeight="false" outlineLevel="0" collapsed="false">
      <c r="A389" s="113"/>
      <c r="B389" s="114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6"/>
    </row>
    <row r="390" customFormat="false" ht="15.75" hidden="false" customHeight="false" outlineLevel="0" collapsed="false">
      <c r="A390" s="113"/>
      <c r="B390" s="114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6"/>
    </row>
    <row r="391" customFormat="false" ht="15.75" hidden="false" customHeight="false" outlineLevel="0" collapsed="false">
      <c r="A391" s="113"/>
      <c r="B391" s="114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6"/>
    </row>
    <row r="392" customFormat="false" ht="15.75" hidden="false" customHeight="false" outlineLevel="0" collapsed="false">
      <c r="A392" s="113"/>
      <c r="B392" s="114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6"/>
    </row>
    <row r="393" customFormat="false" ht="15.75" hidden="false" customHeight="false" outlineLevel="0" collapsed="false">
      <c r="A393" s="113"/>
      <c r="B393" s="114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6"/>
    </row>
    <row r="394" customFormat="false" ht="15.75" hidden="false" customHeight="false" outlineLevel="0" collapsed="false">
      <c r="A394" s="113"/>
      <c r="B394" s="114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6"/>
    </row>
    <row r="395" customFormat="false" ht="15.75" hidden="false" customHeight="false" outlineLevel="0" collapsed="false">
      <c r="A395" s="113"/>
      <c r="B395" s="114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6"/>
    </row>
    <row r="396" customFormat="false" ht="15.75" hidden="false" customHeight="false" outlineLevel="0" collapsed="false">
      <c r="A396" s="113"/>
      <c r="B396" s="114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6"/>
    </row>
    <row r="397" customFormat="false" ht="15.75" hidden="false" customHeight="false" outlineLevel="0" collapsed="false">
      <c r="A397" s="113"/>
      <c r="B397" s="114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6"/>
    </row>
    <row r="398" customFormat="false" ht="15.75" hidden="false" customHeight="false" outlineLevel="0" collapsed="false">
      <c r="A398" s="113"/>
      <c r="B398" s="114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6"/>
    </row>
    <row r="399" customFormat="false" ht="15.75" hidden="false" customHeight="false" outlineLevel="0" collapsed="false">
      <c r="A399" s="113"/>
      <c r="B399" s="114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6"/>
    </row>
    <row r="400" customFormat="false" ht="15.75" hidden="false" customHeight="false" outlineLevel="0" collapsed="false">
      <c r="A400" s="113"/>
      <c r="B400" s="114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6"/>
    </row>
    <row r="401" customFormat="false" ht="15.75" hidden="false" customHeight="false" outlineLevel="0" collapsed="false">
      <c r="A401" s="113"/>
      <c r="B401" s="114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6"/>
    </row>
    <row r="402" customFormat="false" ht="15.75" hidden="false" customHeight="false" outlineLevel="0" collapsed="false">
      <c r="A402" s="113"/>
      <c r="B402" s="114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6"/>
    </row>
    <row r="403" customFormat="false" ht="15.75" hidden="false" customHeight="false" outlineLevel="0" collapsed="false">
      <c r="A403" s="113"/>
      <c r="B403" s="114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6"/>
    </row>
    <row r="404" customFormat="false" ht="15.75" hidden="false" customHeight="false" outlineLevel="0" collapsed="false">
      <c r="A404" s="113"/>
      <c r="B404" s="114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6"/>
    </row>
    <row r="405" customFormat="false" ht="15.75" hidden="false" customHeight="false" outlineLevel="0" collapsed="false">
      <c r="A405" s="113"/>
      <c r="B405" s="114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6"/>
    </row>
    <row r="406" customFormat="false" ht="15.75" hidden="false" customHeight="false" outlineLevel="0" collapsed="false">
      <c r="A406" s="113"/>
      <c r="B406" s="114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6"/>
    </row>
    <row r="407" customFormat="false" ht="15.75" hidden="false" customHeight="false" outlineLevel="0" collapsed="false">
      <c r="A407" s="113"/>
      <c r="B407" s="114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6"/>
    </row>
    <row r="408" customFormat="false" ht="15.75" hidden="false" customHeight="false" outlineLevel="0" collapsed="false">
      <c r="A408" s="113"/>
      <c r="B408" s="114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6"/>
    </row>
    <row r="409" customFormat="false" ht="15.75" hidden="false" customHeight="false" outlineLevel="0" collapsed="false">
      <c r="A409" s="113"/>
      <c r="B409" s="114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6"/>
    </row>
    <row r="410" customFormat="false" ht="15.75" hidden="false" customHeight="false" outlineLevel="0" collapsed="false">
      <c r="A410" s="113"/>
      <c r="B410" s="114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6"/>
    </row>
    <row r="411" customFormat="false" ht="15.75" hidden="false" customHeight="false" outlineLevel="0" collapsed="false">
      <c r="A411" s="113"/>
      <c r="B411" s="114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6"/>
    </row>
    <row r="412" customFormat="false" ht="15.75" hidden="false" customHeight="false" outlineLevel="0" collapsed="false">
      <c r="A412" s="113"/>
      <c r="B412" s="114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6"/>
    </row>
    <row r="413" customFormat="false" ht="15.75" hidden="false" customHeight="false" outlineLevel="0" collapsed="false">
      <c r="A413" s="113"/>
      <c r="B413" s="114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6"/>
    </row>
    <row r="414" customFormat="false" ht="15.75" hidden="false" customHeight="false" outlineLevel="0" collapsed="false">
      <c r="A414" s="113"/>
      <c r="B414" s="114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6"/>
    </row>
    <row r="415" customFormat="false" ht="15.75" hidden="false" customHeight="false" outlineLevel="0" collapsed="false">
      <c r="A415" s="113"/>
      <c r="B415" s="114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6"/>
    </row>
    <row r="416" customFormat="false" ht="15.75" hidden="false" customHeight="false" outlineLevel="0" collapsed="false">
      <c r="A416" s="113"/>
      <c r="B416" s="114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6"/>
    </row>
    <row r="417" customFormat="false" ht="15.75" hidden="false" customHeight="false" outlineLevel="0" collapsed="false">
      <c r="A417" s="113"/>
      <c r="B417" s="114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6"/>
    </row>
    <row r="418" customFormat="false" ht="15.75" hidden="false" customHeight="false" outlineLevel="0" collapsed="false">
      <c r="A418" s="113"/>
      <c r="B418" s="114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6"/>
    </row>
    <row r="419" customFormat="false" ht="15.75" hidden="false" customHeight="false" outlineLevel="0" collapsed="false">
      <c r="A419" s="113"/>
      <c r="B419" s="114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6"/>
    </row>
    <row r="420" customFormat="false" ht="15.75" hidden="false" customHeight="false" outlineLevel="0" collapsed="false">
      <c r="A420" s="113"/>
      <c r="B420" s="114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6"/>
    </row>
    <row r="421" customFormat="false" ht="15.75" hidden="false" customHeight="false" outlineLevel="0" collapsed="false">
      <c r="A421" s="113"/>
      <c r="B421" s="114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6"/>
    </row>
    <row r="422" customFormat="false" ht="15.75" hidden="false" customHeight="false" outlineLevel="0" collapsed="false">
      <c r="A422" s="113"/>
      <c r="B422" s="114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6"/>
    </row>
    <row r="423" customFormat="false" ht="15.75" hidden="false" customHeight="false" outlineLevel="0" collapsed="false">
      <c r="A423" s="113"/>
      <c r="B423" s="114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6"/>
    </row>
    <row r="424" customFormat="false" ht="15.75" hidden="false" customHeight="false" outlineLevel="0" collapsed="false">
      <c r="A424" s="113"/>
      <c r="B424" s="114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6"/>
    </row>
    <row r="425" customFormat="false" ht="15.75" hidden="false" customHeight="false" outlineLevel="0" collapsed="false">
      <c r="A425" s="113"/>
      <c r="B425" s="114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6"/>
    </row>
    <row r="426" customFormat="false" ht="15.75" hidden="false" customHeight="false" outlineLevel="0" collapsed="false">
      <c r="A426" s="113"/>
      <c r="B426" s="114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6"/>
    </row>
    <row r="427" customFormat="false" ht="15.75" hidden="false" customHeight="false" outlineLevel="0" collapsed="false">
      <c r="A427" s="113"/>
      <c r="B427" s="114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6"/>
    </row>
    <row r="428" customFormat="false" ht="15.75" hidden="false" customHeight="false" outlineLevel="0" collapsed="false">
      <c r="A428" s="113"/>
      <c r="B428" s="114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6"/>
    </row>
    <row r="429" customFormat="false" ht="15.75" hidden="false" customHeight="false" outlineLevel="0" collapsed="false">
      <c r="A429" s="113"/>
      <c r="B429" s="114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6"/>
    </row>
    <row r="430" customFormat="false" ht="15.75" hidden="false" customHeight="false" outlineLevel="0" collapsed="false">
      <c r="A430" s="113"/>
      <c r="B430" s="114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6"/>
    </row>
    <row r="431" customFormat="false" ht="15.75" hidden="false" customHeight="false" outlineLevel="0" collapsed="false">
      <c r="A431" s="113"/>
      <c r="B431" s="114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6"/>
    </row>
    <row r="432" customFormat="false" ht="15.75" hidden="false" customHeight="false" outlineLevel="0" collapsed="false">
      <c r="A432" s="113"/>
      <c r="B432" s="114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6"/>
    </row>
    <row r="433" customFormat="false" ht="15.75" hidden="false" customHeight="false" outlineLevel="0" collapsed="false">
      <c r="A433" s="113"/>
      <c r="B433" s="114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6"/>
    </row>
    <row r="434" customFormat="false" ht="15.75" hidden="false" customHeight="false" outlineLevel="0" collapsed="false">
      <c r="A434" s="113"/>
      <c r="B434" s="114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6"/>
    </row>
    <row r="435" customFormat="false" ht="15.75" hidden="false" customHeight="false" outlineLevel="0" collapsed="false">
      <c r="A435" s="113"/>
      <c r="B435" s="114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6"/>
    </row>
    <row r="436" customFormat="false" ht="15.75" hidden="false" customHeight="false" outlineLevel="0" collapsed="false">
      <c r="A436" s="113"/>
      <c r="B436" s="114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6"/>
    </row>
    <row r="437" customFormat="false" ht="15.75" hidden="false" customHeight="false" outlineLevel="0" collapsed="false">
      <c r="A437" s="113"/>
      <c r="B437" s="114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6"/>
    </row>
    <row r="438" customFormat="false" ht="15.75" hidden="false" customHeight="false" outlineLevel="0" collapsed="false">
      <c r="A438" s="113"/>
      <c r="B438" s="114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6"/>
    </row>
    <row r="439" customFormat="false" ht="15.75" hidden="false" customHeight="false" outlineLevel="0" collapsed="false">
      <c r="A439" s="113"/>
      <c r="B439" s="114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6"/>
    </row>
    <row r="440" customFormat="false" ht="15.75" hidden="false" customHeight="false" outlineLevel="0" collapsed="false">
      <c r="A440" s="113"/>
      <c r="B440" s="114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6"/>
    </row>
    <row r="441" customFormat="false" ht="15.75" hidden="false" customHeight="false" outlineLevel="0" collapsed="false">
      <c r="A441" s="113"/>
      <c r="B441" s="114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6"/>
    </row>
    <row r="442" customFormat="false" ht="15.75" hidden="false" customHeight="false" outlineLevel="0" collapsed="false">
      <c r="A442" s="113"/>
      <c r="B442" s="114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6"/>
    </row>
    <row r="443" customFormat="false" ht="15.75" hidden="false" customHeight="false" outlineLevel="0" collapsed="false">
      <c r="A443" s="113"/>
      <c r="B443" s="114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6"/>
    </row>
    <row r="444" customFormat="false" ht="15.75" hidden="false" customHeight="false" outlineLevel="0" collapsed="false">
      <c r="A444" s="113"/>
      <c r="B444" s="114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6"/>
    </row>
    <row r="445" customFormat="false" ht="15.75" hidden="false" customHeight="false" outlineLevel="0" collapsed="false">
      <c r="A445" s="113"/>
      <c r="B445" s="114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6"/>
    </row>
    <row r="446" customFormat="false" ht="15.75" hidden="false" customHeight="false" outlineLevel="0" collapsed="false">
      <c r="A446" s="113"/>
      <c r="B446" s="114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6"/>
    </row>
    <row r="447" customFormat="false" ht="15.75" hidden="false" customHeight="false" outlineLevel="0" collapsed="false">
      <c r="A447" s="113"/>
      <c r="B447" s="114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6"/>
    </row>
    <row r="448" customFormat="false" ht="15.75" hidden="false" customHeight="false" outlineLevel="0" collapsed="false">
      <c r="A448" s="113"/>
      <c r="B448" s="114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6"/>
    </row>
    <row r="449" customFormat="false" ht="15.75" hidden="false" customHeight="false" outlineLevel="0" collapsed="false">
      <c r="A449" s="113"/>
      <c r="B449" s="114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6"/>
    </row>
    <row r="450" customFormat="false" ht="15.75" hidden="false" customHeight="false" outlineLevel="0" collapsed="false">
      <c r="A450" s="113"/>
      <c r="B450" s="114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6"/>
    </row>
    <row r="451" customFormat="false" ht="15.75" hidden="false" customHeight="false" outlineLevel="0" collapsed="false">
      <c r="A451" s="113"/>
      <c r="B451" s="114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6"/>
    </row>
    <row r="452" customFormat="false" ht="15.75" hidden="false" customHeight="false" outlineLevel="0" collapsed="false">
      <c r="A452" s="113"/>
      <c r="B452" s="114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6"/>
    </row>
    <row r="453" customFormat="false" ht="15.75" hidden="false" customHeight="false" outlineLevel="0" collapsed="false">
      <c r="A453" s="113"/>
      <c r="B453" s="114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6"/>
    </row>
    <row r="454" customFormat="false" ht="15.75" hidden="false" customHeight="false" outlineLevel="0" collapsed="false">
      <c r="A454" s="113"/>
      <c r="B454" s="114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6"/>
    </row>
    <row r="455" customFormat="false" ht="15.75" hidden="false" customHeight="false" outlineLevel="0" collapsed="false">
      <c r="A455" s="113"/>
      <c r="B455" s="114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6"/>
    </row>
    <row r="456" customFormat="false" ht="15.75" hidden="false" customHeight="false" outlineLevel="0" collapsed="false">
      <c r="A456" s="113"/>
      <c r="B456" s="114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6"/>
    </row>
    <row r="457" customFormat="false" ht="15.75" hidden="false" customHeight="false" outlineLevel="0" collapsed="false">
      <c r="A457" s="113"/>
      <c r="B457" s="114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6"/>
    </row>
    <row r="458" customFormat="false" ht="15.75" hidden="false" customHeight="false" outlineLevel="0" collapsed="false">
      <c r="A458" s="113"/>
      <c r="B458" s="114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6"/>
    </row>
    <row r="459" customFormat="false" ht="15.75" hidden="false" customHeight="false" outlineLevel="0" collapsed="false">
      <c r="A459" s="113"/>
      <c r="B459" s="114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6"/>
    </row>
    <row r="460" customFormat="false" ht="15.75" hidden="false" customHeight="false" outlineLevel="0" collapsed="false">
      <c r="A460" s="113"/>
      <c r="B460" s="114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6"/>
    </row>
    <row r="461" customFormat="false" ht="15.75" hidden="false" customHeight="false" outlineLevel="0" collapsed="false">
      <c r="A461" s="113"/>
      <c r="B461" s="114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6"/>
    </row>
    <row r="462" customFormat="false" ht="15.75" hidden="false" customHeight="false" outlineLevel="0" collapsed="false">
      <c r="A462" s="113"/>
      <c r="B462" s="114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6"/>
    </row>
    <row r="463" customFormat="false" ht="15.75" hidden="false" customHeight="false" outlineLevel="0" collapsed="false">
      <c r="A463" s="113"/>
      <c r="B463" s="114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6"/>
    </row>
    <row r="464" customFormat="false" ht="15.75" hidden="false" customHeight="false" outlineLevel="0" collapsed="false">
      <c r="A464" s="113"/>
      <c r="B464" s="114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6"/>
    </row>
    <row r="465" customFormat="false" ht="15.75" hidden="false" customHeight="false" outlineLevel="0" collapsed="false">
      <c r="A465" s="113"/>
      <c r="B465" s="114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6"/>
    </row>
    <row r="466" customFormat="false" ht="15.75" hidden="false" customHeight="false" outlineLevel="0" collapsed="false">
      <c r="A466" s="113"/>
      <c r="B466" s="114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6"/>
    </row>
    <row r="467" customFormat="false" ht="15.75" hidden="false" customHeight="false" outlineLevel="0" collapsed="false">
      <c r="A467" s="113"/>
      <c r="B467" s="114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6"/>
    </row>
    <row r="468" customFormat="false" ht="15.75" hidden="false" customHeight="false" outlineLevel="0" collapsed="false">
      <c r="A468" s="113"/>
      <c r="B468" s="114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6"/>
    </row>
    <row r="469" customFormat="false" ht="15.75" hidden="false" customHeight="false" outlineLevel="0" collapsed="false">
      <c r="A469" s="113"/>
      <c r="B469" s="114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6"/>
    </row>
    <row r="470" customFormat="false" ht="15.75" hidden="false" customHeight="false" outlineLevel="0" collapsed="false">
      <c r="A470" s="113"/>
      <c r="B470" s="114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6"/>
    </row>
    <row r="471" customFormat="false" ht="15.75" hidden="false" customHeight="false" outlineLevel="0" collapsed="false">
      <c r="A471" s="113"/>
      <c r="B471" s="114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6"/>
    </row>
    <row r="472" customFormat="false" ht="15.75" hidden="false" customHeight="false" outlineLevel="0" collapsed="false">
      <c r="A472" s="113"/>
      <c r="B472" s="114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6"/>
    </row>
    <row r="473" customFormat="false" ht="15.75" hidden="false" customHeight="false" outlineLevel="0" collapsed="false">
      <c r="A473" s="113"/>
      <c r="B473" s="114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6"/>
    </row>
    <row r="474" customFormat="false" ht="15.75" hidden="false" customHeight="false" outlineLevel="0" collapsed="false">
      <c r="A474" s="113"/>
      <c r="B474" s="114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6"/>
    </row>
    <row r="475" customFormat="false" ht="15.75" hidden="false" customHeight="false" outlineLevel="0" collapsed="false">
      <c r="A475" s="113"/>
      <c r="B475" s="114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6"/>
    </row>
    <row r="476" customFormat="false" ht="15.75" hidden="false" customHeight="false" outlineLevel="0" collapsed="false">
      <c r="A476" s="113"/>
      <c r="B476" s="114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6"/>
    </row>
    <row r="477" customFormat="false" ht="15.75" hidden="false" customHeight="false" outlineLevel="0" collapsed="false">
      <c r="A477" s="113"/>
      <c r="B477" s="114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6"/>
    </row>
    <row r="478" customFormat="false" ht="15.75" hidden="false" customHeight="false" outlineLevel="0" collapsed="false">
      <c r="A478" s="113"/>
      <c r="B478" s="114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6"/>
    </row>
    <row r="479" customFormat="false" ht="15.75" hidden="false" customHeight="false" outlineLevel="0" collapsed="false">
      <c r="A479" s="113"/>
      <c r="B479" s="114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6"/>
    </row>
    <row r="480" customFormat="false" ht="15.75" hidden="false" customHeight="false" outlineLevel="0" collapsed="false">
      <c r="A480" s="113"/>
      <c r="B480" s="114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6"/>
    </row>
    <row r="481" customFormat="false" ht="15.75" hidden="false" customHeight="false" outlineLevel="0" collapsed="false">
      <c r="A481" s="113"/>
      <c r="B481" s="114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6"/>
    </row>
    <row r="482" customFormat="false" ht="15.75" hidden="false" customHeight="false" outlineLevel="0" collapsed="false">
      <c r="A482" s="113"/>
      <c r="B482" s="114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6"/>
    </row>
    <row r="483" customFormat="false" ht="15.75" hidden="false" customHeight="false" outlineLevel="0" collapsed="false">
      <c r="A483" s="113"/>
      <c r="B483" s="114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6"/>
    </row>
    <row r="484" customFormat="false" ht="15.75" hidden="false" customHeight="false" outlineLevel="0" collapsed="false">
      <c r="A484" s="113"/>
      <c r="B484" s="114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6"/>
    </row>
    <row r="485" customFormat="false" ht="15.75" hidden="false" customHeight="false" outlineLevel="0" collapsed="false">
      <c r="A485" s="113"/>
      <c r="B485" s="114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6"/>
    </row>
    <row r="486" customFormat="false" ht="15.75" hidden="false" customHeight="false" outlineLevel="0" collapsed="false">
      <c r="A486" s="113"/>
      <c r="B486" s="114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6"/>
    </row>
    <row r="487" customFormat="false" ht="15.75" hidden="false" customHeight="false" outlineLevel="0" collapsed="false">
      <c r="A487" s="113"/>
      <c r="B487" s="114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6"/>
    </row>
    <row r="488" customFormat="false" ht="15.75" hidden="false" customHeight="false" outlineLevel="0" collapsed="false">
      <c r="A488" s="113"/>
      <c r="B488" s="114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6"/>
    </row>
    <row r="489" customFormat="false" ht="15.75" hidden="false" customHeight="false" outlineLevel="0" collapsed="false">
      <c r="A489" s="113"/>
      <c r="B489" s="114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6"/>
    </row>
    <row r="490" customFormat="false" ht="15.75" hidden="false" customHeight="false" outlineLevel="0" collapsed="false">
      <c r="A490" s="113"/>
      <c r="B490" s="114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6"/>
    </row>
    <row r="491" customFormat="false" ht="15.75" hidden="false" customHeight="false" outlineLevel="0" collapsed="false">
      <c r="A491" s="113"/>
      <c r="B491" s="114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6"/>
    </row>
    <row r="492" customFormat="false" ht="15.75" hidden="false" customHeight="false" outlineLevel="0" collapsed="false">
      <c r="A492" s="113"/>
      <c r="B492" s="114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6"/>
    </row>
    <row r="493" customFormat="false" ht="15.75" hidden="false" customHeight="false" outlineLevel="0" collapsed="false">
      <c r="A493" s="113"/>
      <c r="B493" s="114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6"/>
    </row>
    <row r="494" customFormat="false" ht="15.75" hidden="false" customHeight="false" outlineLevel="0" collapsed="false">
      <c r="A494" s="113"/>
      <c r="B494" s="114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6"/>
    </row>
    <row r="495" customFormat="false" ht="15.75" hidden="false" customHeight="false" outlineLevel="0" collapsed="false">
      <c r="A495" s="113"/>
      <c r="B495" s="114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6"/>
    </row>
    <row r="496" customFormat="false" ht="15.75" hidden="false" customHeight="false" outlineLevel="0" collapsed="false">
      <c r="A496" s="113"/>
      <c r="B496" s="114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6"/>
    </row>
    <row r="497" customFormat="false" ht="15.75" hidden="false" customHeight="false" outlineLevel="0" collapsed="false">
      <c r="A497" s="113"/>
      <c r="B497" s="114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6"/>
    </row>
    <row r="498" customFormat="false" ht="15.75" hidden="false" customHeight="false" outlineLevel="0" collapsed="false">
      <c r="A498" s="113"/>
      <c r="B498" s="114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6"/>
    </row>
    <row r="499" customFormat="false" ht="15.75" hidden="false" customHeight="false" outlineLevel="0" collapsed="false">
      <c r="A499" s="113"/>
      <c r="B499" s="114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6"/>
    </row>
    <row r="500" customFormat="false" ht="15.75" hidden="false" customHeight="false" outlineLevel="0" collapsed="false">
      <c r="A500" s="113"/>
      <c r="B500" s="114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6"/>
    </row>
    <row r="501" customFormat="false" ht="15.75" hidden="false" customHeight="false" outlineLevel="0" collapsed="false">
      <c r="A501" s="113"/>
      <c r="B501" s="114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6"/>
    </row>
    <row r="502" customFormat="false" ht="15.75" hidden="false" customHeight="false" outlineLevel="0" collapsed="false">
      <c r="A502" s="113"/>
      <c r="B502" s="114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6"/>
    </row>
    <row r="503" customFormat="false" ht="15.75" hidden="false" customHeight="false" outlineLevel="0" collapsed="false">
      <c r="A503" s="113"/>
      <c r="B503" s="114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6"/>
    </row>
    <row r="504" customFormat="false" ht="15.75" hidden="false" customHeight="false" outlineLevel="0" collapsed="false">
      <c r="A504" s="113"/>
      <c r="B504" s="114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6"/>
    </row>
    <row r="505" customFormat="false" ht="15.75" hidden="false" customHeight="false" outlineLevel="0" collapsed="false">
      <c r="A505" s="113"/>
      <c r="B505" s="114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6"/>
    </row>
    <row r="506" customFormat="false" ht="15.75" hidden="false" customHeight="false" outlineLevel="0" collapsed="false">
      <c r="A506" s="113"/>
      <c r="B506" s="114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6"/>
    </row>
    <row r="507" customFormat="false" ht="15.75" hidden="false" customHeight="false" outlineLevel="0" collapsed="false">
      <c r="A507" s="113"/>
      <c r="B507" s="114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6"/>
    </row>
    <row r="508" customFormat="false" ht="15.75" hidden="false" customHeight="false" outlineLevel="0" collapsed="false">
      <c r="A508" s="113"/>
      <c r="B508" s="114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6"/>
    </row>
    <row r="509" customFormat="false" ht="15.75" hidden="false" customHeight="false" outlineLevel="0" collapsed="false">
      <c r="A509" s="113"/>
      <c r="B509" s="114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6"/>
    </row>
    <row r="510" customFormat="false" ht="15.75" hidden="false" customHeight="false" outlineLevel="0" collapsed="false">
      <c r="A510" s="113"/>
      <c r="B510" s="114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6"/>
    </row>
    <row r="511" customFormat="false" ht="15.75" hidden="false" customHeight="false" outlineLevel="0" collapsed="false">
      <c r="A511" s="113"/>
      <c r="B511" s="114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6"/>
    </row>
    <row r="512" customFormat="false" ht="15.75" hidden="false" customHeight="false" outlineLevel="0" collapsed="false">
      <c r="A512" s="113"/>
      <c r="B512" s="114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6"/>
    </row>
    <row r="513" customFormat="false" ht="15.75" hidden="false" customHeight="false" outlineLevel="0" collapsed="false">
      <c r="A513" s="113"/>
      <c r="B513" s="114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6"/>
    </row>
    <row r="514" customFormat="false" ht="15.75" hidden="false" customHeight="false" outlineLevel="0" collapsed="false">
      <c r="A514" s="113"/>
      <c r="B514" s="114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6"/>
    </row>
    <row r="515" customFormat="false" ht="15.75" hidden="false" customHeight="false" outlineLevel="0" collapsed="false">
      <c r="A515" s="113"/>
      <c r="B515" s="114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6"/>
    </row>
    <row r="516" customFormat="false" ht="15.75" hidden="false" customHeight="false" outlineLevel="0" collapsed="false">
      <c r="A516" s="113"/>
      <c r="B516" s="114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6"/>
    </row>
    <row r="517" customFormat="false" ht="15.75" hidden="false" customHeight="false" outlineLevel="0" collapsed="false">
      <c r="A517" s="113"/>
      <c r="B517" s="114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6"/>
    </row>
    <row r="518" customFormat="false" ht="15.75" hidden="false" customHeight="false" outlineLevel="0" collapsed="false">
      <c r="A518" s="113"/>
      <c r="B518" s="114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6"/>
    </row>
    <row r="519" customFormat="false" ht="15.75" hidden="false" customHeight="false" outlineLevel="0" collapsed="false">
      <c r="A519" s="113"/>
      <c r="B519" s="114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6"/>
    </row>
    <row r="520" customFormat="false" ht="15.75" hidden="false" customHeight="false" outlineLevel="0" collapsed="false">
      <c r="A520" s="113"/>
      <c r="B520" s="114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6"/>
    </row>
    <row r="521" customFormat="false" ht="15.75" hidden="false" customHeight="false" outlineLevel="0" collapsed="false">
      <c r="A521" s="113"/>
      <c r="B521" s="114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6"/>
    </row>
    <row r="522" customFormat="false" ht="15.75" hidden="false" customHeight="false" outlineLevel="0" collapsed="false">
      <c r="A522" s="113"/>
      <c r="B522" s="114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6"/>
    </row>
    <row r="523" customFormat="false" ht="15.75" hidden="false" customHeight="false" outlineLevel="0" collapsed="false">
      <c r="A523" s="113"/>
      <c r="B523" s="114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6"/>
    </row>
    <row r="524" customFormat="false" ht="15.75" hidden="false" customHeight="false" outlineLevel="0" collapsed="false">
      <c r="A524" s="113"/>
      <c r="B524" s="114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6"/>
    </row>
    <row r="525" customFormat="false" ht="15.75" hidden="false" customHeight="false" outlineLevel="0" collapsed="false">
      <c r="A525" s="113"/>
      <c r="B525" s="114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6"/>
    </row>
    <row r="526" customFormat="false" ht="15.75" hidden="false" customHeight="false" outlineLevel="0" collapsed="false">
      <c r="A526" s="113"/>
      <c r="B526" s="114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6"/>
    </row>
    <row r="527" customFormat="false" ht="15.75" hidden="false" customHeight="false" outlineLevel="0" collapsed="false">
      <c r="A527" s="113"/>
      <c r="B527" s="114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6"/>
    </row>
    <row r="528" customFormat="false" ht="15.75" hidden="false" customHeight="false" outlineLevel="0" collapsed="false">
      <c r="A528" s="113"/>
      <c r="B528" s="114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6"/>
    </row>
    <row r="529" customFormat="false" ht="15.75" hidden="false" customHeight="false" outlineLevel="0" collapsed="false">
      <c r="A529" s="113"/>
      <c r="B529" s="114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6"/>
    </row>
    <row r="530" customFormat="false" ht="15.75" hidden="false" customHeight="false" outlineLevel="0" collapsed="false">
      <c r="A530" s="113"/>
      <c r="B530" s="114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6"/>
    </row>
    <row r="531" customFormat="false" ht="15.75" hidden="false" customHeight="false" outlineLevel="0" collapsed="false">
      <c r="A531" s="113"/>
      <c r="B531" s="114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6"/>
    </row>
    <row r="532" customFormat="false" ht="15.75" hidden="false" customHeight="false" outlineLevel="0" collapsed="false">
      <c r="A532" s="113"/>
      <c r="B532" s="114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6"/>
    </row>
    <row r="533" customFormat="false" ht="15.75" hidden="false" customHeight="false" outlineLevel="0" collapsed="false">
      <c r="A533" s="113"/>
      <c r="B533" s="114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6"/>
    </row>
    <row r="534" customFormat="false" ht="15.75" hidden="false" customHeight="false" outlineLevel="0" collapsed="false">
      <c r="A534" s="113"/>
      <c r="B534" s="114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6"/>
    </row>
    <row r="535" customFormat="false" ht="15.75" hidden="false" customHeight="false" outlineLevel="0" collapsed="false">
      <c r="A535" s="113"/>
      <c r="B535" s="114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6"/>
    </row>
    <row r="536" customFormat="false" ht="15.75" hidden="false" customHeight="false" outlineLevel="0" collapsed="false">
      <c r="A536" s="113"/>
      <c r="B536" s="114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6"/>
    </row>
    <row r="537" customFormat="false" ht="15.75" hidden="false" customHeight="false" outlineLevel="0" collapsed="false">
      <c r="A537" s="113"/>
      <c r="B537" s="114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6"/>
    </row>
    <row r="538" customFormat="false" ht="15.75" hidden="false" customHeight="false" outlineLevel="0" collapsed="false">
      <c r="A538" s="113"/>
      <c r="B538" s="114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6"/>
    </row>
    <row r="539" customFormat="false" ht="15.75" hidden="false" customHeight="false" outlineLevel="0" collapsed="false">
      <c r="A539" s="113"/>
      <c r="B539" s="114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6"/>
    </row>
    <row r="540" customFormat="false" ht="15.75" hidden="false" customHeight="false" outlineLevel="0" collapsed="false">
      <c r="A540" s="113"/>
      <c r="B540" s="114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6"/>
    </row>
    <row r="541" customFormat="false" ht="15.75" hidden="false" customHeight="false" outlineLevel="0" collapsed="false">
      <c r="A541" s="113"/>
      <c r="B541" s="114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6"/>
    </row>
    <row r="542" customFormat="false" ht="15.75" hidden="false" customHeight="false" outlineLevel="0" collapsed="false">
      <c r="A542" s="113"/>
      <c r="B542" s="114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6"/>
    </row>
    <row r="543" customFormat="false" ht="15.75" hidden="false" customHeight="false" outlineLevel="0" collapsed="false">
      <c r="A543" s="113"/>
      <c r="B543" s="114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6"/>
    </row>
    <row r="544" customFormat="false" ht="15.75" hidden="false" customHeight="false" outlineLevel="0" collapsed="false">
      <c r="A544" s="113"/>
      <c r="B544" s="114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6"/>
    </row>
    <row r="545" customFormat="false" ht="15.75" hidden="false" customHeight="false" outlineLevel="0" collapsed="false">
      <c r="A545" s="113"/>
      <c r="B545" s="114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6"/>
    </row>
    <row r="546" customFormat="false" ht="15.75" hidden="false" customHeight="false" outlineLevel="0" collapsed="false">
      <c r="A546" s="113"/>
      <c r="B546" s="114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6"/>
    </row>
    <row r="547" customFormat="false" ht="15.75" hidden="false" customHeight="false" outlineLevel="0" collapsed="false">
      <c r="A547" s="113"/>
      <c r="B547" s="114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6"/>
    </row>
    <row r="548" customFormat="false" ht="15.75" hidden="false" customHeight="false" outlineLevel="0" collapsed="false">
      <c r="A548" s="113"/>
      <c r="B548" s="114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6"/>
    </row>
    <row r="549" customFormat="false" ht="15.75" hidden="false" customHeight="false" outlineLevel="0" collapsed="false">
      <c r="A549" s="113"/>
      <c r="B549" s="114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6"/>
    </row>
    <row r="550" customFormat="false" ht="15.75" hidden="false" customHeight="false" outlineLevel="0" collapsed="false">
      <c r="A550" s="113"/>
      <c r="B550" s="114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6"/>
    </row>
    <row r="551" customFormat="false" ht="15.75" hidden="false" customHeight="false" outlineLevel="0" collapsed="false">
      <c r="A551" s="113"/>
      <c r="B551" s="114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6"/>
    </row>
    <row r="552" customFormat="false" ht="15.75" hidden="false" customHeight="false" outlineLevel="0" collapsed="false">
      <c r="A552" s="113"/>
      <c r="B552" s="114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6"/>
    </row>
    <row r="553" customFormat="false" ht="15.75" hidden="false" customHeight="false" outlineLevel="0" collapsed="false">
      <c r="A553" s="113"/>
      <c r="B553" s="114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6"/>
    </row>
    <row r="554" customFormat="false" ht="15.75" hidden="false" customHeight="false" outlineLevel="0" collapsed="false">
      <c r="A554" s="113"/>
      <c r="B554" s="114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6"/>
    </row>
    <row r="555" customFormat="false" ht="15.75" hidden="false" customHeight="false" outlineLevel="0" collapsed="false">
      <c r="A555" s="113"/>
      <c r="B555" s="114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6"/>
    </row>
    <row r="556" customFormat="false" ht="15.75" hidden="false" customHeight="false" outlineLevel="0" collapsed="false">
      <c r="A556" s="113"/>
      <c r="B556" s="114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6"/>
    </row>
    <row r="557" customFormat="false" ht="15.75" hidden="false" customHeight="false" outlineLevel="0" collapsed="false">
      <c r="A557" s="113"/>
      <c r="B557" s="114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6"/>
    </row>
    <row r="558" customFormat="false" ht="15.75" hidden="false" customHeight="false" outlineLevel="0" collapsed="false">
      <c r="A558" s="113"/>
      <c r="B558" s="114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6"/>
    </row>
    <row r="559" customFormat="false" ht="15.75" hidden="false" customHeight="false" outlineLevel="0" collapsed="false">
      <c r="A559" s="113"/>
      <c r="B559" s="114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6"/>
    </row>
    <row r="560" customFormat="false" ht="15.75" hidden="false" customHeight="false" outlineLevel="0" collapsed="false">
      <c r="A560" s="113"/>
      <c r="B560" s="114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6"/>
    </row>
    <row r="561" customFormat="false" ht="15.75" hidden="false" customHeight="false" outlineLevel="0" collapsed="false">
      <c r="A561" s="113"/>
      <c r="B561" s="114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6"/>
    </row>
    <row r="562" customFormat="false" ht="15.75" hidden="false" customHeight="false" outlineLevel="0" collapsed="false">
      <c r="A562" s="113"/>
      <c r="B562" s="114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6"/>
    </row>
    <row r="563" customFormat="false" ht="15.75" hidden="false" customHeight="false" outlineLevel="0" collapsed="false">
      <c r="A563" s="113"/>
      <c r="B563" s="114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6"/>
    </row>
    <row r="564" customFormat="false" ht="15.75" hidden="false" customHeight="false" outlineLevel="0" collapsed="false">
      <c r="A564" s="113"/>
      <c r="B564" s="114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6"/>
    </row>
    <row r="565" customFormat="false" ht="15.75" hidden="false" customHeight="false" outlineLevel="0" collapsed="false">
      <c r="A565" s="113"/>
      <c r="B565" s="114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6"/>
    </row>
    <row r="566" customFormat="false" ht="15.75" hidden="false" customHeight="false" outlineLevel="0" collapsed="false">
      <c r="A566" s="113"/>
      <c r="B566" s="114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6"/>
    </row>
    <row r="567" customFormat="false" ht="15.75" hidden="false" customHeight="false" outlineLevel="0" collapsed="false">
      <c r="A567" s="113"/>
      <c r="B567" s="114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6"/>
    </row>
    <row r="568" customFormat="false" ht="15.75" hidden="false" customHeight="false" outlineLevel="0" collapsed="false">
      <c r="A568" s="113"/>
      <c r="B568" s="114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6"/>
    </row>
    <row r="569" customFormat="false" ht="15.75" hidden="false" customHeight="false" outlineLevel="0" collapsed="false">
      <c r="A569" s="113"/>
      <c r="B569" s="114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6"/>
    </row>
    <row r="570" customFormat="false" ht="15.75" hidden="false" customHeight="false" outlineLevel="0" collapsed="false">
      <c r="A570" s="113"/>
      <c r="B570" s="114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6"/>
    </row>
    <row r="571" customFormat="false" ht="15.75" hidden="false" customHeight="false" outlineLevel="0" collapsed="false">
      <c r="A571" s="113"/>
      <c r="B571" s="114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6"/>
    </row>
    <row r="572" customFormat="false" ht="15.75" hidden="false" customHeight="false" outlineLevel="0" collapsed="false">
      <c r="A572" s="113"/>
      <c r="B572" s="114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6"/>
    </row>
    <row r="573" customFormat="false" ht="15.75" hidden="false" customHeight="false" outlineLevel="0" collapsed="false">
      <c r="A573" s="113"/>
      <c r="B573" s="114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6"/>
    </row>
    <row r="574" customFormat="false" ht="15.75" hidden="false" customHeight="false" outlineLevel="0" collapsed="false">
      <c r="A574" s="113"/>
      <c r="B574" s="114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6"/>
    </row>
    <row r="575" customFormat="false" ht="15.75" hidden="false" customHeight="false" outlineLevel="0" collapsed="false">
      <c r="A575" s="113"/>
      <c r="B575" s="114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6"/>
    </row>
    <row r="576" customFormat="false" ht="15.75" hidden="false" customHeight="false" outlineLevel="0" collapsed="false">
      <c r="A576" s="113"/>
      <c r="B576" s="114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6"/>
    </row>
    <row r="577" customFormat="false" ht="15.75" hidden="false" customHeight="false" outlineLevel="0" collapsed="false">
      <c r="A577" s="113"/>
      <c r="B577" s="114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6"/>
    </row>
    <row r="578" customFormat="false" ht="15.75" hidden="false" customHeight="false" outlineLevel="0" collapsed="false">
      <c r="A578" s="113"/>
      <c r="B578" s="114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6"/>
    </row>
    <row r="579" customFormat="false" ht="15.75" hidden="false" customHeight="false" outlineLevel="0" collapsed="false">
      <c r="A579" s="113"/>
      <c r="B579" s="114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6"/>
    </row>
    <row r="580" customFormat="false" ht="15.75" hidden="false" customHeight="false" outlineLevel="0" collapsed="false">
      <c r="A580" s="113"/>
      <c r="B580" s="114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6"/>
    </row>
    <row r="581" customFormat="false" ht="15.75" hidden="false" customHeight="false" outlineLevel="0" collapsed="false">
      <c r="A581" s="113"/>
      <c r="B581" s="114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6"/>
    </row>
    <row r="582" customFormat="false" ht="15.75" hidden="false" customHeight="false" outlineLevel="0" collapsed="false">
      <c r="A582" s="113"/>
      <c r="B582" s="114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6"/>
    </row>
    <row r="583" customFormat="false" ht="15.75" hidden="false" customHeight="false" outlineLevel="0" collapsed="false">
      <c r="A583" s="113"/>
      <c r="B583" s="114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6"/>
    </row>
    <row r="584" customFormat="false" ht="15.75" hidden="false" customHeight="false" outlineLevel="0" collapsed="false">
      <c r="A584" s="113"/>
      <c r="B584" s="114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6"/>
    </row>
    <row r="585" customFormat="false" ht="15.75" hidden="false" customHeight="false" outlineLevel="0" collapsed="false">
      <c r="A585" s="113"/>
      <c r="B585" s="114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6"/>
    </row>
    <row r="586" customFormat="false" ht="15.75" hidden="false" customHeight="false" outlineLevel="0" collapsed="false">
      <c r="A586" s="113"/>
      <c r="B586" s="114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6"/>
    </row>
    <row r="587" customFormat="false" ht="15.75" hidden="false" customHeight="false" outlineLevel="0" collapsed="false">
      <c r="A587" s="113"/>
      <c r="B587" s="114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6"/>
    </row>
    <row r="588" customFormat="false" ht="15.75" hidden="false" customHeight="false" outlineLevel="0" collapsed="false">
      <c r="A588" s="113"/>
      <c r="B588" s="114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6"/>
    </row>
    <row r="589" customFormat="false" ht="15.75" hidden="false" customHeight="false" outlineLevel="0" collapsed="false">
      <c r="A589" s="113"/>
      <c r="B589" s="114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6"/>
    </row>
    <row r="590" customFormat="false" ht="15.75" hidden="false" customHeight="false" outlineLevel="0" collapsed="false">
      <c r="A590" s="113"/>
      <c r="B590" s="114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6"/>
    </row>
    <row r="591" customFormat="false" ht="15.75" hidden="false" customHeight="false" outlineLevel="0" collapsed="false">
      <c r="A591" s="113"/>
      <c r="B591" s="114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6"/>
    </row>
    <row r="592" customFormat="false" ht="15.75" hidden="false" customHeight="false" outlineLevel="0" collapsed="false">
      <c r="A592" s="113"/>
      <c r="B592" s="114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6"/>
    </row>
    <row r="593" customFormat="false" ht="15.75" hidden="false" customHeight="false" outlineLevel="0" collapsed="false">
      <c r="A593" s="113"/>
      <c r="B593" s="114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6"/>
    </row>
    <row r="594" customFormat="false" ht="15.75" hidden="false" customHeight="false" outlineLevel="0" collapsed="false">
      <c r="A594" s="113"/>
      <c r="B594" s="114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6"/>
    </row>
    <row r="595" customFormat="false" ht="15.75" hidden="false" customHeight="false" outlineLevel="0" collapsed="false">
      <c r="A595" s="113"/>
      <c r="B595" s="114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6"/>
    </row>
    <row r="596" customFormat="false" ht="15.75" hidden="false" customHeight="false" outlineLevel="0" collapsed="false">
      <c r="A596" s="113"/>
      <c r="B596" s="114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6"/>
    </row>
    <row r="597" customFormat="false" ht="15.75" hidden="false" customHeight="false" outlineLevel="0" collapsed="false">
      <c r="A597" s="113"/>
      <c r="B597" s="114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6"/>
    </row>
    <row r="598" customFormat="false" ht="15.75" hidden="false" customHeight="false" outlineLevel="0" collapsed="false">
      <c r="A598" s="113"/>
      <c r="B598" s="114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6"/>
    </row>
    <row r="599" customFormat="false" ht="15.75" hidden="false" customHeight="false" outlineLevel="0" collapsed="false">
      <c r="A599" s="113"/>
      <c r="B599" s="114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6"/>
    </row>
    <row r="600" customFormat="false" ht="15.75" hidden="false" customHeight="false" outlineLevel="0" collapsed="false">
      <c r="A600" s="113"/>
      <c r="B600" s="114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6"/>
    </row>
    <row r="601" customFormat="false" ht="15.75" hidden="false" customHeight="false" outlineLevel="0" collapsed="false">
      <c r="A601" s="113"/>
      <c r="B601" s="114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6"/>
    </row>
    <row r="602" customFormat="false" ht="15.75" hidden="false" customHeight="false" outlineLevel="0" collapsed="false">
      <c r="A602" s="113"/>
      <c r="B602" s="114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6"/>
    </row>
    <row r="603" customFormat="false" ht="15.75" hidden="false" customHeight="false" outlineLevel="0" collapsed="false">
      <c r="A603" s="113"/>
      <c r="B603" s="114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6"/>
    </row>
    <row r="604" customFormat="false" ht="15.75" hidden="false" customHeight="false" outlineLevel="0" collapsed="false">
      <c r="A604" s="113"/>
      <c r="B604" s="114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6"/>
    </row>
    <row r="605" customFormat="false" ht="15.75" hidden="false" customHeight="false" outlineLevel="0" collapsed="false">
      <c r="A605" s="113"/>
      <c r="B605" s="114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6"/>
    </row>
    <row r="606" customFormat="false" ht="15.75" hidden="false" customHeight="false" outlineLevel="0" collapsed="false">
      <c r="A606" s="113"/>
      <c r="B606" s="114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6"/>
    </row>
    <row r="607" customFormat="false" ht="15.75" hidden="false" customHeight="false" outlineLevel="0" collapsed="false">
      <c r="A607" s="113"/>
      <c r="B607" s="114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6"/>
    </row>
    <row r="608" customFormat="false" ht="15.75" hidden="false" customHeight="false" outlineLevel="0" collapsed="false">
      <c r="A608" s="113"/>
      <c r="B608" s="114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6"/>
    </row>
    <row r="609" customFormat="false" ht="15.75" hidden="false" customHeight="false" outlineLevel="0" collapsed="false">
      <c r="A609" s="113"/>
      <c r="B609" s="114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6"/>
    </row>
    <row r="610" customFormat="false" ht="15.75" hidden="false" customHeight="false" outlineLevel="0" collapsed="false">
      <c r="A610" s="113"/>
      <c r="B610" s="114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6"/>
    </row>
    <row r="611" customFormat="false" ht="15.75" hidden="false" customHeight="false" outlineLevel="0" collapsed="false">
      <c r="A611" s="113"/>
      <c r="B611" s="114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6"/>
    </row>
    <row r="612" customFormat="false" ht="15.75" hidden="false" customHeight="false" outlineLevel="0" collapsed="false">
      <c r="A612" s="113"/>
      <c r="B612" s="114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6"/>
    </row>
    <row r="613" customFormat="false" ht="15.75" hidden="false" customHeight="false" outlineLevel="0" collapsed="false">
      <c r="A613" s="113"/>
      <c r="B613" s="114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6"/>
    </row>
    <row r="614" customFormat="false" ht="15.75" hidden="false" customHeight="false" outlineLevel="0" collapsed="false">
      <c r="A614" s="113"/>
      <c r="B614" s="114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6"/>
    </row>
    <row r="615" customFormat="false" ht="15.75" hidden="false" customHeight="false" outlineLevel="0" collapsed="false">
      <c r="A615" s="113"/>
      <c r="B615" s="114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6"/>
    </row>
    <row r="616" customFormat="false" ht="15.75" hidden="false" customHeight="false" outlineLevel="0" collapsed="false">
      <c r="A616" s="113"/>
      <c r="B616" s="114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6"/>
    </row>
    <row r="617" customFormat="false" ht="15.75" hidden="false" customHeight="false" outlineLevel="0" collapsed="false">
      <c r="A617" s="113"/>
      <c r="B617" s="114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6"/>
    </row>
    <row r="618" customFormat="false" ht="15.75" hidden="false" customHeight="false" outlineLevel="0" collapsed="false">
      <c r="A618" s="113"/>
      <c r="B618" s="114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6"/>
    </row>
    <row r="619" customFormat="false" ht="15.75" hidden="false" customHeight="false" outlineLevel="0" collapsed="false">
      <c r="A619" s="113"/>
      <c r="B619" s="114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6"/>
    </row>
    <row r="620" customFormat="false" ht="15.75" hidden="false" customHeight="false" outlineLevel="0" collapsed="false">
      <c r="A620" s="113"/>
      <c r="B620" s="114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6"/>
    </row>
    <row r="621" customFormat="false" ht="15.75" hidden="false" customHeight="false" outlineLevel="0" collapsed="false">
      <c r="A621" s="113"/>
      <c r="B621" s="114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6"/>
    </row>
    <row r="622" customFormat="false" ht="15.75" hidden="false" customHeight="false" outlineLevel="0" collapsed="false">
      <c r="A622" s="113"/>
      <c r="B622" s="114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6"/>
    </row>
    <row r="623" customFormat="false" ht="15.75" hidden="false" customHeight="false" outlineLevel="0" collapsed="false">
      <c r="A623" s="113"/>
      <c r="B623" s="114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6"/>
    </row>
    <row r="624" customFormat="false" ht="15.75" hidden="false" customHeight="false" outlineLevel="0" collapsed="false">
      <c r="A624" s="113"/>
      <c r="B624" s="114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6"/>
    </row>
    <row r="625" customFormat="false" ht="15.75" hidden="false" customHeight="false" outlineLevel="0" collapsed="false">
      <c r="A625" s="113"/>
      <c r="B625" s="114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6"/>
    </row>
    <row r="626" customFormat="false" ht="15.75" hidden="false" customHeight="false" outlineLevel="0" collapsed="false">
      <c r="A626" s="113"/>
      <c r="B626" s="114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6"/>
    </row>
    <row r="627" customFormat="false" ht="15.75" hidden="false" customHeight="false" outlineLevel="0" collapsed="false">
      <c r="A627" s="113"/>
      <c r="B627" s="114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6"/>
    </row>
    <row r="628" customFormat="false" ht="15.75" hidden="false" customHeight="false" outlineLevel="0" collapsed="false">
      <c r="A628" s="113"/>
      <c r="B628" s="114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6"/>
    </row>
    <row r="629" customFormat="false" ht="15.75" hidden="false" customHeight="false" outlineLevel="0" collapsed="false">
      <c r="A629" s="113"/>
      <c r="B629" s="114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6"/>
    </row>
    <row r="630" customFormat="false" ht="15.75" hidden="false" customHeight="false" outlineLevel="0" collapsed="false">
      <c r="A630" s="113"/>
      <c r="B630" s="114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6"/>
    </row>
    <row r="631" customFormat="false" ht="15.75" hidden="false" customHeight="false" outlineLevel="0" collapsed="false">
      <c r="A631" s="113"/>
      <c r="B631" s="114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6"/>
    </row>
    <row r="632" customFormat="false" ht="15.75" hidden="false" customHeight="false" outlineLevel="0" collapsed="false">
      <c r="A632" s="113"/>
      <c r="B632" s="114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6"/>
    </row>
    <row r="633" customFormat="false" ht="15.75" hidden="false" customHeight="false" outlineLevel="0" collapsed="false">
      <c r="A633" s="113"/>
      <c r="B633" s="114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6"/>
    </row>
    <row r="634" customFormat="false" ht="15.75" hidden="false" customHeight="false" outlineLevel="0" collapsed="false">
      <c r="A634" s="113"/>
      <c r="B634" s="114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6"/>
    </row>
    <row r="635" customFormat="false" ht="15.75" hidden="false" customHeight="false" outlineLevel="0" collapsed="false">
      <c r="A635" s="113"/>
      <c r="B635" s="114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6"/>
    </row>
    <row r="636" customFormat="false" ht="15.75" hidden="false" customHeight="false" outlineLevel="0" collapsed="false">
      <c r="A636" s="113"/>
      <c r="B636" s="114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6"/>
    </row>
    <row r="637" customFormat="false" ht="15.75" hidden="false" customHeight="false" outlineLevel="0" collapsed="false">
      <c r="A637" s="113"/>
      <c r="B637" s="114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6"/>
    </row>
    <row r="638" customFormat="false" ht="15.75" hidden="false" customHeight="false" outlineLevel="0" collapsed="false">
      <c r="A638" s="113"/>
      <c r="B638" s="114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6"/>
    </row>
    <row r="639" customFormat="false" ht="15.75" hidden="false" customHeight="false" outlineLevel="0" collapsed="false">
      <c r="A639" s="113"/>
      <c r="B639" s="114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6"/>
    </row>
    <row r="640" customFormat="false" ht="15.75" hidden="false" customHeight="false" outlineLevel="0" collapsed="false">
      <c r="A640" s="113"/>
      <c r="B640" s="114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6"/>
    </row>
    <row r="641" customFormat="false" ht="15.75" hidden="false" customHeight="false" outlineLevel="0" collapsed="false">
      <c r="A641" s="113"/>
      <c r="B641" s="114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6"/>
    </row>
    <row r="642" customFormat="false" ht="15.75" hidden="false" customHeight="false" outlineLevel="0" collapsed="false">
      <c r="A642" s="113"/>
      <c r="B642" s="114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6"/>
    </row>
    <row r="643" customFormat="false" ht="15.75" hidden="false" customHeight="false" outlineLevel="0" collapsed="false">
      <c r="A643" s="113"/>
      <c r="B643" s="114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6"/>
    </row>
    <row r="644" customFormat="false" ht="15.75" hidden="false" customHeight="false" outlineLevel="0" collapsed="false">
      <c r="A644" s="113"/>
      <c r="B644" s="114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6"/>
    </row>
    <row r="645" customFormat="false" ht="15.75" hidden="false" customHeight="false" outlineLevel="0" collapsed="false">
      <c r="A645" s="113"/>
      <c r="B645" s="114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6"/>
    </row>
    <row r="646" customFormat="false" ht="15.75" hidden="false" customHeight="false" outlineLevel="0" collapsed="false">
      <c r="A646" s="113"/>
      <c r="B646" s="114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6"/>
    </row>
    <row r="647" customFormat="false" ht="15.75" hidden="false" customHeight="false" outlineLevel="0" collapsed="false">
      <c r="A647" s="113"/>
      <c r="B647" s="114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6"/>
    </row>
    <row r="648" customFormat="false" ht="15.75" hidden="false" customHeight="false" outlineLevel="0" collapsed="false">
      <c r="A648" s="113"/>
      <c r="B648" s="114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6"/>
    </row>
    <row r="649" customFormat="false" ht="15.75" hidden="false" customHeight="false" outlineLevel="0" collapsed="false">
      <c r="A649" s="113"/>
      <c r="B649" s="114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6"/>
    </row>
    <row r="650" customFormat="false" ht="15.75" hidden="false" customHeight="false" outlineLevel="0" collapsed="false">
      <c r="A650" s="113"/>
      <c r="B650" s="114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6"/>
    </row>
    <row r="651" customFormat="false" ht="15.75" hidden="false" customHeight="false" outlineLevel="0" collapsed="false">
      <c r="A651" s="113"/>
      <c r="B651" s="114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6"/>
    </row>
    <row r="652" customFormat="false" ht="15.75" hidden="false" customHeight="false" outlineLevel="0" collapsed="false">
      <c r="A652" s="113"/>
      <c r="B652" s="114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6"/>
    </row>
    <row r="653" customFormat="false" ht="15.75" hidden="false" customHeight="false" outlineLevel="0" collapsed="false">
      <c r="A653" s="113"/>
      <c r="B653" s="114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6"/>
    </row>
    <row r="654" customFormat="false" ht="15.75" hidden="false" customHeight="false" outlineLevel="0" collapsed="false">
      <c r="A654" s="113"/>
      <c r="B654" s="114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6"/>
    </row>
    <row r="655" customFormat="false" ht="15.75" hidden="false" customHeight="false" outlineLevel="0" collapsed="false">
      <c r="A655" s="113"/>
      <c r="B655" s="114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6"/>
    </row>
    <row r="656" customFormat="false" ht="15.75" hidden="false" customHeight="false" outlineLevel="0" collapsed="false">
      <c r="A656" s="113"/>
      <c r="B656" s="114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6"/>
    </row>
    <row r="657" customFormat="false" ht="15.75" hidden="false" customHeight="false" outlineLevel="0" collapsed="false">
      <c r="A657" s="113"/>
      <c r="B657" s="114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6"/>
    </row>
    <row r="658" customFormat="false" ht="15.75" hidden="false" customHeight="false" outlineLevel="0" collapsed="false">
      <c r="A658" s="113"/>
      <c r="B658" s="114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6"/>
    </row>
    <row r="659" customFormat="false" ht="15.75" hidden="false" customHeight="false" outlineLevel="0" collapsed="false">
      <c r="A659" s="113"/>
      <c r="B659" s="114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6"/>
    </row>
    <row r="660" customFormat="false" ht="15.75" hidden="false" customHeight="false" outlineLevel="0" collapsed="false">
      <c r="A660" s="113"/>
      <c r="B660" s="114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6"/>
    </row>
    <row r="661" customFormat="false" ht="15.75" hidden="false" customHeight="false" outlineLevel="0" collapsed="false">
      <c r="A661" s="113"/>
      <c r="B661" s="114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6"/>
    </row>
    <row r="662" customFormat="false" ht="15.75" hidden="false" customHeight="false" outlineLevel="0" collapsed="false">
      <c r="A662" s="113"/>
      <c r="B662" s="114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6"/>
    </row>
    <row r="663" customFormat="false" ht="15.75" hidden="false" customHeight="false" outlineLevel="0" collapsed="false">
      <c r="A663" s="113"/>
      <c r="B663" s="114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6"/>
    </row>
    <row r="664" customFormat="false" ht="15.75" hidden="false" customHeight="false" outlineLevel="0" collapsed="false">
      <c r="A664" s="113"/>
      <c r="B664" s="114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6"/>
    </row>
    <row r="665" customFormat="false" ht="15.75" hidden="false" customHeight="false" outlineLevel="0" collapsed="false">
      <c r="A665" s="113"/>
      <c r="B665" s="114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6"/>
    </row>
    <row r="666" customFormat="false" ht="15.75" hidden="false" customHeight="false" outlineLevel="0" collapsed="false">
      <c r="A666" s="113"/>
      <c r="B666" s="114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6"/>
    </row>
    <row r="667" customFormat="false" ht="15.75" hidden="false" customHeight="false" outlineLevel="0" collapsed="false">
      <c r="A667" s="113"/>
      <c r="B667" s="114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6"/>
    </row>
    <row r="668" customFormat="false" ht="15.75" hidden="false" customHeight="false" outlineLevel="0" collapsed="false">
      <c r="A668" s="113"/>
      <c r="B668" s="114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6"/>
    </row>
    <row r="669" customFormat="false" ht="15.75" hidden="false" customHeight="false" outlineLevel="0" collapsed="false">
      <c r="A669" s="113"/>
      <c r="B669" s="114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6"/>
    </row>
    <row r="670" customFormat="false" ht="15.75" hidden="false" customHeight="false" outlineLevel="0" collapsed="false">
      <c r="A670" s="113"/>
      <c r="B670" s="114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6"/>
    </row>
    <row r="671" customFormat="false" ht="15.75" hidden="false" customHeight="false" outlineLevel="0" collapsed="false">
      <c r="A671" s="113"/>
      <c r="B671" s="114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6"/>
    </row>
    <row r="672" customFormat="false" ht="15.75" hidden="false" customHeight="false" outlineLevel="0" collapsed="false">
      <c r="A672" s="113"/>
      <c r="B672" s="114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6"/>
    </row>
    <row r="673" customFormat="false" ht="15.75" hidden="false" customHeight="false" outlineLevel="0" collapsed="false">
      <c r="A673" s="113"/>
      <c r="B673" s="114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6"/>
    </row>
    <row r="674" customFormat="false" ht="15.75" hidden="false" customHeight="false" outlineLevel="0" collapsed="false">
      <c r="A674" s="113"/>
      <c r="B674" s="114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6"/>
    </row>
    <row r="675" customFormat="false" ht="15.75" hidden="false" customHeight="false" outlineLevel="0" collapsed="false">
      <c r="A675" s="113"/>
      <c r="B675" s="114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6"/>
    </row>
    <row r="676" customFormat="false" ht="15.75" hidden="false" customHeight="false" outlineLevel="0" collapsed="false">
      <c r="A676" s="113"/>
      <c r="B676" s="114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6"/>
    </row>
    <row r="677" customFormat="false" ht="15.75" hidden="false" customHeight="false" outlineLevel="0" collapsed="false">
      <c r="A677" s="113"/>
      <c r="B677" s="114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6"/>
    </row>
    <row r="678" customFormat="false" ht="15.75" hidden="false" customHeight="false" outlineLevel="0" collapsed="false">
      <c r="A678" s="113"/>
      <c r="B678" s="114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6"/>
    </row>
    <row r="679" customFormat="false" ht="15.75" hidden="false" customHeight="false" outlineLevel="0" collapsed="false">
      <c r="A679" s="113"/>
      <c r="B679" s="114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6"/>
    </row>
    <row r="680" customFormat="false" ht="15.75" hidden="false" customHeight="false" outlineLevel="0" collapsed="false">
      <c r="A680" s="113"/>
      <c r="B680" s="114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6"/>
    </row>
    <row r="681" customFormat="false" ht="15.75" hidden="false" customHeight="false" outlineLevel="0" collapsed="false">
      <c r="A681" s="113"/>
      <c r="B681" s="114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6"/>
    </row>
    <row r="682" customFormat="false" ht="15.75" hidden="false" customHeight="false" outlineLevel="0" collapsed="false">
      <c r="A682" s="113"/>
      <c r="B682" s="114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6"/>
    </row>
    <row r="683" customFormat="false" ht="15.75" hidden="false" customHeight="false" outlineLevel="0" collapsed="false">
      <c r="A683" s="113"/>
      <c r="B683" s="114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6"/>
    </row>
    <row r="684" customFormat="false" ht="15.75" hidden="false" customHeight="false" outlineLevel="0" collapsed="false">
      <c r="A684" s="113"/>
      <c r="B684" s="114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6"/>
    </row>
    <row r="685" customFormat="false" ht="15.75" hidden="false" customHeight="false" outlineLevel="0" collapsed="false">
      <c r="A685" s="113"/>
      <c r="B685" s="114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6"/>
    </row>
    <row r="686" customFormat="false" ht="15.75" hidden="false" customHeight="false" outlineLevel="0" collapsed="false">
      <c r="A686" s="113"/>
      <c r="B686" s="114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6"/>
    </row>
    <row r="687" customFormat="false" ht="15.75" hidden="false" customHeight="false" outlineLevel="0" collapsed="false">
      <c r="A687" s="113"/>
      <c r="B687" s="114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6"/>
    </row>
    <row r="688" customFormat="false" ht="15.75" hidden="false" customHeight="false" outlineLevel="0" collapsed="false">
      <c r="A688" s="113"/>
      <c r="B688" s="114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6"/>
    </row>
    <row r="689" customFormat="false" ht="15.75" hidden="false" customHeight="false" outlineLevel="0" collapsed="false">
      <c r="A689" s="113"/>
      <c r="B689" s="114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6"/>
    </row>
    <row r="690" customFormat="false" ht="15.75" hidden="false" customHeight="false" outlineLevel="0" collapsed="false">
      <c r="A690" s="113"/>
      <c r="B690" s="114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6"/>
    </row>
    <row r="691" customFormat="false" ht="15.75" hidden="false" customHeight="false" outlineLevel="0" collapsed="false">
      <c r="A691" s="113"/>
      <c r="B691" s="114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6"/>
    </row>
    <row r="692" customFormat="false" ht="15.75" hidden="false" customHeight="false" outlineLevel="0" collapsed="false">
      <c r="A692" s="113"/>
      <c r="B692" s="114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6"/>
    </row>
    <row r="693" customFormat="false" ht="15.75" hidden="false" customHeight="false" outlineLevel="0" collapsed="false">
      <c r="A693" s="113"/>
      <c r="B693" s="114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6"/>
    </row>
    <row r="694" customFormat="false" ht="15.75" hidden="false" customHeight="false" outlineLevel="0" collapsed="false">
      <c r="A694" s="113"/>
      <c r="B694" s="114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6"/>
    </row>
    <row r="695" customFormat="false" ht="15.75" hidden="false" customHeight="false" outlineLevel="0" collapsed="false">
      <c r="A695" s="113"/>
      <c r="B695" s="114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6"/>
    </row>
    <row r="696" customFormat="false" ht="15.75" hidden="false" customHeight="false" outlineLevel="0" collapsed="false">
      <c r="A696" s="113"/>
      <c r="B696" s="114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6"/>
    </row>
    <row r="697" customFormat="false" ht="15.75" hidden="false" customHeight="false" outlineLevel="0" collapsed="false">
      <c r="A697" s="113"/>
      <c r="B697" s="114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6"/>
    </row>
    <row r="698" customFormat="false" ht="15.75" hidden="false" customHeight="false" outlineLevel="0" collapsed="false">
      <c r="A698" s="113"/>
      <c r="B698" s="114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6"/>
    </row>
    <row r="699" customFormat="false" ht="15.75" hidden="false" customHeight="false" outlineLevel="0" collapsed="false">
      <c r="A699" s="113"/>
      <c r="B699" s="114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6"/>
    </row>
    <row r="700" customFormat="false" ht="15.75" hidden="false" customHeight="false" outlineLevel="0" collapsed="false">
      <c r="A700" s="113"/>
      <c r="B700" s="114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6"/>
    </row>
    <row r="701" customFormat="false" ht="15.75" hidden="false" customHeight="false" outlineLevel="0" collapsed="false">
      <c r="A701" s="113"/>
      <c r="B701" s="114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6"/>
    </row>
    <row r="702" customFormat="false" ht="15.75" hidden="false" customHeight="false" outlineLevel="0" collapsed="false">
      <c r="A702" s="113"/>
      <c r="B702" s="114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6"/>
    </row>
    <row r="703" customFormat="false" ht="15.75" hidden="false" customHeight="false" outlineLevel="0" collapsed="false">
      <c r="A703" s="113"/>
      <c r="B703" s="114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6"/>
    </row>
    <row r="704" customFormat="false" ht="15.75" hidden="false" customHeight="false" outlineLevel="0" collapsed="false">
      <c r="A704" s="113"/>
      <c r="B704" s="114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6"/>
    </row>
    <row r="705" customFormat="false" ht="15.75" hidden="false" customHeight="false" outlineLevel="0" collapsed="false">
      <c r="A705" s="113"/>
      <c r="B705" s="114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6"/>
    </row>
    <row r="706" customFormat="false" ht="15.75" hidden="false" customHeight="false" outlineLevel="0" collapsed="false">
      <c r="A706" s="113"/>
      <c r="B706" s="114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6"/>
    </row>
    <row r="707" customFormat="false" ht="15.75" hidden="false" customHeight="false" outlineLevel="0" collapsed="false">
      <c r="A707" s="113"/>
      <c r="B707" s="114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6"/>
    </row>
    <row r="708" customFormat="false" ht="15.75" hidden="false" customHeight="false" outlineLevel="0" collapsed="false">
      <c r="A708" s="113"/>
      <c r="B708" s="114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6"/>
    </row>
    <row r="709" customFormat="false" ht="15.75" hidden="false" customHeight="false" outlineLevel="0" collapsed="false">
      <c r="A709" s="113"/>
      <c r="B709" s="114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6"/>
    </row>
    <row r="710" customFormat="false" ht="15.75" hidden="false" customHeight="false" outlineLevel="0" collapsed="false">
      <c r="A710" s="113"/>
      <c r="B710" s="114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6"/>
    </row>
    <row r="711" customFormat="false" ht="15.75" hidden="false" customHeight="false" outlineLevel="0" collapsed="false">
      <c r="A711" s="113"/>
      <c r="B711" s="114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6"/>
    </row>
    <row r="712" customFormat="false" ht="15.75" hidden="false" customHeight="false" outlineLevel="0" collapsed="false">
      <c r="A712" s="113"/>
      <c r="B712" s="114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6"/>
    </row>
    <row r="713" customFormat="false" ht="15.75" hidden="false" customHeight="false" outlineLevel="0" collapsed="false">
      <c r="A713" s="113"/>
      <c r="B713" s="114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6"/>
    </row>
    <row r="714" customFormat="false" ht="15.75" hidden="false" customHeight="false" outlineLevel="0" collapsed="false">
      <c r="A714" s="113"/>
      <c r="B714" s="114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6"/>
    </row>
    <row r="715" customFormat="false" ht="15.75" hidden="false" customHeight="false" outlineLevel="0" collapsed="false">
      <c r="A715" s="113"/>
      <c r="B715" s="114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6"/>
    </row>
    <row r="716" customFormat="false" ht="15.75" hidden="false" customHeight="false" outlineLevel="0" collapsed="false">
      <c r="A716" s="113"/>
      <c r="B716" s="114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6"/>
    </row>
    <row r="717" customFormat="false" ht="15.75" hidden="false" customHeight="false" outlineLevel="0" collapsed="false">
      <c r="A717" s="113"/>
      <c r="B717" s="114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6"/>
    </row>
    <row r="718" customFormat="false" ht="15.75" hidden="false" customHeight="false" outlineLevel="0" collapsed="false">
      <c r="A718" s="113"/>
      <c r="B718" s="114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6"/>
    </row>
    <row r="719" customFormat="false" ht="15.75" hidden="false" customHeight="false" outlineLevel="0" collapsed="false">
      <c r="A719" s="113"/>
      <c r="B719" s="114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6"/>
    </row>
    <row r="720" customFormat="false" ht="15.75" hidden="false" customHeight="false" outlineLevel="0" collapsed="false">
      <c r="A720" s="113"/>
      <c r="B720" s="114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6"/>
    </row>
    <row r="721" customFormat="false" ht="15.75" hidden="false" customHeight="false" outlineLevel="0" collapsed="false">
      <c r="A721" s="113"/>
      <c r="B721" s="114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6"/>
    </row>
    <row r="722" customFormat="false" ht="15.75" hidden="false" customHeight="false" outlineLevel="0" collapsed="false">
      <c r="A722" s="113"/>
      <c r="B722" s="114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6"/>
    </row>
    <row r="723" customFormat="false" ht="15.75" hidden="false" customHeight="false" outlineLevel="0" collapsed="false">
      <c r="A723" s="113"/>
      <c r="B723" s="114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6"/>
    </row>
    <row r="724" customFormat="false" ht="15.75" hidden="false" customHeight="false" outlineLevel="0" collapsed="false">
      <c r="A724" s="113"/>
      <c r="B724" s="114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6"/>
    </row>
    <row r="725" customFormat="false" ht="15.75" hidden="false" customHeight="false" outlineLevel="0" collapsed="false">
      <c r="A725" s="113"/>
      <c r="B725" s="114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6"/>
    </row>
    <row r="726" customFormat="false" ht="15.75" hidden="false" customHeight="false" outlineLevel="0" collapsed="false">
      <c r="A726" s="113"/>
      <c r="B726" s="114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6"/>
    </row>
    <row r="727" customFormat="false" ht="15.75" hidden="false" customHeight="false" outlineLevel="0" collapsed="false">
      <c r="A727" s="113"/>
      <c r="B727" s="114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6"/>
    </row>
    <row r="728" customFormat="false" ht="15.75" hidden="false" customHeight="false" outlineLevel="0" collapsed="false">
      <c r="A728" s="113"/>
      <c r="B728" s="114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6"/>
    </row>
    <row r="729" customFormat="false" ht="15.75" hidden="false" customHeight="false" outlineLevel="0" collapsed="false">
      <c r="A729" s="113"/>
      <c r="B729" s="114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6"/>
    </row>
    <row r="730" customFormat="false" ht="15.75" hidden="false" customHeight="false" outlineLevel="0" collapsed="false">
      <c r="A730" s="113"/>
      <c r="B730" s="114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6"/>
    </row>
    <row r="731" customFormat="false" ht="15.75" hidden="false" customHeight="false" outlineLevel="0" collapsed="false">
      <c r="A731" s="113"/>
      <c r="B731" s="114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6"/>
    </row>
    <row r="732" customFormat="false" ht="15.75" hidden="false" customHeight="false" outlineLevel="0" collapsed="false">
      <c r="A732" s="113"/>
      <c r="B732" s="114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6"/>
    </row>
    <row r="733" customFormat="false" ht="15.75" hidden="false" customHeight="false" outlineLevel="0" collapsed="false">
      <c r="A733" s="113"/>
      <c r="B733" s="114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6"/>
    </row>
    <row r="734" customFormat="false" ht="15.75" hidden="false" customHeight="false" outlineLevel="0" collapsed="false">
      <c r="A734" s="113"/>
      <c r="B734" s="114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6"/>
    </row>
    <row r="735" customFormat="false" ht="15.75" hidden="false" customHeight="false" outlineLevel="0" collapsed="false">
      <c r="A735" s="113"/>
      <c r="B735" s="114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6"/>
    </row>
    <row r="736" customFormat="false" ht="15.75" hidden="false" customHeight="false" outlineLevel="0" collapsed="false">
      <c r="A736" s="113"/>
      <c r="B736" s="114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6"/>
    </row>
    <row r="737" customFormat="false" ht="15.75" hidden="false" customHeight="false" outlineLevel="0" collapsed="false">
      <c r="A737" s="113"/>
      <c r="B737" s="114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6"/>
    </row>
    <row r="738" customFormat="false" ht="15.75" hidden="false" customHeight="false" outlineLevel="0" collapsed="false">
      <c r="A738" s="113"/>
      <c r="B738" s="114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6"/>
    </row>
    <row r="739" customFormat="false" ht="15.75" hidden="false" customHeight="false" outlineLevel="0" collapsed="false">
      <c r="A739" s="113"/>
      <c r="B739" s="114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6"/>
    </row>
    <row r="740" customFormat="false" ht="15.75" hidden="false" customHeight="false" outlineLevel="0" collapsed="false">
      <c r="A740" s="113"/>
      <c r="B740" s="114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6"/>
    </row>
    <row r="741" customFormat="false" ht="15.75" hidden="false" customHeight="false" outlineLevel="0" collapsed="false">
      <c r="A741" s="113"/>
      <c r="B741" s="114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6"/>
    </row>
    <row r="742" customFormat="false" ht="15.75" hidden="false" customHeight="false" outlineLevel="0" collapsed="false">
      <c r="A742" s="113"/>
      <c r="B742" s="114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6"/>
    </row>
    <row r="743" customFormat="false" ht="15.75" hidden="false" customHeight="false" outlineLevel="0" collapsed="false">
      <c r="A743" s="113"/>
      <c r="B743" s="114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6"/>
    </row>
    <row r="744" customFormat="false" ht="15.75" hidden="false" customHeight="false" outlineLevel="0" collapsed="false">
      <c r="A744" s="113"/>
      <c r="B744" s="114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6"/>
    </row>
    <row r="745" customFormat="false" ht="15.75" hidden="false" customHeight="false" outlineLevel="0" collapsed="false">
      <c r="A745" s="113"/>
      <c r="B745" s="114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6"/>
    </row>
    <row r="746" customFormat="false" ht="15.75" hidden="false" customHeight="false" outlineLevel="0" collapsed="false">
      <c r="A746" s="113"/>
      <c r="B746" s="114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6"/>
    </row>
    <row r="747" customFormat="false" ht="15.75" hidden="false" customHeight="false" outlineLevel="0" collapsed="false">
      <c r="A747" s="113"/>
      <c r="B747" s="114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6"/>
    </row>
    <row r="748" customFormat="false" ht="15.75" hidden="false" customHeight="false" outlineLevel="0" collapsed="false">
      <c r="A748" s="113"/>
      <c r="B748" s="114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6"/>
    </row>
    <row r="749" customFormat="false" ht="15.75" hidden="false" customHeight="false" outlineLevel="0" collapsed="false">
      <c r="A749" s="113"/>
      <c r="B749" s="114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6"/>
    </row>
    <row r="750" customFormat="false" ht="15.75" hidden="false" customHeight="false" outlineLevel="0" collapsed="false">
      <c r="A750" s="113"/>
      <c r="B750" s="114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6"/>
    </row>
    <row r="751" customFormat="false" ht="15.75" hidden="false" customHeight="false" outlineLevel="0" collapsed="false">
      <c r="A751" s="113"/>
      <c r="B751" s="114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6"/>
    </row>
    <row r="752" customFormat="false" ht="15.75" hidden="false" customHeight="false" outlineLevel="0" collapsed="false">
      <c r="A752" s="113"/>
      <c r="B752" s="114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6"/>
    </row>
    <row r="753" customFormat="false" ht="15.75" hidden="false" customHeight="false" outlineLevel="0" collapsed="false">
      <c r="A753" s="113"/>
      <c r="B753" s="114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6"/>
    </row>
    <row r="754" customFormat="false" ht="15.75" hidden="false" customHeight="false" outlineLevel="0" collapsed="false">
      <c r="A754" s="113"/>
      <c r="B754" s="114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6"/>
    </row>
    <row r="755" customFormat="false" ht="15.75" hidden="false" customHeight="false" outlineLevel="0" collapsed="false">
      <c r="A755" s="113"/>
      <c r="B755" s="114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6"/>
    </row>
    <row r="756" customFormat="false" ht="15.75" hidden="false" customHeight="false" outlineLevel="0" collapsed="false">
      <c r="A756" s="113"/>
      <c r="B756" s="114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6"/>
    </row>
    <row r="757" customFormat="false" ht="15.75" hidden="false" customHeight="false" outlineLevel="0" collapsed="false">
      <c r="A757" s="113"/>
      <c r="B757" s="114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6"/>
    </row>
    <row r="758" customFormat="false" ht="15.75" hidden="false" customHeight="false" outlineLevel="0" collapsed="false">
      <c r="A758" s="113"/>
      <c r="B758" s="114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6"/>
    </row>
    <row r="759" customFormat="false" ht="15.75" hidden="false" customHeight="false" outlineLevel="0" collapsed="false">
      <c r="A759" s="113"/>
      <c r="B759" s="114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6"/>
    </row>
    <row r="760" customFormat="false" ht="15.75" hidden="false" customHeight="false" outlineLevel="0" collapsed="false">
      <c r="A760" s="113"/>
      <c r="B760" s="114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6"/>
    </row>
    <row r="761" customFormat="false" ht="15.75" hidden="false" customHeight="false" outlineLevel="0" collapsed="false">
      <c r="A761" s="113"/>
      <c r="B761" s="114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6"/>
    </row>
    <row r="762" customFormat="false" ht="15.75" hidden="false" customHeight="false" outlineLevel="0" collapsed="false">
      <c r="A762" s="113"/>
      <c r="B762" s="114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6"/>
    </row>
    <row r="763" customFormat="false" ht="15.75" hidden="false" customHeight="false" outlineLevel="0" collapsed="false">
      <c r="A763" s="113"/>
      <c r="B763" s="114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6"/>
    </row>
    <row r="764" customFormat="false" ht="15.75" hidden="false" customHeight="false" outlineLevel="0" collapsed="false">
      <c r="A764" s="113"/>
      <c r="B764" s="114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6"/>
    </row>
    <row r="765" customFormat="false" ht="15.75" hidden="false" customHeight="false" outlineLevel="0" collapsed="false">
      <c r="A765" s="113"/>
      <c r="B765" s="114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6"/>
    </row>
    <row r="766" customFormat="false" ht="15.75" hidden="false" customHeight="false" outlineLevel="0" collapsed="false">
      <c r="A766" s="113"/>
      <c r="B766" s="114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6"/>
    </row>
    <row r="767" customFormat="false" ht="15.75" hidden="false" customHeight="false" outlineLevel="0" collapsed="false">
      <c r="A767" s="113"/>
      <c r="B767" s="114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6"/>
    </row>
    <row r="768" customFormat="false" ht="15.75" hidden="false" customHeight="false" outlineLevel="0" collapsed="false">
      <c r="A768" s="113"/>
      <c r="B768" s="114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6"/>
    </row>
    <row r="769" customFormat="false" ht="15.75" hidden="false" customHeight="false" outlineLevel="0" collapsed="false">
      <c r="A769" s="113"/>
      <c r="B769" s="114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6"/>
    </row>
    <row r="770" customFormat="false" ht="15.75" hidden="false" customHeight="false" outlineLevel="0" collapsed="false">
      <c r="A770" s="113"/>
      <c r="B770" s="114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6"/>
    </row>
    <row r="771" customFormat="false" ht="15.75" hidden="false" customHeight="false" outlineLevel="0" collapsed="false">
      <c r="A771" s="113"/>
      <c r="B771" s="114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6"/>
    </row>
    <row r="772" customFormat="false" ht="15.75" hidden="false" customHeight="false" outlineLevel="0" collapsed="false">
      <c r="A772" s="113"/>
      <c r="B772" s="114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6"/>
    </row>
    <row r="773" customFormat="false" ht="15.75" hidden="false" customHeight="false" outlineLevel="0" collapsed="false">
      <c r="A773" s="113"/>
      <c r="B773" s="114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6"/>
    </row>
    <row r="774" customFormat="false" ht="15.75" hidden="false" customHeight="false" outlineLevel="0" collapsed="false">
      <c r="A774" s="113"/>
      <c r="B774" s="114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6"/>
    </row>
    <row r="775" customFormat="false" ht="15.75" hidden="false" customHeight="false" outlineLevel="0" collapsed="false">
      <c r="A775" s="113"/>
      <c r="B775" s="114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6"/>
    </row>
    <row r="776" customFormat="false" ht="15.75" hidden="false" customHeight="false" outlineLevel="0" collapsed="false">
      <c r="A776" s="113"/>
      <c r="B776" s="114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6"/>
    </row>
    <row r="777" customFormat="false" ht="15.75" hidden="false" customHeight="false" outlineLevel="0" collapsed="false">
      <c r="A777" s="113"/>
      <c r="B777" s="114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6"/>
    </row>
    <row r="778" customFormat="false" ht="15.75" hidden="false" customHeight="false" outlineLevel="0" collapsed="false">
      <c r="A778" s="113"/>
      <c r="B778" s="114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6"/>
    </row>
    <row r="779" customFormat="false" ht="15.75" hidden="false" customHeight="false" outlineLevel="0" collapsed="false">
      <c r="A779" s="113"/>
      <c r="B779" s="114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6"/>
    </row>
    <row r="780" customFormat="false" ht="15.75" hidden="false" customHeight="false" outlineLevel="0" collapsed="false">
      <c r="A780" s="113"/>
      <c r="B780" s="114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6"/>
    </row>
    <row r="781" customFormat="false" ht="15.75" hidden="false" customHeight="false" outlineLevel="0" collapsed="false">
      <c r="A781" s="113"/>
      <c r="B781" s="114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6"/>
    </row>
    <row r="782" customFormat="false" ht="15.75" hidden="false" customHeight="false" outlineLevel="0" collapsed="false">
      <c r="A782" s="113"/>
      <c r="B782" s="114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6"/>
    </row>
    <row r="783" customFormat="false" ht="15.75" hidden="false" customHeight="false" outlineLevel="0" collapsed="false">
      <c r="A783" s="113"/>
      <c r="B783" s="114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6"/>
    </row>
    <row r="784" customFormat="false" ht="15.75" hidden="false" customHeight="false" outlineLevel="0" collapsed="false">
      <c r="A784" s="113"/>
      <c r="B784" s="114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6"/>
    </row>
    <row r="785" customFormat="false" ht="15.75" hidden="false" customHeight="false" outlineLevel="0" collapsed="false">
      <c r="A785" s="113"/>
      <c r="B785" s="114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6"/>
    </row>
    <row r="786" customFormat="false" ht="15.75" hidden="false" customHeight="false" outlineLevel="0" collapsed="false">
      <c r="A786" s="113"/>
      <c r="B786" s="114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6"/>
    </row>
    <row r="787" customFormat="false" ht="15.75" hidden="false" customHeight="false" outlineLevel="0" collapsed="false">
      <c r="A787" s="113"/>
      <c r="B787" s="114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6"/>
    </row>
    <row r="788" customFormat="false" ht="15.75" hidden="false" customHeight="false" outlineLevel="0" collapsed="false">
      <c r="A788" s="113"/>
      <c r="B788" s="114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6"/>
    </row>
    <row r="789" customFormat="false" ht="15.75" hidden="false" customHeight="false" outlineLevel="0" collapsed="false">
      <c r="A789" s="113"/>
      <c r="B789" s="114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6"/>
    </row>
    <row r="790" customFormat="false" ht="15.75" hidden="false" customHeight="false" outlineLevel="0" collapsed="false">
      <c r="A790" s="113"/>
      <c r="B790" s="114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6"/>
    </row>
    <row r="791" customFormat="false" ht="15.75" hidden="false" customHeight="false" outlineLevel="0" collapsed="false">
      <c r="A791" s="113"/>
      <c r="B791" s="114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6"/>
    </row>
    <row r="792" customFormat="false" ht="15.75" hidden="false" customHeight="false" outlineLevel="0" collapsed="false">
      <c r="A792" s="113"/>
      <c r="B792" s="114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6"/>
    </row>
    <row r="793" customFormat="false" ht="15.75" hidden="false" customHeight="false" outlineLevel="0" collapsed="false">
      <c r="A793" s="113"/>
      <c r="B793" s="114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6"/>
    </row>
    <row r="794" customFormat="false" ht="15.75" hidden="false" customHeight="false" outlineLevel="0" collapsed="false">
      <c r="A794" s="113"/>
      <c r="B794" s="114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6"/>
    </row>
    <row r="795" customFormat="false" ht="15.75" hidden="false" customHeight="false" outlineLevel="0" collapsed="false">
      <c r="A795" s="113"/>
      <c r="B795" s="114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6"/>
    </row>
    <row r="796" customFormat="false" ht="15.75" hidden="false" customHeight="false" outlineLevel="0" collapsed="false">
      <c r="A796" s="113"/>
      <c r="B796" s="114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6"/>
    </row>
    <row r="797" customFormat="false" ht="15.75" hidden="false" customHeight="false" outlineLevel="0" collapsed="false">
      <c r="A797" s="113"/>
      <c r="B797" s="114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6"/>
    </row>
    <row r="798" customFormat="false" ht="15.75" hidden="false" customHeight="false" outlineLevel="0" collapsed="false">
      <c r="A798" s="113"/>
      <c r="B798" s="114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6"/>
    </row>
    <row r="799" customFormat="false" ht="15.75" hidden="false" customHeight="false" outlineLevel="0" collapsed="false">
      <c r="A799" s="113"/>
      <c r="B799" s="114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6"/>
    </row>
    <row r="800" customFormat="false" ht="15.75" hidden="false" customHeight="false" outlineLevel="0" collapsed="false">
      <c r="A800" s="113"/>
      <c r="B800" s="114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6"/>
    </row>
    <row r="801" customFormat="false" ht="15.75" hidden="false" customHeight="false" outlineLevel="0" collapsed="false">
      <c r="A801" s="113"/>
      <c r="B801" s="114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6"/>
    </row>
    <row r="802" customFormat="false" ht="15.75" hidden="false" customHeight="false" outlineLevel="0" collapsed="false">
      <c r="A802" s="113"/>
      <c r="B802" s="114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6"/>
    </row>
    <row r="803" customFormat="false" ht="15.75" hidden="false" customHeight="false" outlineLevel="0" collapsed="false">
      <c r="A803" s="113"/>
      <c r="B803" s="114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6"/>
    </row>
    <row r="804" customFormat="false" ht="15.75" hidden="false" customHeight="false" outlineLevel="0" collapsed="false">
      <c r="A804" s="113"/>
      <c r="B804" s="114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6"/>
    </row>
    <row r="805" customFormat="false" ht="15.75" hidden="false" customHeight="false" outlineLevel="0" collapsed="false">
      <c r="A805" s="113"/>
      <c r="B805" s="114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6"/>
    </row>
    <row r="806" customFormat="false" ht="15.75" hidden="false" customHeight="false" outlineLevel="0" collapsed="false">
      <c r="A806" s="113"/>
      <c r="B806" s="114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6"/>
    </row>
    <row r="807" customFormat="false" ht="15.75" hidden="false" customHeight="false" outlineLevel="0" collapsed="false">
      <c r="A807" s="113"/>
      <c r="B807" s="114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6"/>
    </row>
    <row r="808" customFormat="false" ht="15.75" hidden="false" customHeight="false" outlineLevel="0" collapsed="false">
      <c r="A808" s="113"/>
      <c r="B808" s="114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6"/>
    </row>
    <row r="809" customFormat="false" ht="15.75" hidden="false" customHeight="false" outlineLevel="0" collapsed="false">
      <c r="A809" s="113"/>
      <c r="B809" s="114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6"/>
    </row>
    <row r="810" customFormat="false" ht="15.75" hidden="false" customHeight="false" outlineLevel="0" collapsed="false">
      <c r="A810" s="113"/>
      <c r="B810" s="114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6"/>
    </row>
    <row r="811" customFormat="false" ht="15.75" hidden="false" customHeight="false" outlineLevel="0" collapsed="false">
      <c r="A811" s="113"/>
      <c r="B811" s="114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6"/>
    </row>
    <row r="812" customFormat="false" ht="15.75" hidden="false" customHeight="false" outlineLevel="0" collapsed="false">
      <c r="A812" s="113"/>
      <c r="B812" s="114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6"/>
    </row>
    <row r="813" customFormat="false" ht="15.75" hidden="false" customHeight="false" outlineLevel="0" collapsed="false">
      <c r="A813" s="113"/>
      <c r="B813" s="114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6"/>
    </row>
    <row r="814" customFormat="false" ht="15.75" hidden="false" customHeight="false" outlineLevel="0" collapsed="false">
      <c r="A814" s="113"/>
      <c r="B814" s="114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6"/>
    </row>
    <row r="815" customFormat="false" ht="15.75" hidden="false" customHeight="false" outlineLevel="0" collapsed="false">
      <c r="A815" s="113"/>
      <c r="B815" s="114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6"/>
    </row>
    <row r="816" customFormat="false" ht="15.75" hidden="false" customHeight="false" outlineLevel="0" collapsed="false">
      <c r="A816" s="113"/>
      <c r="B816" s="114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6"/>
    </row>
    <row r="817" customFormat="false" ht="15.75" hidden="false" customHeight="false" outlineLevel="0" collapsed="false">
      <c r="A817" s="113"/>
      <c r="B817" s="114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6"/>
    </row>
    <row r="818" customFormat="false" ht="15.75" hidden="false" customHeight="false" outlineLevel="0" collapsed="false">
      <c r="A818" s="113"/>
      <c r="B818" s="114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6"/>
    </row>
    <row r="819" customFormat="false" ht="15.75" hidden="false" customHeight="false" outlineLevel="0" collapsed="false">
      <c r="A819" s="113"/>
      <c r="B819" s="114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6"/>
    </row>
    <row r="820" customFormat="false" ht="15.75" hidden="false" customHeight="false" outlineLevel="0" collapsed="false">
      <c r="A820" s="113"/>
      <c r="B820" s="114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6"/>
    </row>
    <row r="821" customFormat="false" ht="15.75" hidden="false" customHeight="false" outlineLevel="0" collapsed="false">
      <c r="A821" s="113"/>
      <c r="B821" s="114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6"/>
    </row>
    <row r="822" customFormat="false" ht="15.75" hidden="false" customHeight="false" outlineLevel="0" collapsed="false">
      <c r="A822" s="113"/>
      <c r="B822" s="114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6"/>
    </row>
    <row r="823" customFormat="false" ht="15.75" hidden="false" customHeight="false" outlineLevel="0" collapsed="false">
      <c r="A823" s="113"/>
      <c r="B823" s="114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6"/>
    </row>
    <row r="824" customFormat="false" ht="15.75" hidden="false" customHeight="false" outlineLevel="0" collapsed="false">
      <c r="A824" s="113"/>
      <c r="B824" s="114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6"/>
    </row>
    <row r="825" customFormat="false" ht="15.75" hidden="false" customHeight="false" outlineLevel="0" collapsed="false">
      <c r="A825" s="113"/>
      <c r="B825" s="114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6"/>
    </row>
    <row r="826" customFormat="false" ht="15.75" hidden="false" customHeight="false" outlineLevel="0" collapsed="false">
      <c r="A826" s="113"/>
      <c r="B826" s="114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6"/>
    </row>
    <row r="827" customFormat="false" ht="15.75" hidden="false" customHeight="false" outlineLevel="0" collapsed="false">
      <c r="A827" s="113"/>
      <c r="B827" s="114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6"/>
    </row>
    <row r="828" customFormat="false" ht="15.75" hidden="false" customHeight="false" outlineLevel="0" collapsed="false">
      <c r="A828" s="113"/>
      <c r="B828" s="114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6"/>
    </row>
    <row r="829" customFormat="false" ht="15.75" hidden="false" customHeight="false" outlineLevel="0" collapsed="false">
      <c r="A829" s="113"/>
      <c r="B829" s="114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6"/>
    </row>
    <row r="830" customFormat="false" ht="15.75" hidden="false" customHeight="false" outlineLevel="0" collapsed="false">
      <c r="A830" s="113"/>
      <c r="B830" s="114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6"/>
    </row>
    <row r="831" customFormat="false" ht="15.75" hidden="false" customHeight="false" outlineLevel="0" collapsed="false">
      <c r="A831" s="113"/>
      <c r="B831" s="114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6"/>
    </row>
    <row r="832" customFormat="false" ht="15.75" hidden="false" customHeight="false" outlineLevel="0" collapsed="false">
      <c r="A832" s="113"/>
      <c r="B832" s="114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6"/>
    </row>
    <row r="833" customFormat="false" ht="15.75" hidden="false" customHeight="false" outlineLevel="0" collapsed="false">
      <c r="A833" s="113"/>
      <c r="B833" s="114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6"/>
    </row>
    <row r="834" customFormat="false" ht="15.75" hidden="false" customHeight="false" outlineLevel="0" collapsed="false">
      <c r="A834" s="113"/>
      <c r="B834" s="114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6"/>
    </row>
    <row r="835" customFormat="false" ht="15.75" hidden="false" customHeight="false" outlineLevel="0" collapsed="false">
      <c r="A835" s="113"/>
      <c r="B835" s="114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6"/>
    </row>
    <row r="836" customFormat="false" ht="15.75" hidden="false" customHeight="false" outlineLevel="0" collapsed="false">
      <c r="A836" s="113"/>
      <c r="B836" s="114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6"/>
    </row>
    <row r="837" customFormat="false" ht="15.75" hidden="false" customHeight="false" outlineLevel="0" collapsed="false">
      <c r="A837" s="113"/>
      <c r="B837" s="114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6"/>
    </row>
    <row r="838" customFormat="false" ht="15.75" hidden="false" customHeight="false" outlineLevel="0" collapsed="false">
      <c r="A838" s="113"/>
      <c r="B838" s="114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6"/>
    </row>
    <row r="839" customFormat="false" ht="15.75" hidden="false" customHeight="false" outlineLevel="0" collapsed="false">
      <c r="A839" s="113"/>
      <c r="B839" s="114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6"/>
    </row>
    <row r="840" customFormat="false" ht="15.75" hidden="false" customHeight="false" outlineLevel="0" collapsed="false">
      <c r="A840" s="113"/>
      <c r="B840" s="114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6"/>
    </row>
    <row r="841" customFormat="false" ht="15.75" hidden="false" customHeight="false" outlineLevel="0" collapsed="false">
      <c r="A841" s="113"/>
      <c r="B841" s="114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6"/>
    </row>
    <row r="842" customFormat="false" ht="15.75" hidden="false" customHeight="false" outlineLevel="0" collapsed="false">
      <c r="A842" s="113"/>
      <c r="B842" s="114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6"/>
    </row>
    <row r="843" customFormat="false" ht="15.75" hidden="false" customHeight="false" outlineLevel="0" collapsed="false">
      <c r="A843" s="113"/>
      <c r="B843" s="114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6"/>
    </row>
    <row r="844" customFormat="false" ht="15.75" hidden="false" customHeight="false" outlineLevel="0" collapsed="false">
      <c r="A844" s="113"/>
      <c r="B844" s="114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6"/>
    </row>
    <row r="845" customFormat="false" ht="15.75" hidden="false" customHeight="false" outlineLevel="0" collapsed="false">
      <c r="A845" s="113"/>
      <c r="B845" s="114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6"/>
    </row>
    <row r="846" customFormat="false" ht="15.75" hidden="false" customHeight="false" outlineLevel="0" collapsed="false">
      <c r="A846" s="113"/>
      <c r="B846" s="114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6"/>
    </row>
    <row r="847" customFormat="false" ht="15.75" hidden="false" customHeight="false" outlineLevel="0" collapsed="false">
      <c r="A847" s="113"/>
      <c r="B847" s="114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6"/>
    </row>
    <row r="848" customFormat="false" ht="15.75" hidden="false" customHeight="false" outlineLevel="0" collapsed="false">
      <c r="A848" s="113"/>
      <c r="B848" s="114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6"/>
    </row>
    <row r="849" customFormat="false" ht="15.75" hidden="false" customHeight="false" outlineLevel="0" collapsed="false">
      <c r="A849" s="113"/>
      <c r="B849" s="114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6"/>
    </row>
    <row r="850" customFormat="false" ht="15.75" hidden="false" customHeight="false" outlineLevel="0" collapsed="false">
      <c r="A850" s="113"/>
      <c r="B850" s="114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6"/>
    </row>
    <row r="851" customFormat="false" ht="15.75" hidden="false" customHeight="false" outlineLevel="0" collapsed="false">
      <c r="A851" s="113"/>
      <c r="B851" s="114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6"/>
    </row>
    <row r="852" customFormat="false" ht="15.75" hidden="false" customHeight="false" outlineLevel="0" collapsed="false">
      <c r="A852" s="113"/>
      <c r="B852" s="114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6"/>
    </row>
    <row r="853" customFormat="false" ht="15.75" hidden="false" customHeight="false" outlineLevel="0" collapsed="false">
      <c r="A853" s="113"/>
      <c r="B853" s="114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6"/>
    </row>
    <row r="854" customFormat="false" ht="15.75" hidden="false" customHeight="false" outlineLevel="0" collapsed="false">
      <c r="A854" s="113"/>
      <c r="B854" s="114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6"/>
    </row>
    <row r="855" customFormat="false" ht="15.75" hidden="false" customHeight="false" outlineLevel="0" collapsed="false">
      <c r="A855" s="113"/>
      <c r="B855" s="114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6"/>
    </row>
    <row r="856" customFormat="false" ht="15.75" hidden="false" customHeight="false" outlineLevel="0" collapsed="false">
      <c r="A856" s="113"/>
      <c r="B856" s="114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6"/>
    </row>
    <row r="857" customFormat="false" ht="15.75" hidden="false" customHeight="false" outlineLevel="0" collapsed="false">
      <c r="A857" s="113"/>
      <c r="B857" s="114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6"/>
    </row>
    <row r="858" customFormat="false" ht="15.75" hidden="false" customHeight="false" outlineLevel="0" collapsed="false">
      <c r="A858" s="113"/>
      <c r="B858" s="114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6"/>
    </row>
    <row r="859" customFormat="false" ht="15.75" hidden="false" customHeight="false" outlineLevel="0" collapsed="false">
      <c r="A859" s="113"/>
      <c r="B859" s="114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6"/>
    </row>
    <row r="860" customFormat="false" ht="15.75" hidden="false" customHeight="false" outlineLevel="0" collapsed="false">
      <c r="A860" s="113"/>
      <c r="B860" s="114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6"/>
    </row>
    <row r="861" customFormat="false" ht="15.75" hidden="false" customHeight="false" outlineLevel="0" collapsed="false">
      <c r="A861" s="113"/>
      <c r="B861" s="114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6"/>
    </row>
    <row r="862" customFormat="false" ht="15.75" hidden="false" customHeight="false" outlineLevel="0" collapsed="false">
      <c r="A862" s="113"/>
      <c r="B862" s="114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6"/>
    </row>
    <row r="863" customFormat="false" ht="15.75" hidden="false" customHeight="false" outlineLevel="0" collapsed="false">
      <c r="A863" s="113"/>
      <c r="B863" s="114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6"/>
    </row>
    <row r="864" customFormat="false" ht="15.75" hidden="false" customHeight="false" outlineLevel="0" collapsed="false">
      <c r="A864" s="113"/>
      <c r="B864" s="114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6"/>
    </row>
    <row r="865" customFormat="false" ht="15.75" hidden="false" customHeight="false" outlineLevel="0" collapsed="false">
      <c r="A865" s="113"/>
      <c r="B865" s="114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6"/>
    </row>
    <row r="866" customFormat="false" ht="15.75" hidden="false" customHeight="false" outlineLevel="0" collapsed="false">
      <c r="A866" s="113"/>
      <c r="B866" s="114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6"/>
    </row>
    <row r="867" customFormat="false" ht="15.75" hidden="false" customHeight="false" outlineLevel="0" collapsed="false">
      <c r="A867" s="113"/>
      <c r="B867" s="114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6"/>
    </row>
    <row r="868" customFormat="false" ht="15.75" hidden="false" customHeight="false" outlineLevel="0" collapsed="false">
      <c r="A868" s="113"/>
      <c r="B868" s="114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6"/>
    </row>
    <row r="869" customFormat="false" ht="15.75" hidden="false" customHeight="false" outlineLevel="0" collapsed="false">
      <c r="A869" s="113"/>
      <c r="B869" s="114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6"/>
    </row>
    <row r="870" customFormat="false" ht="15.75" hidden="false" customHeight="false" outlineLevel="0" collapsed="false">
      <c r="A870" s="113"/>
      <c r="B870" s="114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6"/>
    </row>
    <row r="871" customFormat="false" ht="15.75" hidden="false" customHeight="false" outlineLevel="0" collapsed="false">
      <c r="A871" s="113"/>
      <c r="B871" s="114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6"/>
    </row>
    <row r="872" customFormat="false" ht="15.75" hidden="false" customHeight="false" outlineLevel="0" collapsed="false">
      <c r="A872" s="113"/>
      <c r="B872" s="114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6"/>
    </row>
    <row r="873" customFormat="false" ht="15.75" hidden="false" customHeight="false" outlineLevel="0" collapsed="false">
      <c r="A873" s="113"/>
      <c r="B873" s="114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6"/>
    </row>
    <row r="874" customFormat="false" ht="15.75" hidden="false" customHeight="false" outlineLevel="0" collapsed="false">
      <c r="A874" s="113"/>
      <c r="B874" s="114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6"/>
    </row>
    <row r="875" customFormat="false" ht="15.75" hidden="false" customHeight="false" outlineLevel="0" collapsed="false">
      <c r="A875" s="113"/>
      <c r="B875" s="114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6"/>
    </row>
    <row r="876" customFormat="false" ht="15.75" hidden="false" customHeight="false" outlineLevel="0" collapsed="false">
      <c r="A876" s="113"/>
      <c r="B876" s="114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6"/>
    </row>
    <row r="877" customFormat="false" ht="15.75" hidden="false" customHeight="false" outlineLevel="0" collapsed="false">
      <c r="A877" s="113"/>
      <c r="B877" s="114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6"/>
    </row>
    <row r="878" customFormat="false" ht="15.75" hidden="false" customHeight="false" outlineLevel="0" collapsed="false">
      <c r="A878" s="113"/>
      <c r="B878" s="114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6"/>
    </row>
    <row r="879" customFormat="false" ht="15.75" hidden="false" customHeight="false" outlineLevel="0" collapsed="false">
      <c r="A879" s="113"/>
      <c r="B879" s="114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6"/>
    </row>
    <row r="880" customFormat="false" ht="15.75" hidden="false" customHeight="false" outlineLevel="0" collapsed="false">
      <c r="A880" s="113"/>
      <c r="B880" s="114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6"/>
    </row>
    <row r="881" customFormat="false" ht="15.75" hidden="false" customHeight="false" outlineLevel="0" collapsed="false">
      <c r="A881" s="113"/>
      <c r="B881" s="114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6"/>
    </row>
    <row r="882" customFormat="false" ht="15.75" hidden="false" customHeight="false" outlineLevel="0" collapsed="false">
      <c r="A882" s="113"/>
      <c r="B882" s="114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6"/>
    </row>
    <row r="883" customFormat="false" ht="15.75" hidden="false" customHeight="false" outlineLevel="0" collapsed="false">
      <c r="A883" s="113"/>
      <c r="B883" s="114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6"/>
    </row>
    <row r="884" customFormat="false" ht="15.75" hidden="false" customHeight="false" outlineLevel="0" collapsed="false">
      <c r="A884" s="113"/>
      <c r="B884" s="114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6"/>
    </row>
    <row r="885" customFormat="false" ht="15.75" hidden="false" customHeight="false" outlineLevel="0" collapsed="false">
      <c r="A885" s="113"/>
      <c r="B885" s="114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6"/>
    </row>
    <row r="886" customFormat="false" ht="15.75" hidden="false" customHeight="false" outlineLevel="0" collapsed="false">
      <c r="A886" s="113"/>
      <c r="B886" s="114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6"/>
    </row>
    <row r="887" customFormat="false" ht="15.75" hidden="false" customHeight="false" outlineLevel="0" collapsed="false">
      <c r="A887" s="113"/>
      <c r="B887" s="114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6"/>
    </row>
    <row r="888" customFormat="false" ht="15.75" hidden="false" customHeight="false" outlineLevel="0" collapsed="false">
      <c r="A888" s="113"/>
      <c r="B888" s="114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6"/>
    </row>
    <row r="889" customFormat="false" ht="15.75" hidden="false" customHeight="false" outlineLevel="0" collapsed="false">
      <c r="A889" s="113"/>
      <c r="B889" s="114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6"/>
    </row>
    <row r="890" customFormat="false" ht="15.75" hidden="false" customHeight="false" outlineLevel="0" collapsed="false">
      <c r="A890" s="113"/>
      <c r="B890" s="114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6"/>
    </row>
    <row r="891" customFormat="false" ht="15.75" hidden="false" customHeight="false" outlineLevel="0" collapsed="false">
      <c r="A891" s="113"/>
      <c r="B891" s="114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6"/>
    </row>
    <row r="892" customFormat="false" ht="15.75" hidden="false" customHeight="false" outlineLevel="0" collapsed="false">
      <c r="A892" s="113"/>
      <c r="B892" s="114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6"/>
    </row>
    <row r="893" customFormat="false" ht="15.75" hidden="false" customHeight="false" outlineLevel="0" collapsed="false">
      <c r="A893" s="113"/>
      <c r="B893" s="114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6"/>
    </row>
    <row r="894" customFormat="false" ht="15.75" hidden="false" customHeight="false" outlineLevel="0" collapsed="false">
      <c r="A894" s="113"/>
      <c r="B894" s="114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6"/>
    </row>
    <row r="895" customFormat="false" ht="15.75" hidden="false" customHeight="false" outlineLevel="0" collapsed="false">
      <c r="A895" s="113"/>
      <c r="B895" s="114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6"/>
    </row>
    <row r="896" customFormat="false" ht="15.75" hidden="false" customHeight="false" outlineLevel="0" collapsed="false">
      <c r="A896" s="113"/>
      <c r="B896" s="114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6"/>
    </row>
    <row r="897" customFormat="false" ht="15.75" hidden="false" customHeight="false" outlineLevel="0" collapsed="false">
      <c r="A897" s="113"/>
      <c r="B897" s="114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6"/>
    </row>
    <row r="898" customFormat="false" ht="15.75" hidden="false" customHeight="false" outlineLevel="0" collapsed="false">
      <c r="A898" s="113"/>
      <c r="B898" s="114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6"/>
    </row>
    <row r="899" customFormat="false" ht="15.75" hidden="false" customHeight="false" outlineLevel="0" collapsed="false">
      <c r="A899" s="113"/>
      <c r="B899" s="114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6"/>
    </row>
    <row r="900" customFormat="false" ht="15.75" hidden="false" customHeight="false" outlineLevel="0" collapsed="false">
      <c r="A900" s="113"/>
      <c r="B900" s="114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6"/>
    </row>
    <row r="901" customFormat="false" ht="15.75" hidden="false" customHeight="false" outlineLevel="0" collapsed="false">
      <c r="A901" s="113"/>
      <c r="B901" s="114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6"/>
    </row>
    <row r="902" customFormat="false" ht="15.75" hidden="false" customHeight="false" outlineLevel="0" collapsed="false">
      <c r="A902" s="113"/>
      <c r="B902" s="114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6"/>
    </row>
    <row r="903" customFormat="false" ht="15.75" hidden="false" customHeight="false" outlineLevel="0" collapsed="false">
      <c r="A903" s="113"/>
      <c r="B903" s="114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6"/>
    </row>
    <row r="904" customFormat="false" ht="15.75" hidden="false" customHeight="false" outlineLevel="0" collapsed="false">
      <c r="A904" s="113"/>
      <c r="B904" s="114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6"/>
    </row>
    <row r="905" customFormat="false" ht="15.75" hidden="false" customHeight="false" outlineLevel="0" collapsed="false">
      <c r="A905" s="113"/>
      <c r="B905" s="114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6"/>
    </row>
    <row r="906" customFormat="false" ht="15.75" hidden="false" customHeight="false" outlineLevel="0" collapsed="false">
      <c r="A906" s="113"/>
      <c r="B906" s="114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6"/>
    </row>
    <row r="907" customFormat="false" ht="15.75" hidden="false" customHeight="false" outlineLevel="0" collapsed="false">
      <c r="A907" s="113"/>
      <c r="B907" s="114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6"/>
    </row>
    <row r="908" customFormat="false" ht="15.75" hidden="false" customHeight="false" outlineLevel="0" collapsed="false">
      <c r="A908" s="113"/>
      <c r="B908" s="114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6"/>
    </row>
    <row r="909" customFormat="false" ht="15.75" hidden="false" customHeight="false" outlineLevel="0" collapsed="false">
      <c r="A909" s="113"/>
      <c r="B909" s="114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6"/>
    </row>
    <row r="910" customFormat="false" ht="15.75" hidden="false" customHeight="false" outlineLevel="0" collapsed="false">
      <c r="A910" s="113"/>
      <c r="B910" s="114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6"/>
    </row>
    <row r="911" customFormat="false" ht="15.75" hidden="false" customHeight="false" outlineLevel="0" collapsed="false">
      <c r="A911" s="113"/>
      <c r="B911" s="114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6"/>
    </row>
    <row r="912" customFormat="false" ht="15.75" hidden="false" customHeight="false" outlineLevel="0" collapsed="false">
      <c r="A912" s="113"/>
      <c r="B912" s="114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6"/>
    </row>
    <row r="913" customFormat="false" ht="15.75" hidden="false" customHeight="false" outlineLevel="0" collapsed="false">
      <c r="A913" s="113"/>
      <c r="B913" s="114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6"/>
    </row>
    <row r="914" customFormat="false" ht="15.75" hidden="false" customHeight="false" outlineLevel="0" collapsed="false">
      <c r="A914" s="113"/>
      <c r="B914" s="114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6"/>
    </row>
    <row r="915" customFormat="false" ht="15.75" hidden="false" customHeight="false" outlineLevel="0" collapsed="false">
      <c r="A915" s="113"/>
      <c r="B915" s="114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6"/>
    </row>
    <row r="916" customFormat="false" ht="15.75" hidden="false" customHeight="false" outlineLevel="0" collapsed="false">
      <c r="A916" s="113"/>
      <c r="B916" s="114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6"/>
    </row>
    <row r="917" customFormat="false" ht="15.75" hidden="false" customHeight="false" outlineLevel="0" collapsed="false">
      <c r="A917" s="113"/>
      <c r="B917" s="114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6"/>
    </row>
    <row r="918" customFormat="false" ht="15.75" hidden="false" customHeight="false" outlineLevel="0" collapsed="false">
      <c r="A918" s="113"/>
      <c r="B918" s="114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6"/>
    </row>
    <row r="919" customFormat="false" ht="15.75" hidden="false" customHeight="false" outlineLevel="0" collapsed="false">
      <c r="A919" s="113"/>
      <c r="B919" s="114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6"/>
    </row>
    <row r="920" customFormat="false" ht="15.75" hidden="false" customHeight="false" outlineLevel="0" collapsed="false">
      <c r="A920" s="113"/>
      <c r="B920" s="114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6"/>
    </row>
    <row r="921" customFormat="false" ht="15.75" hidden="false" customHeight="false" outlineLevel="0" collapsed="false">
      <c r="A921" s="113"/>
      <c r="B921" s="114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6"/>
    </row>
    <row r="922" customFormat="false" ht="15.75" hidden="false" customHeight="false" outlineLevel="0" collapsed="false">
      <c r="A922" s="113"/>
      <c r="B922" s="114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6"/>
    </row>
    <row r="923" customFormat="false" ht="15.75" hidden="false" customHeight="false" outlineLevel="0" collapsed="false">
      <c r="A923" s="113"/>
      <c r="B923" s="114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6"/>
    </row>
    <row r="924" customFormat="false" ht="15.75" hidden="false" customHeight="false" outlineLevel="0" collapsed="false">
      <c r="A924" s="113"/>
      <c r="B924" s="114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6"/>
    </row>
    <row r="925" customFormat="false" ht="15.75" hidden="false" customHeight="false" outlineLevel="0" collapsed="false">
      <c r="A925" s="113"/>
      <c r="B925" s="114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6"/>
    </row>
    <row r="926" customFormat="false" ht="15.75" hidden="false" customHeight="false" outlineLevel="0" collapsed="false">
      <c r="A926" s="113"/>
      <c r="B926" s="114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6"/>
    </row>
    <row r="927" customFormat="false" ht="15.75" hidden="false" customHeight="false" outlineLevel="0" collapsed="false">
      <c r="A927" s="113"/>
      <c r="B927" s="114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6"/>
    </row>
    <row r="928" customFormat="false" ht="15.75" hidden="false" customHeight="false" outlineLevel="0" collapsed="false">
      <c r="A928" s="113"/>
      <c r="B928" s="114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6"/>
    </row>
    <row r="929" customFormat="false" ht="15.75" hidden="false" customHeight="false" outlineLevel="0" collapsed="false">
      <c r="A929" s="113"/>
      <c r="B929" s="114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6"/>
    </row>
    <row r="930" customFormat="false" ht="15.75" hidden="false" customHeight="false" outlineLevel="0" collapsed="false">
      <c r="A930" s="113"/>
      <c r="B930" s="114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6"/>
    </row>
    <row r="931" customFormat="false" ht="15.75" hidden="false" customHeight="false" outlineLevel="0" collapsed="false">
      <c r="A931" s="113"/>
      <c r="B931" s="114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6"/>
    </row>
    <row r="932" customFormat="false" ht="15.75" hidden="false" customHeight="false" outlineLevel="0" collapsed="false">
      <c r="A932" s="113"/>
      <c r="B932" s="114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6"/>
    </row>
    <row r="933" customFormat="false" ht="15.75" hidden="false" customHeight="false" outlineLevel="0" collapsed="false">
      <c r="A933" s="113"/>
      <c r="B933" s="114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6"/>
    </row>
    <row r="934" customFormat="false" ht="15.75" hidden="false" customHeight="false" outlineLevel="0" collapsed="false">
      <c r="A934" s="113"/>
      <c r="B934" s="114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6"/>
    </row>
    <row r="935" customFormat="false" ht="15.75" hidden="false" customHeight="false" outlineLevel="0" collapsed="false">
      <c r="A935" s="113"/>
      <c r="B935" s="114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6"/>
    </row>
    <row r="936" customFormat="false" ht="15.75" hidden="false" customHeight="false" outlineLevel="0" collapsed="false">
      <c r="A936" s="113"/>
      <c r="B936" s="114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6"/>
    </row>
    <row r="937" customFormat="false" ht="15.75" hidden="false" customHeight="false" outlineLevel="0" collapsed="false">
      <c r="A937" s="113"/>
      <c r="B937" s="114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6"/>
    </row>
    <row r="938" customFormat="false" ht="15.75" hidden="false" customHeight="false" outlineLevel="0" collapsed="false">
      <c r="A938" s="113"/>
      <c r="B938" s="114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6"/>
    </row>
    <row r="939" customFormat="false" ht="15.75" hidden="false" customHeight="false" outlineLevel="0" collapsed="false">
      <c r="A939" s="113"/>
      <c r="B939" s="114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6"/>
    </row>
    <row r="940" customFormat="false" ht="15.75" hidden="false" customHeight="false" outlineLevel="0" collapsed="false">
      <c r="A940" s="113"/>
      <c r="B940" s="114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6"/>
    </row>
    <row r="941" customFormat="false" ht="15.75" hidden="false" customHeight="false" outlineLevel="0" collapsed="false">
      <c r="A941" s="113"/>
      <c r="B941" s="114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6"/>
    </row>
    <row r="942" customFormat="false" ht="15.75" hidden="false" customHeight="false" outlineLevel="0" collapsed="false">
      <c r="A942" s="113"/>
      <c r="B942" s="114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6"/>
    </row>
    <row r="943" customFormat="false" ht="15.75" hidden="false" customHeight="false" outlineLevel="0" collapsed="false">
      <c r="A943" s="113"/>
      <c r="B943" s="114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6"/>
    </row>
    <row r="944" customFormat="false" ht="15.75" hidden="false" customHeight="false" outlineLevel="0" collapsed="false">
      <c r="A944" s="113"/>
      <c r="B944" s="114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6"/>
    </row>
    <row r="945" customFormat="false" ht="15.75" hidden="false" customHeight="false" outlineLevel="0" collapsed="false">
      <c r="A945" s="113"/>
      <c r="B945" s="114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6"/>
    </row>
    <row r="946" customFormat="false" ht="15.75" hidden="false" customHeight="false" outlineLevel="0" collapsed="false">
      <c r="A946" s="113"/>
      <c r="B946" s="114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6"/>
    </row>
    <row r="947" customFormat="false" ht="15.75" hidden="false" customHeight="false" outlineLevel="0" collapsed="false">
      <c r="A947" s="113"/>
      <c r="B947" s="114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6"/>
    </row>
    <row r="948" customFormat="false" ht="15.75" hidden="false" customHeight="false" outlineLevel="0" collapsed="false">
      <c r="A948" s="113"/>
      <c r="B948" s="114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6"/>
    </row>
    <row r="949" customFormat="false" ht="15.75" hidden="false" customHeight="false" outlineLevel="0" collapsed="false">
      <c r="A949" s="113"/>
      <c r="B949" s="114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6"/>
    </row>
    <row r="950" customFormat="false" ht="15.75" hidden="false" customHeight="false" outlineLevel="0" collapsed="false">
      <c r="A950" s="113"/>
      <c r="B950" s="114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6"/>
    </row>
    <row r="951" customFormat="false" ht="15.75" hidden="false" customHeight="false" outlineLevel="0" collapsed="false">
      <c r="A951" s="113"/>
      <c r="B951" s="114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6"/>
    </row>
    <row r="952" customFormat="false" ht="15.75" hidden="false" customHeight="false" outlineLevel="0" collapsed="false">
      <c r="A952" s="113"/>
      <c r="B952" s="114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6"/>
    </row>
    <row r="953" customFormat="false" ht="15.75" hidden="false" customHeight="false" outlineLevel="0" collapsed="false">
      <c r="A953" s="113"/>
      <c r="B953" s="114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6"/>
    </row>
    <row r="954" customFormat="false" ht="15.75" hidden="false" customHeight="false" outlineLevel="0" collapsed="false">
      <c r="A954" s="113"/>
      <c r="B954" s="114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6"/>
    </row>
    <row r="955" customFormat="false" ht="15.75" hidden="false" customHeight="false" outlineLevel="0" collapsed="false">
      <c r="A955" s="113"/>
      <c r="B955" s="114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6"/>
    </row>
    <row r="956" customFormat="false" ht="15.75" hidden="false" customHeight="false" outlineLevel="0" collapsed="false">
      <c r="A956" s="113"/>
      <c r="B956" s="114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6"/>
    </row>
    <row r="957" customFormat="false" ht="15.75" hidden="false" customHeight="false" outlineLevel="0" collapsed="false">
      <c r="A957" s="113"/>
      <c r="B957" s="114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6"/>
    </row>
    <row r="958" customFormat="false" ht="15.75" hidden="false" customHeight="false" outlineLevel="0" collapsed="false">
      <c r="A958" s="113"/>
      <c r="B958" s="114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6"/>
    </row>
    <row r="959" customFormat="false" ht="15.75" hidden="false" customHeight="false" outlineLevel="0" collapsed="false">
      <c r="A959" s="113"/>
      <c r="B959" s="114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6"/>
    </row>
    <row r="960" customFormat="false" ht="15.75" hidden="false" customHeight="false" outlineLevel="0" collapsed="false">
      <c r="A960" s="113"/>
      <c r="B960" s="114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6"/>
    </row>
    <row r="961" customFormat="false" ht="15.75" hidden="false" customHeight="false" outlineLevel="0" collapsed="false">
      <c r="A961" s="113"/>
      <c r="B961" s="114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6"/>
    </row>
    <row r="962" customFormat="false" ht="15.75" hidden="false" customHeight="false" outlineLevel="0" collapsed="false">
      <c r="A962" s="113"/>
      <c r="B962" s="114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6"/>
    </row>
    <row r="963" customFormat="false" ht="15.75" hidden="false" customHeight="false" outlineLevel="0" collapsed="false">
      <c r="A963" s="113"/>
      <c r="B963" s="114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6"/>
    </row>
    <row r="964" customFormat="false" ht="15.75" hidden="false" customHeight="false" outlineLevel="0" collapsed="false">
      <c r="A964" s="113"/>
      <c r="B964" s="114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6"/>
    </row>
    <row r="965" customFormat="false" ht="15.75" hidden="false" customHeight="false" outlineLevel="0" collapsed="false">
      <c r="A965" s="113"/>
      <c r="B965" s="114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6"/>
    </row>
    <row r="966" customFormat="false" ht="15.75" hidden="false" customHeight="false" outlineLevel="0" collapsed="false">
      <c r="A966" s="113"/>
      <c r="B966" s="114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6"/>
    </row>
    <row r="967" customFormat="false" ht="15.75" hidden="false" customHeight="false" outlineLevel="0" collapsed="false">
      <c r="A967" s="113"/>
      <c r="B967" s="114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6"/>
    </row>
    <row r="968" customFormat="false" ht="15.75" hidden="false" customHeight="false" outlineLevel="0" collapsed="false">
      <c r="A968" s="113"/>
      <c r="B968" s="114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6"/>
    </row>
    <row r="969" customFormat="false" ht="15.75" hidden="false" customHeight="false" outlineLevel="0" collapsed="false">
      <c r="A969" s="113"/>
      <c r="B969" s="114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6"/>
    </row>
    <row r="970" customFormat="false" ht="15.75" hidden="false" customHeight="false" outlineLevel="0" collapsed="false">
      <c r="A970" s="113"/>
      <c r="B970" s="114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6"/>
    </row>
    <row r="971" customFormat="false" ht="15.75" hidden="false" customHeight="false" outlineLevel="0" collapsed="false">
      <c r="A971" s="113"/>
      <c r="B971" s="114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6"/>
    </row>
    <row r="972" customFormat="false" ht="15.75" hidden="false" customHeight="false" outlineLevel="0" collapsed="false">
      <c r="A972" s="113"/>
      <c r="B972" s="114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6"/>
    </row>
    <row r="973" customFormat="false" ht="15.75" hidden="false" customHeight="false" outlineLevel="0" collapsed="false">
      <c r="A973" s="113"/>
      <c r="B973" s="114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6"/>
    </row>
    <row r="974" customFormat="false" ht="15.75" hidden="false" customHeight="false" outlineLevel="0" collapsed="false">
      <c r="A974" s="113"/>
      <c r="B974" s="114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6"/>
    </row>
    <row r="975" customFormat="false" ht="15.75" hidden="false" customHeight="false" outlineLevel="0" collapsed="false">
      <c r="A975" s="113"/>
      <c r="B975" s="114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6"/>
    </row>
    <row r="976" customFormat="false" ht="15.75" hidden="false" customHeight="false" outlineLevel="0" collapsed="false">
      <c r="A976" s="113"/>
      <c r="B976" s="114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6"/>
    </row>
    <row r="977" customFormat="false" ht="15.75" hidden="false" customHeight="false" outlineLevel="0" collapsed="false">
      <c r="A977" s="113"/>
      <c r="B977" s="114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6"/>
    </row>
    <row r="978" customFormat="false" ht="15.75" hidden="false" customHeight="false" outlineLevel="0" collapsed="false">
      <c r="A978" s="113"/>
      <c r="B978" s="114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6"/>
    </row>
    <row r="979" customFormat="false" ht="15.75" hidden="false" customHeight="false" outlineLevel="0" collapsed="false">
      <c r="A979" s="113"/>
      <c r="B979" s="114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6"/>
    </row>
    <row r="980" customFormat="false" ht="15.75" hidden="false" customHeight="false" outlineLevel="0" collapsed="false">
      <c r="A980" s="113"/>
      <c r="B980" s="114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6"/>
    </row>
    <row r="981" customFormat="false" ht="15.75" hidden="false" customHeight="false" outlineLevel="0" collapsed="false">
      <c r="A981" s="113"/>
      <c r="B981" s="114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6"/>
    </row>
    <row r="982" customFormat="false" ht="15.75" hidden="false" customHeight="false" outlineLevel="0" collapsed="false">
      <c r="A982" s="113"/>
      <c r="B982" s="114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6"/>
    </row>
    <row r="983" customFormat="false" ht="15.75" hidden="false" customHeight="false" outlineLevel="0" collapsed="false">
      <c r="A983" s="113"/>
      <c r="B983" s="114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6"/>
    </row>
    <row r="984" customFormat="false" ht="15.75" hidden="false" customHeight="false" outlineLevel="0" collapsed="false">
      <c r="A984" s="113"/>
      <c r="B984" s="114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6"/>
    </row>
    <row r="985" customFormat="false" ht="15.75" hidden="false" customHeight="false" outlineLevel="0" collapsed="false">
      <c r="A985" s="113"/>
      <c r="B985" s="114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6"/>
    </row>
    <row r="986" customFormat="false" ht="15.75" hidden="false" customHeight="false" outlineLevel="0" collapsed="false">
      <c r="A986" s="113"/>
      <c r="B986" s="114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6"/>
    </row>
    <row r="987" customFormat="false" ht="15.75" hidden="false" customHeight="false" outlineLevel="0" collapsed="false">
      <c r="A987" s="113"/>
      <c r="B987" s="114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6"/>
    </row>
    <row r="988" customFormat="false" ht="15.75" hidden="false" customHeight="false" outlineLevel="0" collapsed="false">
      <c r="A988" s="113"/>
      <c r="B988" s="114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6"/>
    </row>
    <row r="989" customFormat="false" ht="15.75" hidden="false" customHeight="false" outlineLevel="0" collapsed="false">
      <c r="A989" s="113"/>
      <c r="B989" s="114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6"/>
    </row>
    <row r="990" customFormat="false" ht="15.75" hidden="false" customHeight="false" outlineLevel="0" collapsed="false">
      <c r="A990" s="113"/>
      <c r="B990" s="114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6"/>
    </row>
    <row r="991" customFormat="false" ht="15.75" hidden="false" customHeight="false" outlineLevel="0" collapsed="false">
      <c r="A991" s="113"/>
      <c r="B991" s="114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6"/>
    </row>
    <row r="992" customFormat="false" ht="15.75" hidden="false" customHeight="false" outlineLevel="0" collapsed="false">
      <c r="A992" s="113"/>
      <c r="B992" s="114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6"/>
    </row>
    <row r="993" customFormat="false" ht="15.75" hidden="false" customHeight="false" outlineLevel="0" collapsed="false">
      <c r="A993" s="113"/>
      <c r="B993" s="114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6"/>
    </row>
    <row r="994" customFormat="false" ht="15.75" hidden="false" customHeight="false" outlineLevel="0" collapsed="false">
      <c r="A994" s="113"/>
      <c r="B994" s="114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6"/>
    </row>
    <row r="995" customFormat="false" ht="15.75" hidden="false" customHeight="false" outlineLevel="0" collapsed="false">
      <c r="A995" s="113"/>
      <c r="B995" s="114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6"/>
    </row>
    <row r="996" customFormat="false" ht="15.75" hidden="false" customHeight="false" outlineLevel="0" collapsed="false">
      <c r="A996" s="113"/>
      <c r="B996" s="114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6"/>
    </row>
    <row r="997" customFormat="false" ht="15.75" hidden="false" customHeight="false" outlineLevel="0" collapsed="false">
      <c r="A997" s="113"/>
      <c r="B997" s="114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6"/>
    </row>
    <row r="998" customFormat="false" ht="15.75" hidden="false" customHeight="false" outlineLevel="0" collapsed="false">
      <c r="A998" s="113"/>
      <c r="B998" s="114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6"/>
    </row>
    <row r="999" customFormat="false" ht="15.75" hidden="false" customHeight="false" outlineLevel="0" collapsed="false">
      <c r="A999" s="113"/>
      <c r="B999" s="114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6"/>
    </row>
    <row r="1000" customFormat="false" ht="15.75" hidden="false" customHeight="false" outlineLevel="0" collapsed="false">
      <c r="A1000" s="113"/>
      <c r="B1000" s="114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65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% of Salary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457b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457b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6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6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0.05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0.04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22500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180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457b with % of Salary / % of Salary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65</v>
      </c>
      <c r="E17" s="97" t="n">
        <f aca="false">HLOOKUP($B$6,'RetireUp Market Returns'!A:CT,(1+$B$7+C17),FALSE())</f>
        <v>0.0729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145800</v>
      </c>
      <c r="L17" s="99" t="n">
        <f aca="false">J17+K17</f>
        <v>2145800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2145800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17500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5000</v>
      </c>
      <c r="Z17" s="99" t="n">
        <f aca="false">W17+X17+Y17</f>
        <v>10000</v>
      </c>
      <c r="AA17" s="100" t="n">
        <f aca="false">Q17+Z17</f>
        <v>2155800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66</v>
      </c>
      <c r="E18" s="97" t="n">
        <f aca="false">HLOOKUP($B$6,'RetireUp Market Returns'!A:CT,(1+$B$7+C18),FALSE())</f>
        <v>0.0383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2155800</v>
      </c>
      <c r="K18" s="99" t="n">
        <f aca="false">J18*E18</f>
        <v>82567.14</v>
      </c>
      <c r="L18" s="99" t="n">
        <f aca="false">J18+K18</f>
        <v>2238367.14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2238367.14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17962.5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5100</v>
      </c>
      <c r="Z18" s="99" t="n">
        <f aca="false">W18+X18+Y18</f>
        <v>10200</v>
      </c>
      <c r="AA18" s="100" t="n">
        <f aca="false">Q18+W18+X18+Y18</f>
        <v>2248567.14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67</v>
      </c>
      <c r="E19" s="97" t="n">
        <f aca="false">HLOOKUP($B$6,'RetireUp Market Returns'!A:CT,(1+$B$7+C19),FALSE())</f>
        <v>0.0171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2248567.14</v>
      </c>
      <c r="K19" s="99" t="n">
        <f aca="false">J19*E19</f>
        <v>38450.498094</v>
      </c>
      <c r="L19" s="99" t="n">
        <f aca="false">J19+K19</f>
        <v>2287017.638094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2287017.638094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18437.0625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5202</v>
      </c>
      <c r="Z19" s="99" t="n">
        <f aca="false">W19+X19+Y19</f>
        <v>10404</v>
      </c>
      <c r="AA19" s="100" t="n">
        <f aca="false">Q19+W19+X19+Y19</f>
        <v>2297421.638094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68</v>
      </c>
      <c r="E20" s="97" t="n">
        <f aca="false">HLOOKUP($B$6,'RetireUp Market Returns'!A:CT,(1+$B$7+C20),FALSE())</f>
        <v>0.088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2297421.638094</v>
      </c>
      <c r="K20" s="99" t="n">
        <f aca="false">J20*E20</f>
        <v>202173.104152272</v>
      </c>
      <c r="L20" s="99" t="n">
        <f aca="false">J20+K20</f>
        <v>2499594.74224627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2499594.74224627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18923.9990625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5306.04</v>
      </c>
      <c r="Z20" s="99" t="n">
        <f aca="false">W20+X20+Y20</f>
        <v>10612.08</v>
      </c>
      <c r="AA20" s="100" t="n">
        <f aca="false">Q20+W20+X20+Y20</f>
        <v>2510206.82224627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69</v>
      </c>
      <c r="E21" s="97" t="n">
        <f aca="false">HLOOKUP($B$6,'RetireUp Market Returns'!A:CT,(1+$B$7+C21),FALSE())</f>
        <v>0.0641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2510206.82224627</v>
      </c>
      <c r="K21" s="99" t="n">
        <f aca="false">J21*E21</f>
        <v>160904.257305986</v>
      </c>
      <c r="L21" s="99" t="n">
        <f aca="false">J21+K21</f>
        <v>2671111.07955226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2671111.07955226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5412.1608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5412.1608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19423.6292390625</v>
      </c>
      <c r="W21" s="99" t="n">
        <f aca="false">MIN(R21,T21)</f>
        <v>5412.1608</v>
      </c>
      <c r="X21" s="99" t="n">
        <f aca="false">MIN(U21,R21-W21)</f>
        <v>0</v>
      </c>
      <c r="Y21" s="99" t="n">
        <f aca="false">MIN(S21,V21)</f>
        <v>5412.1608</v>
      </c>
      <c r="Z21" s="99" t="n">
        <f aca="false">W21+X21+Y21</f>
        <v>10824.3216</v>
      </c>
      <c r="AA21" s="100" t="n">
        <f aca="false">Q21+W21+X21+Y21</f>
        <v>2681935.40115226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70</v>
      </c>
      <c r="E22" s="97" t="n">
        <f aca="false">HLOOKUP($B$6,'RetireUp Market Returns'!A:CT,(1+$B$7+C22),FALSE())</f>
        <v>0.0654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2681935.40115226</v>
      </c>
      <c r="K22" s="99" t="n">
        <f aca="false">J22*E22</f>
        <v>175398.575235358</v>
      </c>
      <c r="L22" s="99" t="n">
        <f aca="false">J22+K22</f>
        <v>2857333.97638762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2857333.97638762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5520.404016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5520.404016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19936.280774039</v>
      </c>
      <c r="W22" s="99" t="n">
        <f aca="false">MIN(R22,T22)</f>
        <v>5520.404016</v>
      </c>
      <c r="X22" s="99" t="n">
        <f aca="false">MIN(U22,R22-W22)</f>
        <v>0</v>
      </c>
      <c r="Y22" s="99" t="n">
        <f aca="false">MIN(S22,V22)</f>
        <v>5520.404016</v>
      </c>
      <c r="Z22" s="99" t="n">
        <f aca="false">W22+X22+Y22</f>
        <v>11040.808032</v>
      </c>
      <c r="AA22" s="100" t="n">
        <f aca="false">Q22+W22+X22+Y22</f>
        <v>2868374.78441962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71</v>
      </c>
      <c r="E23" s="97" t="n">
        <f aca="false">HLOOKUP($B$6,'RetireUp Market Returns'!A:CT,(1+$B$7+C23),FALSE())</f>
        <v>0.0807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2868374.78441962</v>
      </c>
      <c r="K23" s="99" t="n">
        <f aca="false">J23*E23</f>
        <v>231477.845102663</v>
      </c>
      <c r="L23" s="99" t="n">
        <f aca="false">J23+K23</f>
        <v>3099852.62952228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3099852.62952228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5630.81209632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5630.81209632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20462.28981347</v>
      </c>
      <c r="W23" s="99" t="n">
        <f aca="false">MIN(R23,T23)</f>
        <v>5630.81209632</v>
      </c>
      <c r="X23" s="99" t="n">
        <f aca="false">MIN(U23,R23-W23)</f>
        <v>0</v>
      </c>
      <c r="Y23" s="99" t="n">
        <f aca="false">MIN(S23,V23)</f>
        <v>5630.81209632</v>
      </c>
      <c r="Z23" s="99" t="n">
        <f aca="false">W23+X23+Y23</f>
        <v>11261.62419264</v>
      </c>
      <c r="AA23" s="100" t="n">
        <f aca="false">Q23+W23+X23+Y23</f>
        <v>3111114.25371492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72</v>
      </c>
      <c r="E24" s="97" t="n">
        <f aca="false">HLOOKUP($B$6,'RetireUp Market Returns'!A:CT,(1+$B$7+C24),FALSE())</f>
        <v>-0.0393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3111114.25371492</v>
      </c>
      <c r="K24" s="99" t="n">
        <f aca="false">J24*E24</f>
        <v>-122266.790170996</v>
      </c>
      <c r="L24" s="99" t="n">
        <f aca="false">J24+K24</f>
        <v>2988847.46354392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2988847.46354392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5743.4283382464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5743.4283382464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21002.0011192884</v>
      </c>
      <c r="W24" s="99" t="n">
        <f aca="false">MIN(R24,T24)</f>
        <v>5743.4283382464</v>
      </c>
      <c r="X24" s="99" t="n">
        <f aca="false">MIN(U24,R24-W24)</f>
        <v>0</v>
      </c>
      <c r="Y24" s="99" t="n">
        <f aca="false">MIN(S24,V24)</f>
        <v>5743.4283382464</v>
      </c>
      <c r="Z24" s="99" t="n">
        <f aca="false">W24+X24+Y24</f>
        <v>11486.8566764928</v>
      </c>
      <c r="AA24" s="100" t="n">
        <f aca="false">Q24+W24+X24+Y24</f>
        <v>3000334.32022042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73</v>
      </c>
      <c r="E25" s="97" t="n">
        <f aca="false">HLOOKUP($B$6,'RetireUp Market Returns'!A:CT,(1+$B$7+C25),FALSE())</f>
        <v>0.0098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3000334.32022042</v>
      </c>
      <c r="K25" s="99" t="n">
        <f aca="false">J25*E25</f>
        <v>29403.2763381601</v>
      </c>
      <c r="L25" s="99" t="n">
        <f aca="false">J25+K25</f>
        <v>3029737.59655858</v>
      </c>
      <c r="M25" s="101" t="n">
        <f aca="false">IF(D25="-","-",IF($F$4="Roth","-",IF($E$3="Health Savings Account","-",IF(AND(A25=2033,D25=74),VLOOKUP(D25,Tables!G:H,2,FALSE()),IF(AND(A25&gt;2032,D25&lt;75),"-",IF(D25&lt;73,"-",VLOOKUP(D25,Tables!G:H,2,FALSE())))))))</f>
        <v>26.5</v>
      </c>
      <c r="N25" s="99" t="n">
        <f aca="false">IF($M25="-",0,J25/$M25)</f>
        <v>113220.163027186</v>
      </c>
      <c r="O25" s="99" t="n">
        <f aca="false">IF(D25&gt;$B$4,0,IF(D25&lt;$B$3,0,$B$8*(1+$B$10)^(C25-1)))</f>
        <v>0</v>
      </c>
      <c r="P25" s="99" t="n">
        <f aca="false">MAX(N25,O25)</f>
        <v>113220.163027186</v>
      </c>
      <c r="Q25" s="99" t="n">
        <f aca="false">MAX(0,L25-P25)</f>
        <v>2916517.43353139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5858.29690501133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5858.29690501133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21555.7682889618</v>
      </c>
      <c r="W25" s="99" t="n">
        <f aca="false">MIN(R25,T25)</f>
        <v>5858.29690501133</v>
      </c>
      <c r="X25" s="99" t="n">
        <f aca="false">MIN(U25,R25-W25)</f>
        <v>0</v>
      </c>
      <c r="Y25" s="99" t="n">
        <f aca="false">MIN(S25,V25)</f>
        <v>5858.29690501133</v>
      </c>
      <c r="Z25" s="99" t="n">
        <f aca="false">W25+X25+Y25</f>
        <v>11716.5938100227</v>
      </c>
      <c r="AA25" s="100" t="n">
        <f aca="false">Q25+W25+X25+Y25</f>
        <v>2928234.02734141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74</v>
      </c>
      <c r="E26" s="97" t="n">
        <f aca="false">HLOOKUP($B$6,'RetireUp Market Returns'!A:CT,(1+$B$7+C26),FALSE())</f>
        <v>0.0513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2928234.02734141</v>
      </c>
      <c r="K26" s="99" t="n">
        <f aca="false">J26*E26</f>
        <v>150218.405602615</v>
      </c>
      <c r="L26" s="99" t="n">
        <f aca="false">J26+K26</f>
        <v>3078452.43294403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25.5</v>
      </c>
      <c r="N26" s="99" t="n">
        <f aca="false">IF($M26="-",0,J26/$M26)</f>
        <v>114832.706954565</v>
      </c>
      <c r="O26" s="99" t="n">
        <f aca="false">IF(D26&gt;$B$4,0,IF(D26&lt;$B$3,0,$B$8*(1+$B$10)^(C26-1)))</f>
        <v>0</v>
      </c>
      <c r="P26" s="99" t="n">
        <f aca="false">MAX(N26,O26)</f>
        <v>114832.706954565</v>
      </c>
      <c r="Q26" s="99" t="n">
        <f aca="false">MAX(0,L26-P26)</f>
        <v>2963619.72598946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5975.46284311156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5975.46284311156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22123.9539807109</v>
      </c>
      <c r="W26" s="99" t="n">
        <f aca="false">MIN(R26,T26)</f>
        <v>5975.46284311156</v>
      </c>
      <c r="X26" s="99" t="n">
        <f aca="false">MIN(U26,R26-W26)</f>
        <v>0</v>
      </c>
      <c r="Y26" s="99" t="n">
        <f aca="false">MIN(S26,V26)</f>
        <v>5975.46284311156</v>
      </c>
      <c r="Z26" s="99" t="n">
        <f aca="false">W26+X26+Y26</f>
        <v>11950.9256862231</v>
      </c>
      <c r="AA26" s="100" t="n">
        <f aca="false">Q26+W26+X26+Y26</f>
        <v>2975570.65167569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75</v>
      </c>
      <c r="E27" s="97" t="n">
        <f aca="false">HLOOKUP($B$6,'RetireUp Market Returns'!A:CT,(1+$B$7+C27),FALSE())</f>
        <v>0.0857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2975570.65167569</v>
      </c>
      <c r="K27" s="99" t="n">
        <f aca="false">J27*E27</f>
        <v>255006.404848606</v>
      </c>
      <c r="L27" s="99" t="n">
        <f aca="false">J27+K27</f>
        <v>3230577.05652429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24.6</v>
      </c>
      <c r="N27" s="99" t="n">
        <f aca="false">IF($M27="-",0,J27/$M27)</f>
        <v>120958.156572182</v>
      </c>
      <c r="O27" s="99" t="n">
        <f aca="false">IF(D27&gt;$B$4,0,IF(D27&lt;$B$3,0,$B$8*(1+$B$10)^(C27-1)))</f>
        <v>0</v>
      </c>
      <c r="P27" s="99" t="n">
        <f aca="false">MAX(N27,O27)</f>
        <v>120958.156572182</v>
      </c>
      <c r="Q27" s="99" t="n">
        <f aca="false">MAX(0,L27-P27)</f>
        <v>3109618.89995211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6094.97209997379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6094.97209997379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22706.9301444442</v>
      </c>
      <c r="W27" s="99" t="n">
        <f aca="false">MIN(R27,T27)</f>
        <v>6094.97209997379</v>
      </c>
      <c r="X27" s="99" t="n">
        <f aca="false">MIN(U27,R27-W27)</f>
        <v>0</v>
      </c>
      <c r="Y27" s="99" t="n">
        <f aca="false">MIN(S27,V27)</f>
        <v>6094.97209997379</v>
      </c>
      <c r="Z27" s="99" t="n">
        <f aca="false">W27+X27+Y27</f>
        <v>12189.9441999476</v>
      </c>
      <c r="AA27" s="100" t="n">
        <f aca="false">Q27+W27+X27+Y27</f>
        <v>3121808.84415206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76</v>
      </c>
      <c r="E28" s="97" t="n">
        <f aca="false">HLOOKUP($B$6,'RetireUp Market Returns'!A:CT,(1+$B$7+C28),FALSE())</f>
        <v>0.0521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3121808.84415206</v>
      </c>
      <c r="K28" s="99" t="n">
        <f aca="false">J28*E28</f>
        <v>162646.240780322</v>
      </c>
      <c r="L28" s="99" t="n">
        <f aca="false">J28+K28</f>
        <v>3284455.08493238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23.7</v>
      </c>
      <c r="N28" s="99" t="n">
        <f aca="false">IF($M28="-",0,J28/$M28)</f>
        <v>131721.892158315</v>
      </c>
      <c r="O28" s="99" t="n">
        <f aca="false">IF(D28&gt;$B$4,0,IF(D28&lt;$B$3,0,$B$8*(1+$B$10)^(C28-1)))</f>
        <v>131208.665780127</v>
      </c>
      <c r="P28" s="99" t="n">
        <f aca="false">MAX(N28,O28)</f>
        <v>131721.892158315</v>
      </c>
      <c r="Q28" s="99" t="n">
        <f aca="false">MAX(0,L28-P28)</f>
        <v>3152733.19277407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29521.9498005285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3152733.19277407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77</v>
      </c>
      <c r="E29" s="97" t="n">
        <f aca="false">HLOOKUP($B$6,'RetireUp Market Returns'!A:CT,(1+$B$7+C29),FALSE())</f>
        <v>0.064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3152733.19277407</v>
      </c>
      <c r="K29" s="99" t="n">
        <f aca="false">J29*E29</f>
        <v>201774.92433754</v>
      </c>
      <c r="L29" s="99" t="n">
        <f aca="false">J29+K29</f>
        <v>3354508.11711161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22.9</v>
      </c>
      <c r="N29" s="99" t="n">
        <f aca="false">IF($M29="-",0,J29/$M29)</f>
        <v>137673.938549086</v>
      </c>
      <c r="O29" s="99" t="n">
        <f aca="false">IF(D29&gt;$B$4,0,IF(D29&lt;$B$3,0,$B$8*(1+$B$10)^(C29-1)))</f>
        <v>134488.88242463</v>
      </c>
      <c r="P29" s="99" t="n">
        <f aca="false">MAX(N29,O29)</f>
        <v>137673.938549086</v>
      </c>
      <c r="Q29" s="99" t="n">
        <f aca="false">MAX(0,L29-P29)</f>
        <v>3216834.17856252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30259.9985455417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3216834.17856252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78</v>
      </c>
      <c r="E30" s="97" t="n">
        <f aca="false">HLOOKUP($B$6,'RetireUp Market Returns'!A:CT,(1+$B$7+C30),FALSE())</f>
        <v>0.0249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3216834.17856252</v>
      </c>
      <c r="K30" s="99" t="n">
        <f aca="false">J30*E30</f>
        <v>80099.1710462067</v>
      </c>
      <c r="L30" s="99" t="n">
        <f aca="false">J30+K30</f>
        <v>3296933.34960873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</v>
      </c>
      <c r="N30" s="99" t="n">
        <f aca="false">IF($M30="-",0,J30/$M30)</f>
        <v>146219.735389205</v>
      </c>
      <c r="O30" s="99" t="n">
        <f aca="false">IF(D30&gt;$B$4,0,IF(D30&lt;$B$3,0,$B$8*(1+$B$10)^(C30-1)))</f>
        <v>137851.104485245</v>
      </c>
      <c r="P30" s="99" t="n">
        <f aca="false">MAX(N30,O30)</f>
        <v>146219.735389205</v>
      </c>
      <c r="Q30" s="99" t="n">
        <f aca="false">MAX(0,L30-P30)</f>
        <v>3150713.61421952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31016.4985091802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3150713.61421952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79</v>
      </c>
      <c r="E31" s="97" t="n">
        <f aca="false">HLOOKUP($B$6,'RetireUp Market Returns'!A:CT,(1+$B$7+C31),FALSE())</f>
        <v>0.0451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3150713.61421952</v>
      </c>
      <c r="K31" s="99" t="n">
        <f aca="false">J31*E31</f>
        <v>142097.1840013</v>
      </c>
      <c r="L31" s="99" t="n">
        <f aca="false">J31+K31</f>
        <v>3292810.79822082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21.1</v>
      </c>
      <c r="N31" s="99" t="n">
        <f aca="false">IF($M31="-",0,J31/$M31)</f>
        <v>149322.920105191</v>
      </c>
      <c r="O31" s="99" t="n">
        <f aca="false">IF(D31&gt;$B$4,0,IF(D31&lt;$B$3,0,$B$8*(1+$B$10)^(C31-1)))</f>
        <v>141297.382097377</v>
      </c>
      <c r="P31" s="99" t="n">
        <f aca="false">MAX(N31,O31)</f>
        <v>149322.920105191</v>
      </c>
      <c r="Q31" s="99" t="n">
        <f aca="false">MAX(0,L31-P31)</f>
        <v>3143487.87811563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31791.9109719097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3143487.87811563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80</v>
      </c>
      <c r="E32" s="97" t="n">
        <f aca="false">HLOOKUP($B$6,'RetireUp Market Returns'!A:CT,(1+$B$7+C32),FALSE())</f>
        <v>0.0217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3143487.87811563</v>
      </c>
      <c r="K32" s="99" t="n">
        <f aca="false">J32*E32</f>
        <v>68213.6869551092</v>
      </c>
      <c r="L32" s="99" t="n">
        <f aca="false">J32+K32</f>
        <v>3211701.56507074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20.2</v>
      </c>
      <c r="N32" s="99" t="n">
        <f aca="false">IF($M32="-",0,J32/$M32)</f>
        <v>155618.211787903</v>
      </c>
      <c r="O32" s="99" t="n">
        <f aca="false">IF(D32&gt;$B$4,0,IF(D32&lt;$B$3,0,$B$8*(1+$B$10)^(C32-1)))</f>
        <v>144829.816649811</v>
      </c>
      <c r="P32" s="99" t="n">
        <f aca="false">MAX(N32,O32)</f>
        <v>155618.211787903</v>
      </c>
      <c r="Q32" s="99" t="n">
        <f aca="false">MAX(0,L32-P32)</f>
        <v>3056083.35328284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32586.7087462075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3056083.35328284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81</v>
      </c>
      <c r="E33" s="97" t="n">
        <f aca="false">HLOOKUP($B$6,'RetireUp Market Returns'!A:CT,(1+$B$7+C33),FALSE())</f>
        <v>0.1318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3056083.35328284</v>
      </c>
      <c r="K33" s="99" t="n">
        <f aca="false">J33*E33</f>
        <v>402791.785962678</v>
      </c>
      <c r="L33" s="99" t="n">
        <f aca="false">J33+K33</f>
        <v>3458875.13924552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19.4</v>
      </c>
      <c r="N33" s="99" t="n">
        <f aca="false">IF($M33="-",0,J33/$M33)</f>
        <v>157530.069756847</v>
      </c>
      <c r="O33" s="99" t="n">
        <f aca="false">IF(D33&gt;$B$4,0,IF(D33&lt;$B$3,0,$B$8*(1+$B$10)^(C33-1)))</f>
        <v>148450.562066056</v>
      </c>
      <c r="P33" s="99" t="n">
        <f aca="false">MAX(N33,O33)</f>
        <v>157530.069756847</v>
      </c>
      <c r="Q33" s="99" t="n">
        <f aca="false">MAX(0,L33-P33)</f>
        <v>3301345.06948867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33401.3764648627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3301345.06948867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82</v>
      </c>
      <c r="E34" s="97" t="n">
        <f aca="false">HLOOKUP($B$6,'RetireUp Market Returns'!A:CT,(1+$B$7+C34),FALSE())</f>
        <v>-0.054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3301345.06948867</v>
      </c>
      <c r="K34" s="99" t="n">
        <f aca="false">J34*E34</f>
        <v>-178272.633752388</v>
      </c>
      <c r="L34" s="99" t="n">
        <f aca="false">J34+K34</f>
        <v>3123072.43573628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18.5</v>
      </c>
      <c r="N34" s="99" t="n">
        <f aca="false">IF($M34="-",0,J34/$M34)</f>
        <v>178451.084837225</v>
      </c>
      <c r="O34" s="99" t="n">
        <f aca="false">IF(D34&gt;$B$4,0,IF(D34&lt;$B$3,0,$B$8*(1+$B$10)^(C34-1)))</f>
        <v>152161.826117708</v>
      </c>
      <c r="P34" s="99" t="n">
        <f aca="false">MAX(N34,O34)</f>
        <v>178451.084837225</v>
      </c>
      <c r="Q34" s="99" t="n">
        <f aca="false">MAX(0,L34-P34)</f>
        <v>2944621.35089906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34236.4108764842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2944621.35089906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83</v>
      </c>
      <c r="E35" s="97" t="n">
        <f aca="false">HLOOKUP($B$6,'RetireUp Market Returns'!A:CT,(1+$B$7+C35),FALSE())</f>
        <v>0.1062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2944621.35089906</v>
      </c>
      <c r="K35" s="99" t="n">
        <f aca="false">J35*E35</f>
        <v>312718.78746548</v>
      </c>
      <c r="L35" s="99" t="n">
        <f aca="false">J35+K35</f>
        <v>3257340.13836453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17.7</v>
      </c>
      <c r="N35" s="99" t="n">
        <f aca="false">IF($M35="-",0,J35/$M35)</f>
        <v>166362.788186387</v>
      </c>
      <c r="O35" s="99" t="n">
        <f aca="false">IF(D35&gt;$B$4,0,IF(D35&lt;$B$3,0,$B$8*(1+$B$10)^(C35-1)))</f>
        <v>155965.87177065</v>
      </c>
      <c r="P35" s="99" t="n">
        <f aca="false">MAX(N35,O35)</f>
        <v>166362.788186387</v>
      </c>
      <c r="Q35" s="99" t="n">
        <f aca="false">MAX(0,L35-P35)</f>
        <v>3090977.35017815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35092.3211483963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3090977.35017815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84</v>
      </c>
      <c r="E36" s="97" t="n">
        <f aca="false">HLOOKUP($B$6,'RetireUp Market Returns'!A:CT,(1+$B$7+C36),FALSE())</f>
        <v>0.0367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3090977.35017815</v>
      </c>
      <c r="K36" s="99" t="n">
        <f aca="false">J36*E36</f>
        <v>113438.868751538</v>
      </c>
      <c r="L36" s="99" t="n">
        <f aca="false">J36+K36</f>
        <v>3204416.21892969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16.8</v>
      </c>
      <c r="N36" s="99" t="n">
        <f aca="false">IF($M36="-",0,J36/$M36)</f>
        <v>183986.747034414</v>
      </c>
      <c r="O36" s="99" t="n">
        <f aca="false">IF(D36&gt;$B$4,0,IF(D36&lt;$B$3,0,$B$8*(1+$B$10)^(C36-1)))</f>
        <v>159865.018564917</v>
      </c>
      <c r="P36" s="99" t="n">
        <f aca="false">MAX(N36,O36)</f>
        <v>183986.747034414</v>
      </c>
      <c r="Q36" s="99" t="n">
        <f aca="false">MAX(0,L36-P36)</f>
        <v>3020429.47189527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35969.6291771062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3020429.47189527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85</v>
      </c>
      <c r="E37" s="97" t="n">
        <f aca="false">HLOOKUP($B$6,'RetireUp Market Returns'!A:CT,(1+$B$7+C37),FALSE())</f>
        <v>0.0723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3020429.47189527</v>
      </c>
      <c r="K37" s="99" t="n">
        <f aca="false">J37*E37</f>
        <v>218377.050818028</v>
      </c>
      <c r="L37" s="99" t="n">
        <f aca="false">J37+K37</f>
        <v>3238806.5227133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</v>
      </c>
      <c r="N37" s="99" t="n">
        <f aca="false">IF($M37="-",0,J37/$M37)</f>
        <v>188776.841993455</v>
      </c>
      <c r="O37" s="99" t="n">
        <f aca="false">IF(D37&gt;$B$4,0,IF(D37&lt;$B$3,0,$B$8*(1+$B$10)^(C37-1)))</f>
        <v>163861.644029039</v>
      </c>
      <c r="P37" s="99" t="n">
        <f aca="false">MAX(N37,O37)</f>
        <v>188776.841993455</v>
      </c>
      <c r="Q37" s="99" t="n">
        <f aca="false">MAX(0,L37-P37)</f>
        <v>3050029.68071985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36868.8699065339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3050029.68071985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86</v>
      </c>
      <c r="E38" s="97" t="n">
        <f aca="false">HLOOKUP($B$6,'RetireUp Market Returns'!A:CT,(1+$B$7+C38),FALSE())</f>
        <v>0.0542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3050029.68071985</v>
      </c>
      <c r="K38" s="99" t="n">
        <f aca="false">J38*E38</f>
        <v>165311.608695016</v>
      </c>
      <c r="L38" s="99" t="n">
        <f aca="false">J38+K38</f>
        <v>3215341.28941486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15.2</v>
      </c>
      <c r="N38" s="99" t="n">
        <f aca="false">IF($M38="-",0,J38/$M38)</f>
        <v>200659.847415779</v>
      </c>
      <c r="O38" s="99" t="n">
        <f aca="false">IF(D38&gt;$B$4,0,IF(D38&lt;$B$3,0,$B$8*(1+$B$10)^(C38-1)))</f>
        <v>167958.185129765</v>
      </c>
      <c r="P38" s="99" t="n">
        <f aca="false">MAX(N38,O38)</f>
        <v>200659.847415779</v>
      </c>
      <c r="Q38" s="99" t="n">
        <f aca="false">MAX(0,L38-P38)</f>
        <v>3014681.44199908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37790.5916541972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3014681.44199908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87</v>
      </c>
      <c r="E39" s="97" t="n">
        <f aca="false">HLOOKUP($B$6,'RetireUp Market Returns'!A:CT,(1+$B$7+C39),FALSE())</f>
        <v>0.0427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3014681.44199908</v>
      </c>
      <c r="K39" s="99" t="n">
        <f aca="false">J39*E39</f>
        <v>128726.897573361</v>
      </c>
      <c r="L39" s="99" t="n">
        <f aca="false">J39+K39</f>
        <v>3143408.33957244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14.4</v>
      </c>
      <c r="N39" s="99" t="n">
        <f aca="false">IF($M39="-",0,J39/$M39)</f>
        <v>209352.877916603</v>
      </c>
      <c r="O39" s="99" t="n">
        <f aca="false">IF(D39&gt;$B$4,0,IF(D39&lt;$B$3,0,$B$8*(1+$B$10)^(C39-1)))</f>
        <v>172157.13975801</v>
      </c>
      <c r="P39" s="99" t="n">
        <f aca="false">MAX(N39,O39)</f>
        <v>209352.877916603</v>
      </c>
      <c r="Q39" s="99" t="n">
        <f aca="false">MAX(0,L39-P39)</f>
        <v>2934055.46165584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38735.3564455521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2934055.46165584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88</v>
      </c>
      <c r="E40" s="97" t="n">
        <f aca="false">HLOOKUP($B$6,'RetireUp Market Returns'!A:CT,(1+$B$7+C40),FALSE())</f>
        <v>0.0593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2934055.46165584</v>
      </c>
      <c r="K40" s="99" t="n">
        <f aca="false">J40*E40</f>
        <v>173989.488876191</v>
      </c>
      <c r="L40" s="99" t="n">
        <f aca="false">J40+K40</f>
        <v>3108044.95053203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13.7</v>
      </c>
      <c r="N40" s="99" t="n">
        <f aca="false">IF($M40="-",0,J40/$M40)</f>
        <v>214164.632237653</v>
      </c>
      <c r="O40" s="99" t="n">
        <f aca="false">IF(D40&gt;$B$4,0,IF(D40&lt;$B$3,0,$B$8*(1+$B$10)^(C40-1)))</f>
        <v>176461.06825196</v>
      </c>
      <c r="P40" s="99" t="n">
        <f aca="false">MAX(N40,O40)</f>
        <v>214164.632237653</v>
      </c>
      <c r="Q40" s="99" t="n">
        <f aca="false">MAX(0,L40-P40)</f>
        <v>2893880.31829438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39703.7403566909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2893880.31829438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89</v>
      </c>
      <c r="E41" s="97" t="n">
        <f aca="false">HLOOKUP($B$6,'RetireUp Market Returns'!A:CT,(1+$B$7+C41),FALSE())</f>
        <v>0.052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2893880.31829438</v>
      </c>
      <c r="K41" s="99" t="n">
        <f aca="false">J41*E41</f>
        <v>150481.776551308</v>
      </c>
      <c r="L41" s="99" t="n">
        <f aca="false">J41+K41</f>
        <v>3044362.09484569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12.9</v>
      </c>
      <c r="N41" s="99" t="n">
        <f aca="false">IF($M41="-",0,J41/$M41)</f>
        <v>224331.807619719</v>
      </c>
      <c r="O41" s="99" t="n">
        <f aca="false">IF(D41&gt;$B$4,0,IF(D41&lt;$B$3,0,$B$8*(1+$B$10)^(C41-1)))</f>
        <v>180872.594958259</v>
      </c>
      <c r="P41" s="99" t="n">
        <f aca="false">MAX(N41,O41)</f>
        <v>224331.807619719</v>
      </c>
      <c r="Q41" s="99" t="n">
        <f aca="false">MAX(0,L41-P41)</f>
        <v>2820030.28722597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40696.3338656082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2820030.28722597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90</v>
      </c>
      <c r="E42" s="97" t="n">
        <f aca="false">HLOOKUP($B$6,'RetireUp Market Returns'!A:CT,(1+$B$7+C42),FALSE())</f>
        <v>-0.028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2820030.28722597</v>
      </c>
      <c r="K42" s="99" t="n">
        <f aca="false">J42*E42</f>
        <v>-78960.8480423271</v>
      </c>
      <c r="L42" s="99" t="n">
        <f aca="false">J42+K42</f>
        <v>2741069.43918364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12.2</v>
      </c>
      <c r="N42" s="99" t="n">
        <f aca="false">IF($M42="-",0,J42/$M42)</f>
        <v>231150.023543112</v>
      </c>
      <c r="O42" s="99" t="n">
        <f aca="false">IF(D42&gt;$B$4,0,IF(D42&lt;$B$3,0,$B$8*(1+$B$10)^(C42-1)))</f>
        <v>185394.409832215</v>
      </c>
      <c r="P42" s="99" t="n">
        <f aca="false">MAX(N42,O42)</f>
        <v>231150.023543112</v>
      </c>
      <c r="Q42" s="99" t="n">
        <f aca="false">MAX(0,L42-P42)</f>
        <v>2509919.41564053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41713.7422122484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2509919.41564053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str">
        <f aca="false">IF(D42="-","-",IF(D42+1&gt;B$4,"-",D42+1))</f>
        <v>-</v>
      </c>
      <c r="E43" s="97" t="n">
        <f aca="false">HLOOKUP($B$6,'RetireUp Market Returns'!A:CT,(1+$B$7+C43),FALSE())</f>
        <v>0.064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2509919.41564053</v>
      </c>
      <c r="K43" s="99" t="n">
        <f aca="false">J43*E43</f>
        <v>160634.842600994</v>
      </c>
      <c r="L43" s="99" t="n">
        <f aca="false">J43+K43</f>
        <v>2670554.25824152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0</v>
      </c>
      <c r="P43" s="99" t="n">
        <f aca="false">MAX(N43,O43)</f>
        <v>0</v>
      </c>
      <c r="Q43" s="99" t="n">
        <f aca="false">MAX(0,L43-P43)</f>
        <v>2670554.25824152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42756.5857675546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2670554.25824152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0.0433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2670554.25824152</v>
      </c>
      <c r="K44" s="99" t="n">
        <f aca="false">J44*E44</f>
        <v>115634.999381858</v>
      </c>
      <c r="L44" s="99" t="n">
        <f aca="false">J44+K44</f>
        <v>2786189.25762338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2786189.25762338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43825.5004117435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2786189.25762338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0.0633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2786189.25762338</v>
      </c>
      <c r="K45" s="99" t="n">
        <f aca="false">J45*E45</f>
        <v>176365.78000756</v>
      </c>
      <c r="L45" s="99" t="n">
        <f aca="false">J45+K45</f>
        <v>2962555.03763094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2962555.03763094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44921.1379220371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2962555.03763094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0.0301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2962555.03763094</v>
      </c>
      <c r="K46" s="99" t="n">
        <f aca="false">J46*E46</f>
        <v>89172.9066326913</v>
      </c>
      <c r="L46" s="99" t="n">
        <f aca="false">J46+K46</f>
        <v>3051727.94426363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3051727.94426363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46044.166370088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3051727.94426363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0.0735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3051727.94426363</v>
      </c>
      <c r="K47" s="99" t="n">
        <f aca="false">J47*E47</f>
        <v>224302.003903377</v>
      </c>
      <c r="L47" s="99" t="n">
        <f aca="false">J47+K47</f>
        <v>3276029.94816701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3276029.94816701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47195.2705293402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3276029.94816701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0.0269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3276029.94816701</v>
      </c>
      <c r="K48" s="99" t="n">
        <f aca="false">J48*E48</f>
        <v>88125.2056056925</v>
      </c>
      <c r="L48" s="99" t="n">
        <f aca="false">J48+K48</f>
        <v>3364155.1537727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3364155.1537727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48375.1522925737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3364155.1537727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0.036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3364155.1537727</v>
      </c>
      <c r="K49" s="99" t="n">
        <f aca="false">J49*E49</f>
        <v>121109.585535817</v>
      </c>
      <c r="L49" s="99" t="n">
        <f aca="false">J49+K49</f>
        <v>3485264.73930852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3485264.73930852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49584.531099888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3485264.73930852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0.088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3485264.73930852</v>
      </c>
      <c r="K50" s="99" t="n">
        <f aca="false">J50*E50</f>
        <v>306703.29705915</v>
      </c>
      <c r="L50" s="99" t="n">
        <f aca="false">J50+K50</f>
        <v>3791968.03636767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3791968.03636767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50824.1443773852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3791968.03636767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0.07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3791968.03636767</v>
      </c>
      <c r="K51" s="99" t="n">
        <f aca="false">J51*E51</f>
        <v>265437.762545737</v>
      </c>
      <c r="L51" s="99" t="n">
        <f aca="false">J51+K51</f>
        <v>4057405.7989134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4057405.7989134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52094.7479868198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4057405.7989134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-0.0373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4057405.7989134</v>
      </c>
      <c r="K52" s="99" t="n">
        <f aca="false">J52*E52</f>
        <v>-151341.23629947</v>
      </c>
      <c r="L52" s="99" t="n">
        <f aca="false">J52+K52</f>
        <v>3906064.56261393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3906064.56261393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53397.1166864903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3906064.56261393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-0.0567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3906064.56261393</v>
      </c>
      <c r="K53" s="99" t="n">
        <f aca="false">J53*E53</f>
        <v>-221473.86070021</v>
      </c>
      <c r="L53" s="99" t="n">
        <f aca="false">J53+K53</f>
        <v>3684590.70191372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3684590.70191372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54732.0446036526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3684590.70191372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-0.1079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3684590.70191372</v>
      </c>
      <c r="K54" s="99" t="n">
        <f aca="false">J54*E54</f>
        <v>-397567.336736491</v>
      </c>
      <c r="L54" s="99" t="n">
        <f aca="false">J54+K54</f>
        <v>3287023.36517723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3287023.36517723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56100.3457187439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3287023.36517723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30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65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Match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457b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457b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6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6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1.5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0.04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0.08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22500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181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457b with % of Salary / Match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65</v>
      </c>
      <c r="E17" s="97" t="n">
        <f aca="false">HLOOKUP($B$6,'RetireUp Market Returns'!A:CT,(1+$B$7+C17),FALSE())</f>
        <v>0.0729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145800</v>
      </c>
      <c r="L17" s="99" t="n">
        <f aca="false">J17+K17</f>
        <v>2145800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2145800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7500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17500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7500</v>
      </c>
      <c r="Z17" s="99" t="n">
        <f aca="false">W17+X17+Y17</f>
        <v>12500</v>
      </c>
      <c r="AA17" s="100" t="n">
        <f aca="false">Q17+Z17</f>
        <v>2158300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66</v>
      </c>
      <c r="E18" s="97" t="n">
        <f aca="false">HLOOKUP($B$6,'RetireUp Market Returns'!A:CT,(1+$B$7+C18),FALSE())</f>
        <v>0.0383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2158300</v>
      </c>
      <c r="K18" s="99" t="n">
        <f aca="false">J18*E18</f>
        <v>82662.89</v>
      </c>
      <c r="L18" s="99" t="n">
        <f aca="false">J18+K18</f>
        <v>2240962.89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2240962.89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7650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17962.5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7650</v>
      </c>
      <c r="Z18" s="99" t="n">
        <f aca="false">W18+X18+Y18</f>
        <v>12750</v>
      </c>
      <c r="AA18" s="100" t="n">
        <f aca="false">Q18+W18+X18+Y18</f>
        <v>2253712.89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67</v>
      </c>
      <c r="E19" s="97" t="n">
        <f aca="false">HLOOKUP($B$6,'RetireUp Market Returns'!A:CT,(1+$B$7+C19),FALSE())</f>
        <v>0.0171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2253712.89</v>
      </c>
      <c r="K19" s="99" t="n">
        <f aca="false">J19*E19</f>
        <v>38538.490419</v>
      </c>
      <c r="L19" s="99" t="n">
        <f aca="false">J19+K19</f>
        <v>2292251.380419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2292251.380419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7803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18437.0625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7803</v>
      </c>
      <c r="Z19" s="99" t="n">
        <f aca="false">W19+X19+Y19</f>
        <v>13005</v>
      </c>
      <c r="AA19" s="100" t="n">
        <f aca="false">Q19+W19+X19+Y19</f>
        <v>2305256.380419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68</v>
      </c>
      <c r="E20" s="97" t="n">
        <f aca="false">HLOOKUP($B$6,'RetireUp Market Returns'!A:CT,(1+$B$7+C20),FALSE())</f>
        <v>0.088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2305256.380419</v>
      </c>
      <c r="K20" s="99" t="n">
        <f aca="false">J20*E20</f>
        <v>202862.561476872</v>
      </c>
      <c r="L20" s="99" t="n">
        <f aca="false">J20+K20</f>
        <v>2508118.94189587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2508118.94189587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7959.06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18923.9990625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7959.06</v>
      </c>
      <c r="Z20" s="99" t="n">
        <f aca="false">W20+X20+Y20</f>
        <v>13265.1</v>
      </c>
      <c r="AA20" s="100" t="n">
        <f aca="false">Q20+W20+X20+Y20</f>
        <v>2521384.04189587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69</v>
      </c>
      <c r="E21" s="97" t="n">
        <f aca="false">HLOOKUP($B$6,'RetireUp Market Returns'!A:CT,(1+$B$7+C21),FALSE())</f>
        <v>0.0641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2521384.04189587</v>
      </c>
      <c r="K21" s="99" t="n">
        <f aca="false">J21*E21</f>
        <v>161620.717085525</v>
      </c>
      <c r="L21" s="99" t="n">
        <f aca="false">J21+K21</f>
        <v>2683004.7589814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2683004.7589814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5412.1608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8118.2412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19423.6292390625</v>
      </c>
      <c r="W21" s="99" t="n">
        <f aca="false">MIN(R21,T21)</f>
        <v>5412.1608</v>
      </c>
      <c r="X21" s="99" t="n">
        <f aca="false">MIN(U21,R21-W21)</f>
        <v>0</v>
      </c>
      <c r="Y21" s="99" t="n">
        <f aca="false">MIN(S21,V21)</f>
        <v>8118.2412</v>
      </c>
      <c r="Z21" s="99" t="n">
        <f aca="false">W21+X21+Y21</f>
        <v>13530.402</v>
      </c>
      <c r="AA21" s="100" t="n">
        <f aca="false">Q21+W21+X21+Y21</f>
        <v>2696535.1609814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70</v>
      </c>
      <c r="E22" s="97" t="n">
        <f aca="false">HLOOKUP($B$6,'RetireUp Market Returns'!A:CT,(1+$B$7+C22),FALSE())</f>
        <v>0.0654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2696535.1609814</v>
      </c>
      <c r="K22" s="99" t="n">
        <f aca="false">J22*E22</f>
        <v>176353.399528183</v>
      </c>
      <c r="L22" s="99" t="n">
        <f aca="false">J22+K22</f>
        <v>2872888.56050958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2872888.56050958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5520.404016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8280.606024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19936.280774039</v>
      </c>
      <c r="W22" s="99" t="n">
        <f aca="false">MIN(R22,T22)</f>
        <v>5520.404016</v>
      </c>
      <c r="X22" s="99" t="n">
        <f aca="false">MIN(U22,R22-W22)</f>
        <v>0</v>
      </c>
      <c r="Y22" s="99" t="n">
        <f aca="false">MIN(S22,V22)</f>
        <v>8280.606024</v>
      </c>
      <c r="Z22" s="99" t="n">
        <f aca="false">W22+X22+Y22</f>
        <v>13801.01004</v>
      </c>
      <c r="AA22" s="100" t="n">
        <f aca="false">Q22+W22+X22+Y22</f>
        <v>2886689.57054958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71</v>
      </c>
      <c r="E23" s="97" t="n">
        <f aca="false">HLOOKUP($B$6,'RetireUp Market Returns'!A:CT,(1+$B$7+C23),FALSE())</f>
        <v>0.0807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2886689.57054958</v>
      </c>
      <c r="K23" s="99" t="n">
        <f aca="false">J23*E23</f>
        <v>232955.848343351</v>
      </c>
      <c r="L23" s="99" t="n">
        <f aca="false">J23+K23</f>
        <v>3119645.41889293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3119645.41889293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5630.81209632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8446.21814448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20462.28981347</v>
      </c>
      <c r="W23" s="99" t="n">
        <f aca="false">MIN(R23,T23)</f>
        <v>5630.81209632</v>
      </c>
      <c r="X23" s="99" t="n">
        <f aca="false">MIN(U23,R23-W23)</f>
        <v>0</v>
      </c>
      <c r="Y23" s="99" t="n">
        <f aca="false">MIN(S23,V23)</f>
        <v>8446.21814448</v>
      </c>
      <c r="Z23" s="99" t="n">
        <f aca="false">W23+X23+Y23</f>
        <v>14077.0302408</v>
      </c>
      <c r="AA23" s="100" t="n">
        <f aca="false">Q23+W23+X23+Y23</f>
        <v>3133722.44913373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72</v>
      </c>
      <c r="E24" s="97" t="n">
        <f aca="false">HLOOKUP($B$6,'RetireUp Market Returns'!A:CT,(1+$B$7+C24),FALSE())</f>
        <v>-0.0393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3133722.44913373</v>
      </c>
      <c r="K24" s="99" t="n">
        <f aca="false">J24*E24</f>
        <v>-123155.292250956</v>
      </c>
      <c r="L24" s="99" t="n">
        <f aca="false">J24+K24</f>
        <v>3010567.15688278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3010567.15688278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5743.4283382464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8615.1425073696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21002.0011192884</v>
      </c>
      <c r="W24" s="99" t="n">
        <f aca="false">MIN(R24,T24)</f>
        <v>5743.4283382464</v>
      </c>
      <c r="X24" s="99" t="n">
        <f aca="false">MIN(U24,R24-W24)</f>
        <v>0</v>
      </c>
      <c r="Y24" s="99" t="n">
        <f aca="false">MIN(S24,V24)</f>
        <v>8615.1425073696</v>
      </c>
      <c r="Z24" s="99" t="n">
        <f aca="false">W24+X24+Y24</f>
        <v>14358.570845616</v>
      </c>
      <c r="AA24" s="100" t="n">
        <f aca="false">Q24+W24+X24+Y24</f>
        <v>3024925.72772839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73</v>
      </c>
      <c r="E25" s="97" t="n">
        <f aca="false">HLOOKUP($B$6,'RetireUp Market Returns'!A:CT,(1+$B$7+C25),FALSE())</f>
        <v>0.0098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3024925.72772839</v>
      </c>
      <c r="K25" s="99" t="n">
        <f aca="false">J25*E25</f>
        <v>29644.2721317382</v>
      </c>
      <c r="L25" s="99" t="n">
        <f aca="false">J25+K25</f>
        <v>3054569.99986013</v>
      </c>
      <c r="M25" s="101" t="n">
        <f aca="false">IF(D25="-","-",IF($F$4="Roth","-",IF($E$3="Health Savings Account","-",IF(AND(A25=2033,D25=74),VLOOKUP(D25,Tables!G:H,2,FALSE()),IF(AND(A25&gt;2032,D25&lt;75),"-",IF(D25&lt;73,"-",VLOOKUP(D25,Tables!G:H,2,FALSE())))))))</f>
        <v>26.5</v>
      </c>
      <c r="N25" s="99" t="n">
        <f aca="false">IF($M25="-",0,J25/$M25)</f>
        <v>114148.140668996</v>
      </c>
      <c r="O25" s="99" t="n">
        <f aca="false">IF(D25&gt;$B$4,0,IF(D25&lt;$B$3,0,$B$8*(1+$B$10)^(C25-1)))</f>
        <v>0</v>
      </c>
      <c r="P25" s="99" t="n">
        <f aca="false">MAX(N25,O25)</f>
        <v>114148.140668996</v>
      </c>
      <c r="Q25" s="99" t="n">
        <f aca="false">MAX(0,L25-P25)</f>
        <v>2940421.85919113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5858.29690501133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8787.44535751699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21555.7682889618</v>
      </c>
      <c r="W25" s="99" t="n">
        <f aca="false">MIN(R25,T25)</f>
        <v>5858.29690501133</v>
      </c>
      <c r="X25" s="99" t="n">
        <f aca="false">MIN(U25,R25-W25)</f>
        <v>0</v>
      </c>
      <c r="Y25" s="99" t="n">
        <f aca="false">MIN(S25,V25)</f>
        <v>8787.44535751699</v>
      </c>
      <c r="Z25" s="99" t="n">
        <f aca="false">W25+X25+Y25</f>
        <v>14645.7422625283</v>
      </c>
      <c r="AA25" s="100" t="n">
        <f aca="false">Q25+W25+X25+Y25</f>
        <v>2955067.60145366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74</v>
      </c>
      <c r="E26" s="97" t="n">
        <f aca="false">HLOOKUP($B$6,'RetireUp Market Returns'!A:CT,(1+$B$7+C26),FALSE())</f>
        <v>0.0513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2955067.60145366</v>
      </c>
      <c r="K26" s="99" t="n">
        <f aca="false">J26*E26</f>
        <v>151594.967954573</v>
      </c>
      <c r="L26" s="99" t="n">
        <f aca="false">J26+K26</f>
        <v>3106662.56940824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25.5</v>
      </c>
      <c r="N26" s="99" t="n">
        <f aca="false">IF($M26="-",0,J26/$M26)</f>
        <v>115885.003978575</v>
      </c>
      <c r="O26" s="99" t="n">
        <f aca="false">IF(D26&gt;$B$4,0,IF(D26&lt;$B$3,0,$B$8*(1+$B$10)^(C26-1)))</f>
        <v>0</v>
      </c>
      <c r="P26" s="99" t="n">
        <f aca="false">MAX(N26,O26)</f>
        <v>115885.003978575</v>
      </c>
      <c r="Q26" s="99" t="n">
        <f aca="false">MAX(0,L26-P26)</f>
        <v>2990777.56542966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5975.46284311156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8963.19426466734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22123.9539807109</v>
      </c>
      <c r="W26" s="99" t="n">
        <f aca="false">MIN(R26,T26)</f>
        <v>5975.46284311156</v>
      </c>
      <c r="X26" s="99" t="n">
        <f aca="false">MIN(U26,R26-W26)</f>
        <v>0</v>
      </c>
      <c r="Y26" s="99" t="n">
        <f aca="false">MIN(S26,V26)</f>
        <v>8963.19426466734</v>
      </c>
      <c r="Z26" s="99" t="n">
        <f aca="false">W26+X26+Y26</f>
        <v>14938.6571077789</v>
      </c>
      <c r="AA26" s="100" t="n">
        <f aca="false">Q26+W26+X26+Y26</f>
        <v>3005716.22253744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75</v>
      </c>
      <c r="E27" s="97" t="n">
        <f aca="false">HLOOKUP($B$6,'RetireUp Market Returns'!A:CT,(1+$B$7+C27),FALSE())</f>
        <v>0.0857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3005716.22253744</v>
      </c>
      <c r="K27" s="99" t="n">
        <f aca="false">J27*E27</f>
        <v>257589.880271459</v>
      </c>
      <c r="L27" s="99" t="n">
        <f aca="false">J27+K27</f>
        <v>3263306.1028089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24.6</v>
      </c>
      <c r="N27" s="99" t="n">
        <f aca="false">IF($M27="-",0,J27/$M27)</f>
        <v>122183.58628201</v>
      </c>
      <c r="O27" s="99" t="n">
        <f aca="false">IF(D27&gt;$B$4,0,IF(D27&lt;$B$3,0,$B$8*(1+$B$10)^(C27-1)))</f>
        <v>0</v>
      </c>
      <c r="P27" s="99" t="n">
        <f aca="false">MAX(N27,O27)</f>
        <v>122183.58628201</v>
      </c>
      <c r="Q27" s="99" t="n">
        <f aca="false">MAX(0,L27-P27)</f>
        <v>3141122.51652689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6094.97209997379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9142.45814996068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22706.9301444442</v>
      </c>
      <c r="W27" s="99" t="n">
        <f aca="false">MIN(R27,T27)</f>
        <v>6094.97209997379</v>
      </c>
      <c r="X27" s="99" t="n">
        <f aca="false">MIN(U27,R27-W27)</f>
        <v>0</v>
      </c>
      <c r="Y27" s="99" t="n">
        <f aca="false">MIN(S27,V27)</f>
        <v>9142.45814996068</v>
      </c>
      <c r="Z27" s="99" t="n">
        <f aca="false">W27+X27+Y27</f>
        <v>15237.4302499345</v>
      </c>
      <c r="AA27" s="100" t="n">
        <f aca="false">Q27+W27+X27+Y27</f>
        <v>3156359.94677682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76</v>
      </c>
      <c r="E28" s="97" t="n">
        <f aca="false">HLOOKUP($B$6,'RetireUp Market Returns'!A:CT,(1+$B$7+C28),FALSE())</f>
        <v>0.0521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3156359.94677682</v>
      </c>
      <c r="K28" s="99" t="n">
        <f aca="false">J28*E28</f>
        <v>164446.353227072</v>
      </c>
      <c r="L28" s="99" t="n">
        <f aca="false">J28+K28</f>
        <v>3320806.3000039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23.7</v>
      </c>
      <c r="N28" s="99" t="n">
        <f aca="false">IF($M28="-",0,J28/$M28)</f>
        <v>133179.744589739</v>
      </c>
      <c r="O28" s="99" t="n">
        <f aca="false">IF(D28&gt;$B$4,0,IF(D28&lt;$B$3,0,$B$8*(1+$B$10)^(C28-1)))</f>
        <v>131208.665780127</v>
      </c>
      <c r="P28" s="99" t="n">
        <f aca="false">MAX(N28,O28)</f>
        <v>133179.744589739</v>
      </c>
      <c r="Q28" s="99" t="n">
        <f aca="false">MAX(0,L28-P28)</f>
        <v>3187626.55541416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29521.9498005285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3187626.55541416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77</v>
      </c>
      <c r="E29" s="97" t="n">
        <f aca="false">HLOOKUP($B$6,'RetireUp Market Returns'!A:CT,(1+$B$7+C29),FALSE())</f>
        <v>0.064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3187626.55541416</v>
      </c>
      <c r="K29" s="99" t="n">
        <f aca="false">J29*E29</f>
        <v>204008.099546506</v>
      </c>
      <c r="L29" s="99" t="n">
        <f aca="false">J29+K29</f>
        <v>3391634.65496066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22.9</v>
      </c>
      <c r="N29" s="99" t="n">
        <f aca="false">IF($M29="-",0,J29/$M29)</f>
        <v>139197.666175291</v>
      </c>
      <c r="O29" s="99" t="n">
        <f aca="false">IF(D29&gt;$B$4,0,IF(D29&lt;$B$3,0,$B$8*(1+$B$10)^(C29-1)))</f>
        <v>134488.88242463</v>
      </c>
      <c r="P29" s="99" t="n">
        <f aca="false">MAX(N29,O29)</f>
        <v>139197.666175291</v>
      </c>
      <c r="Q29" s="99" t="n">
        <f aca="false">MAX(0,L29-P29)</f>
        <v>3252436.98878537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30259.9985455417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3252436.98878537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78</v>
      </c>
      <c r="E30" s="97" t="n">
        <f aca="false">HLOOKUP($B$6,'RetireUp Market Returns'!A:CT,(1+$B$7+C30),FALSE())</f>
        <v>0.0249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3252436.98878537</v>
      </c>
      <c r="K30" s="99" t="n">
        <f aca="false">J30*E30</f>
        <v>80985.6810207558</v>
      </c>
      <c r="L30" s="99" t="n">
        <f aca="false">J30+K30</f>
        <v>3333422.66980613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</v>
      </c>
      <c r="N30" s="99" t="n">
        <f aca="false">IF($M30="-",0,J30/$M30)</f>
        <v>147838.04494479</v>
      </c>
      <c r="O30" s="99" t="n">
        <f aca="false">IF(D30&gt;$B$4,0,IF(D30&lt;$B$3,0,$B$8*(1+$B$10)^(C30-1)))</f>
        <v>137851.104485245</v>
      </c>
      <c r="P30" s="99" t="n">
        <f aca="false">MAX(N30,O30)</f>
        <v>147838.04494479</v>
      </c>
      <c r="Q30" s="99" t="n">
        <f aca="false">MAX(0,L30-P30)</f>
        <v>3185584.62486134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31016.4985091802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3185584.62486134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79</v>
      </c>
      <c r="E31" s="97" t="n">
        <f aca="false">HLOOKUP($B$6,'RetireUp Market Returns'!A:CT,(1+$B$7+C31),FALSE())</f>
        <v>0.0451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3185584.62486134</v>
      </c>
      <c r="K31" s="99" t="n">
        <f aca="false">J31*E31</f>
        <v>143669.866581246</v>
      </c>
      <c r="L31" s="99" t="n">
        <f aca="false">J31+K31</f>
        <v>3329254.49144258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21.1</v>
      </c>
      <c r="N31" s="99" t="n">
        <f aca="false">IF($M31="-",0,J31/$M31)</f>
        <v>150975.574637978</v>
      </c>
      <c r="O31" s="99" t="n">
        <f aca="false">IF(D31&gt;$B$4,0,IF(D31&lt;$B$3,0,$B$8*(1+$B$10)^(C31-1)))</f>
        <v>141297.382097377</v>
      </c>
      <c r="P31" s="99" t="n">
        <f aca="false">MAX(N31,O31)</f>
        <v>150975.574637978</v>
      </c>
      <c r="Q31" s="99" t="n">
        <f aca="false">MAX(0,L31-P31)</f>
        <v>3178278.91680461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31791.9109719097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3178278.91680461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80</v>
      </c>
      <c r="E32" s="97" t="n">
        <f aca="false">HLOOKUP($B$6,'RetireUp Market Returns'!A:CT,(1+$B$7+C32),FALSE())</f>
        <v>0.0217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3178278.91680461</v>
      </c>
      <c r="K32" s="99" t="n">
        <f aca="false">J32*E32</f>
        <v>68968.65249466</v>
      </c>
      <c r="L32" s="99" t="n">
        <f aca="false">J32+K32</f>
        <v>3247247.56929927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20.2</v>
      </c>
      <c r="N32" s="99" t="n">
        <f aca="false">IF($M32="-",0,J32/$M32)</f>
        <v>157340.540435872</v>
      </c>
      <c r="O32" s="99" t="n">
        <f aca="false">IF(D32&gt;$B$4,0,IF(D32&lt;$B$3,0,$B$8*(1+$B$10)^(C32-1)))</f>
        <v>144829.816649811</v>
      </c>
      <c r="P32" s="99" t="n">
        <f aca="false">MAX(N32,O32)</f>
        <v>157340.540435872</v>
      </c>
      <c r="Q32" s="99" t="n">
        <f aca="false">MAX(0,L32-P32)</f>
        <v>3089907.02886339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32586.7087462075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3089907.02886339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81</v>
      </c>
      <c r="E33" s="97" t="n">
        <f aca="false">HLOOKUP($B$6,'RetireUp Market Returns'!A:CT,(1+$B$7+C33),FALSE())</f>
        <v>0.1318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3089907.02886339</v>
      </c>
      <c r="K33" s="99" t="n">
        <f aca="false">J33*E33</f>
        <v>407249.746404195</v>
      </c>
      <c r="L33" s="99" t="n">
        <f aca="false">J33+K33</f>
        <v>3497156.77526759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19.4</v>
      </c>
      <c r="N33" s="99" t="n">
        <f aca="false">IF($M33="-",0,J33/$M33)</f>
        <v>159273.558188835</v>
      </c>
      <c r="O33" s="99" t="n">
        <f aca="false">IF(D33&gt;$B$4,0,IF(D33&lt;$B$3,0,$B$8*(1+$B$10)^(C33-1)))</f>
        <v>148450.562066056</v>
      </c>
      <c r="P33" s="99" t="n">
        <f aca="false">MAX(N33,O33)</f>
        <v>159273.558188835</v>
      </c>
      <c r="Q33" s="99" t="n">
        <f aca="false">MAX(0,L33-P33)</f>
        <v>3337883.21707876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33401.3764648627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3337883.21707876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82</v>
      </c>
      <c r="E34" s="97" t="n">
        <f aca="false">HLOOKUP($B$6,'RetireUp Market Returns'!A:CT,(1+$B$7+C34),FALSE())</f>
        <v>-0.054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3337883.21707876</v>
      </c>
      <c r="K34" s="99" t="n">
        <f aca="false">J34*E34</f>
        <v>-180245.693722253</v>
      </c>
      <c r="L34" s="99" t="n">
        <f aca="false">J34+K34</f>
        <v>3157637.5233565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18.5</v>
      </c>
      <c r="N34" s="99" t="n">
        <f aca="false">IF($M34="-",0,J34/$M34)</f>
        <v>180426.119842095</v>
      </c>
      <c r="O34" s="99" t="n">
        <f aca="false">IF(D34&gt;$B$4,0,IF(D34&lt;$B$3,0,$B$8*(1+$B$10)^(C34-1)))</f>
        <v>152161.826117708</v>
      </c>
      <c r="P34" s="99" t="n">
        <f aca="false">MAX(N34,O34)</f>
        <v>180426.119842095</v>
      </c>
      <c r="Q34" s="99" t="n">
        <f aca="false">MAX(0,L34-P34)</f>
        <v>2977211.40351441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34236.4108764842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2977211.40351441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83</v>
      </c>
      <c r="E35" s="97" t="n">
        <f aca="false">HLOOKUP($B$6,'RetireUp Market Returns'!A:CT,(1+$B$7+C35),FALSE())</f>
        <v>0.1062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2977211.40351441</v>
      </c>
      <c r="K35" s="99" t="n">
        <f aca="false">J35*E35</f>
        <v>316179.85105323</v>
      </c>
      <c r="L35" s="99" t="n">
        <f aca="false">J35+K35</f>
        <v>3293391.25456764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17.7</v>
      </c>
      <c r="N35" s="99" t="n">
        <f aca="false">IF($M35="-",0,J35/$M35)</f>
        <v>168204.034096859</v>
      </c>
      <c r="O35" s="99" t="n">
        <f aca="false">IF(D35&gt;$B$4,0,IF(D35&lt;$B$3,0,$B$8*(1+$B$10)^(C35-1)))</f>
        <v>155965.87177065</v>
      </c>
      <c r="P35" s="99" t="n">
        <f aca="false">MAX(N35,O35)</f>
        <v>168204.034096859</v>
      </c>
      <c r="Q35" s="99" t="n">
        <f aca="false">MAX(0,L35-P35)</f>
        <v>3125187.22047078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35092.3211483963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3125187.22047078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84</v>
      </c>
      <c r="E36" s="97" t="n">
        <f aca="false">HLOOKUP($B$6,'RetireUp Market Returns'!A:CT,(1+$B$7+C36),FALSE())</f>
        <v>0.0367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3125187.22047078</v>
      </c>
      <c r="K36" s="99" t="n">
        <f aca="false">J36*E36</f>
        <v>114694.370991278</v>
      </c>
      <c r="L36" s="99" t="n">
        <f aca="false">J36+K36</f>
        <v>3239881.59146206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16.8</v>
      </c>
      <c r="N36" s="99" t="n">
        <f aca="false">IF($M36="-",0,J36/$M36)</f>
        <v>186023.048837546</v>
      </c>
      <c r="O36" s="99" t="n">
        <f aca="false">IF(D36&gt;$B$4,0,IF(D36&lt;$B$3,0,$B$8*(1+$B$10)^(C36-1)))</f>
        <v>159865.018564917</v>
      </c>
      <c r="P36" s="99" t="n">
        <f aca="false">MAX(N36,O36)</f>
        <v>186023.048837546</v>
      </c>
      <c r="Q36" s="99" t="n">
        <f aca="false">MAX(0,L36-P36)</f>
        <v>3053858.54262451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35969.6291771062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3053858.54262451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85</v>
      </c>
      <c r="E37" s="97" t="n">
        <f aca="false">HLOOKUP($B$6,'RetireUp Market Returns'!A:CT,(1+$B$7+C37),FALSE())</f>
        <v>0.0723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3053858.54262451</v>
      </c>
      <c r="K37" s="99" t="n">
        <f aca="false">J37*E37</f>
        <v>220793.972631752</v>
      </c>
      <c r="L37" s="99" t="n">
        <f aca="false">J37+K37</f>
        <v>3274652.51525626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</v>
      </c>
      <c r="N37" s="99" t="n">
        <f aca="false">IF($M37="-",0,J37/$M37)</f>
        <v>190866.158914032</v>
      </c>
      <c r="O37" s="99" t="n">
        <f aca="false">IF(D37&gt;$B$4,0,IF(D37&lt;$B$3,0,$B$8*(1+$B$10)^(C37-1)))</f>
        <v>163861.644029039</v>
      </c>
      <c r="P37" s="99" t="n">
        <f aca="false">MAX(N37,O37)</f>
        <v>190866.158914032</v>
      </c>
      <c r="Q37" s="99" t="n">
        <f aca="false">MAX(0,L37-P37)</f>
        <v>3083786.35634223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36868.8699065339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3083786.35634223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86</v>
      </c>
      <c r="E38" s="97" t="n">
        <f aca="false">HLOOKUP($B$6,'RetireUp Market Returns'!A:CT,(1+$B$7+C38),FALSE())</f>
        <v>0.0542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3083786.35634223</v>
      </c>
      <c r="K38" s="99" t="n">
        <f aca="false">J38*E38</f>
        <v>167141.220513749</v>
      </c>
      <c r="L38" s="99" t="n">
        <f aca="false">J38+K38</f>
        <v>3250927.57685598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15.2</v>
      </c>
      <c r="N38" s="99" t="n">
        <f aca="false">IF($M38="-",0,J38/$M38)</f>
        <v>202880.681338305</v>
      </c>
      <c r="O38" s="99" t="n">
        <f aca="false">IF(D38&gt;$B$4,0,IF(D38&lt;$B$3,0,$B$8*(1+$B$10)^(C38-1)))</f>
        <v>167958.185129765</v>
      </c>
      <c r="P38" s="99" t="n">
        <f aca="false">MAX(N38,O38)</f>
        <v>202880.681338305</v>
      </c>
      <c r="Q38" s="99" t="n">
        <f aca="false">MAX(0,L38-P38)</f>
        <v>3048046.89551767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37790.5916541972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3048046.89551767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87</v>
      </c>
      <c r="E39" s="97" t="n">
        <f aca="false">HLOOKUP($B$6,'RetireUp Market Returns'!A:CT,(1+$B$7+C39),FALSE())</f>
        <v>0.0427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3048046.89551767</v>
      </c>
      <c r="K39" s="99" t="n">
        <f aca="false">J39*E39</f>
        <v>130151.602438605</v>
      </c>
      <c r="L39" s="99" t="n">
        <f aca="false">J39+K39</f>
        <v>3178198.49795628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14.4</v>
      </c>
      <c r="N39" s="99" t="n">
        <f aca="false">IF($M39="-",0,J39/$M39)</f>
        <v>211669.923299838</v>
      </c>
      <c r="O39" s="99" t="n">
        <f aca="false">IF(D39&gt;$B$4,0,IF(D39&lt;$B$3,0,$B$8*(1+$B$10)^(C39-1)))</f>
        <v>172157.13975801</v>
      </c>
      <c r="P39" s="99" t="n">
        <f aca="false">MAX(N39,O39)</f>
        <v>211669.923299838</v>
      </c>
      <c r="Q39" s="99" t="n">
        <f aca="false">MAX(0,L39-P39)</f>
        <v>2966528.57465644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38735.3564455521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2966528.57465644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88</v>
      </c>
      <c r="E40" s="97" t="n">
        <f aca="false">HLOOKUP($B$6,'RetireUp Market Returns'!A:CT,(1+$B$7+C40),FALSE())</f>
        <v>0.0593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2966528.57465644</v>
      </c>
      <c r="K40" s="99" t="n">
        <f aca="false">J40*E40</f>
        <v>175915.144477127</v>
      </c>
      <c r="L40" s="99" t="n">
        <f aca="false">J40+K40</f>
        <v>3142443.71913357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13.7</v>
      </c>
      <c r="N40" s="99" t="n">
        <f aca="false">IF($M40="-",0,J40/$M40)</f>
        <v>216534.932456674</v>
      </c>
      <c r="O40" s="99" t="n">
        <f aca="false">IF(D40&gt;$B$4,0,IF(D40&lt;$B$3,0,$B$8*(1+$B$10)^(C40-1)))</f>
        <v>176461.06825196</v>
      </c>
      <c r="P40" s="99" t="n">
        <f aca="false">MAX(N40,O40)</f>
        <v>216534.932456674</v>
      </c>
      <c r="Q40" s="99" t="n">
        <f aca="false">MAX(0,L40-P40)</f>
        <v>2925908.78667689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39703.7403566909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2925908.78667689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89</v>
      </c>
      <c r="E41" s="97" t="n">
        <f aca="false">HLOOKUP($B$6,'RetireUp Market Returns'!A:CT,(1+$B$7+C41),FALSE())</f>
        <v>0.052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2925908.78667689</v>
      </c>
      <c r="K41" s="99" t="n">
        <f aca="false">J41*E41</f>
        <v>152147.256907198</v>
      </c>
      <c r="L41" s="99" t="n">
        <f aca="false">J41+K41</f>
        <v>3078056.04358409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12.9</v>
      </c>
      <c r="N41" s="99" t="n">
        <f aca="false">IF($M41="-",0,J41/$M41)</f>
        <v>226814.634626116</v>
      </c>
      <c r="O41" s="99" t="n">
        <f aca="false">IF(D41&gt;$B$4,0,IF(D41&lt;$B$3,0,$B$8*(1+$B$10)^(C41-1)))</f>
        <v>180872.594958259</v>
      </c>
      <c r="P41" s="99" t="n">
        <f aca="false">MAX(N41,O41)</f>
        <v>226814.634626116</v>
      </c>
      <c r="Q41" s="99" t="n">
        <f aca="false">MAX(0,L41-P41)</f>
        <v>2851241.40895798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40696.3338656082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2851241.40895798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90</v>
      </c>
      <c r="E42" s="97" t="n">
        <f aca="false">HLOOKUP($B$6,'RetireUp Market Returns'!A:CT,(1+$B$7+C42),FALSE())</f>
        <v>-0.028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2851241.40895798</v>
      </c>
      <c r="K42" s="99" t="n">
        <f aca="false">J42*E42</f>
        <v>-79834.7594508233</v>
      </c>
      <c r="L42" s="99" t="n">
        <f aca="false">J42+K42</f>
        <v>2771406.64950715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12.2</v>
      </c>
      <c r="N42" s="99" t="n">
        <f aca="false">IF($M42="-",0,J42/$M42)</f>
        <v>233708.31220967</v>
      </c>
      <c r="O42" s="99" t="n">
        <f aca="false">IF(D42&gt;$B$4,0,IF(D42&lt;$B$3,0,$B$8*(1+$B$10)^(C42-1)))</f>
        <v>185394.409832215</v>
      </c>
      <c r="P42" s="99" t="n">
        <f aca="false">MAX(N42,O42)</f>
        <v>233708.31220967</v>
      </c>
      <c r="Q42" s="99" t="n">
        <f aca="false">MAX(0,L42-P42)</f>
        <v>2537698.33729748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41713.7422122484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2537698.33729748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str">
        <f aca="false">IF(D42="-","-",IF(D42+1&gt;B$4,"-",D42+1))</f>
        <v>-</v>
      </c>
      <c r="E43" s="97" t="n">
        <f aca="false">HLOOKUP($B$6,'RetireUp Market Returns'!A:CT,(1+$B$7+C43),FALSE())</f>
        <v>0.064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2537698.33729748</v>
      </c>
      <c r="K43" s="99" t="n">
        <f aca="false">J43*E43</f>
        <v>162412.693587039</v>
      </c>
      <c r="L43" s="99" t="n">
        <f aca="false">J43+K43</f>
        <v>2700111.03088452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0</v>
      </c>
      <c r="P43" s="99" t="n">
        <f aca="false">MAX(N43,O43)</f>
        <v>0</v>
      </c>
      <c r="Q43" s="99" t="n">
        <f aca="false">MAX(0,L43-P43)</f>
        <v>2700111.03088452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42756.5857675546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2700111.03088452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0.0433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2700111.03088452</v>
      </c>
      <c r="K44" s="99" t="n">
        <f aca="false">J44*E44</f>
        <v>116914.8076373</v>
      </c>
      <c r="L44" s="99" t="n">
        <f aca="false">J44+K44</f>
        <v>2817025.83852182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2817025.83852182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43825.5004117435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2817025.83852182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0.0633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2817025.83852182</v>
      </c>
      <c r="K45" s="99" t="n">
        <f aca="false">J45*E45</f>
        <v>178317.735578431</v>
      </c>
      <c r="L45" s="99" t="n">
        <f aca="false">J45+K45</f>
        <v>2995343.57410025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2995343.57410025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44921.1379220371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2995343.57410025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0.0301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2995343.57410025</v>
      </c>
      <c r="K46" s="99" t="n">
        <f aca="false">J46*E46</f>
        <v>90159.8415804176</v>
      </c>
      <c r="L46" s="99" t="n">
        <f aca="false">J46+K46</f>
        <v>3085503.41568067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3085503.41568067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46044.166370088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3085503.41568067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0.0735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3085503.41568067</v>
      </c>
      <c r="K47" s="99" t="n">
        <f aca="false">J47*E47</f>
        <v>226784.501052529</v>
      </c>
      <c r="L47" s="99" t="n">
        <f aca="false">J47+K47</f>
        <v>3312287.9167332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3312287.9167332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47195.2705293402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3312287.9167332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0.0269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3312287.9167332</v>
      </c>
      <c r="K48" s="99" t="n">
        <f aca="false">J48*E48</f>
        <v>89100.544960123</v>
      </c>
      <c r="L48" s="99" t="n">
        <f aca="false">J48+K48</f>
        <v>3401388.46169332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3401388.46169332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48375.1522925737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3401388.46169332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0.036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3401388.46169332</v>
      </c>
      <c r="K49" s="99" t="n">
        <f aca="false">J49*E49</f>
        <v>122449.98462096</v>
      </c>
      <c r="L49" s="99" t="n">
        <f aca="false">J49+K49</f>
        <v>3523838.44631428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3523838.44631428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49584.531099888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3523838.44631428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0.088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3523838.44631428</v>
      </c>
      <c r="K50" s="99" t="n">
        <f aca="false">J50*E50</f>
        <v>310097.783275657</v>
      </c>
      <c r="L50" s="99" t="n">
        <f aca="false">J50+K50</f>
        <v>3833936.22958994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3833936.22958994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50824.1443773852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3833936.22958994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0.07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3833936.22958994</v>
      </c>
      <c r="K51" s="99" t="n">
        <f aca="false">J51*E51</f>
        <v>268375.536071296</v>
      </c>
      <c r="L51" s="99" t="n">
        <f aca="false">J51+K51</f>
        <v>4102311.76566123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4102311.76566123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52094.7479868198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4102311.76566123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-0.0373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4102311.76566123</v>
      </c>
      <c r="K52" s="99" t="n">
        <f aca="false">J52*E52</f>
        <v>-153016.228859164</v>
      </c>
      <c r="L52" s="99" t="n">
        <f aca="false">J52+K52</f>
        <v>3949295.53680207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3949295.53680207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53397.1166864903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3949295.53680207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-0.0567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3949295.53680207</v>
      </c>
      <c r="K53" s="99" t="n">
        <f aca="false">J53*E53</f>
        <v>-223925.056936677</v>
      </c>
      <c r="L53" s="99" t="n">
        <f aca="false">J53+K53</f>
        <v>3725370.47986539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3725370.47986539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54732.0446036526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3725370.47986539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-0.1079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3725370.47986539</v>
      </c>
      <c r="K54" s="99" t="n">
        <f aca="false">J54*E54</f>
        <v>-401967.474777476</v>
      </c>
      <c r="L54" s="99" t="n">
        <f aca="false">J54+K54</f>
        <v>3323403.00508792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3323403.00508792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56100.3457187439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3323403.00508792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31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53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Health Savings Account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Health Savings Account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4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4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7750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Maximum Allowable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7750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182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Health Savings Account with Maximum Allowable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53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7750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1000</v>
      </c>
      <c r="T17" s="99" t="n">
        <f aca="false">$N$4*(1+$B$10)^(C17-1)</f>
        <v>7750</v>
      </c>
      <c r="U17" s="99" t="n">
        <f aca="false">IF(AND($F$3=4,D17&lt;55),0,IF(D17&lt;50,0,IF(A17&lt;2025,$N$5*(1+$B$10)^(C17-1),IF(AND(D17&gt;59,D17&lt;64),$N$5*IF($N$3=2,1.5,1)*(1+$B$10)^(C17-1),$N$5*(1+$B$10)^(C17-1)))))</f>
        <v>0</v>
      </c>
      <c r="V17" s="99" t="n">
        <f aca="false">IF($N$3=1,0,$N$6*(1+$B$10)^(C17-1)-W17)</f>
        <v>0</v>
      </c>
      <c r="W17" s="99" t="n">
        <f aca="false">MIN(R17,T17)</f>
        <v>7750</v>
      </c>
      <c r="X17" s="99" t="n">
        <f aca="false">MIN(U17,R17-W17)</f>
        <v>0</v>
      </c>
      <c r="Y17" s="99" t="n">
        <f aca="false">MIN(S17,V17)</f>
        <v>0</v>
      </c>
      <c r="Z17" s="99" t="n">
        <f aca="false">W17+X17+Y17</f>
        <v>7750</v>
      </c>
      <c r="AA17" s="100" t="n">
        <f aca="false">Q17+Z17</f>
        <v>2190150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54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2190150</v>
      </c>
      <c r="K18" s="99" t="n">
        <f aca="false">J18*E18</f>
        <v>104908.185</v>
      </c>
      <c r="L18" s="99" t="n">
        <f aca="false">J18+K18</f>
        <v>2295058.185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2295058.185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7943.75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1000</v>
      </c>
      <c r="T18" s="99" t="n">
        <f aca="false">$N$4*(1+$B$10)^(C18-1)</f>
        <v>7943.75</v>
      </c>
      <c r="U18" s="99" t="n">
        <f aca="false">IF(AND($F$3=4,D18&lt;55),0,IF(D18&lt;50,0,IF(A18&lt;2025,$N$5*(1+$B$10)^(C18-1),IF(AND(D18&gt;59,D18&lt;64),$N$5*IF($N$3=2,1.5,1)*(1+$B$10)^(C18-1),$N$5*(1+$B$10)^(C18-1)))))</f>
        <v>0</v>
      </c>
      <c r="V18" s="99" t="n">
        <f aca="false">IF($N$3=1,0,$N$6*(1+$B$10)^(C18-1)-W18)</f>
        <v>0</v>
      </c>
      <c r="W18" s="99" t="n">
        <f aca="false">MIN(R18,T18)</f>
        <v>7943.75</v>
      </c>
      <c r="X18" s="99" t="n">
        <f aca="false">MIN(U18,R18-W18)</f>
        <v>0</v>
      </c>
      <c r="Y18" s="99" t="n">
        <f aca="false">MIN(S18,V18)</f>
        <v>0</v>
      </c>
      <c r="Z18" s="99" t="n">
        <f aca="false">W18+X18+Y18</f>
        <v>7943.75</v>
      </c>
      <c r="AA18" s="100" t="n">
        <f aca="false">Q18+W18+X18+Y18</f>
        <v>2303001.935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55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2303001.935</v>
      </c>
      <c r="K19" s="99" t="n">
        <f aca="false">J19*E19</f>
        <v>49053.9412155</v>
      </c>
      <c r="L19" s="99" t="n">
        <f aca="false">J19+K19</f>
        <v>2352055.8762155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2352055.8762155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9192.96875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1000</v>
      </c>
      <c r="T19" s="99" t="n">
        <f aca="false">$N$4*(1+$B$10)^(C19-1)</f>
        <v>8142.34375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8142.34375</v>
      </c>
      <c r="X19" s="99" t="n">
        <f aca="false">MIN(U19,R19-W19)</f>
        <v>1050.625</v>
      </c>
      <c r="Y19" s="99" t="n">
        <f aca="false">MIN(S19,V19)</f>
        <v>0</v>
      </c>
      <c r="Z19" s="99" t="n">
        <f aca="false">W19+X19+Y19</f>
        <v>9192.96875</v>
      </c>
      <c r="AA19" s="100" t="n">
        <f aca="false">Q19+W19+X19+Y19</f>
        <v>2361248.8449655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56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2361248.8449655</v>
      </c>
      <c r="K20" s="99" t="n">
        <f aca="false">J20*E20</f>
        <v>259737.372946205</v>
      </c>
      <c r="L20" s="99" t="n">
        <f aca="false">J20+K20</f>
        <v>2620986.2179117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2620986.2179117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9422.79296875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1000</v>
      </c>
      <c r="T20" s="99" t="n">
        <f aca="false">$N$4*(1+$B$10)^(C20-1)</f>
        <v>8345.90234375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8345.90234375</v>
      </c>
      <c r="X20" s="99" t="n">
        <f aca="false">MIN(U20,R20-W20)</f>
        <v>1076.890625</v>
      </c>
      <c r="Y20" s="99" t="n">
        <f aca="false">MIN(S20,V20)</f>
        <v>0</v>
      </c>
      <c r="Z20" s="99" t="n">
        <f aca="false">W20+X20+Y20</f>
        <v>9422.79296875</v>
      </c>
      <c r="AA20" s="100" t="n">
        <f aca="false">Q20+W20+X20+Y20</f>
        <v>2630409.01088045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57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2630409.01088045</v>
      </c>
      <c r="K21" s="99" t="n">
        <f aca="false">J21*E21</f>
        <v>210958.802672612</v>
      </c>
      <c r="L21" s="99" t="n">
        <f aca="false">J21+K21</f>
        <v>2841367.81355307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2841367.81355307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9658.36279296875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1000</v>
      </c>
      <c r="T21" s="99" t="n">
        <f aca="false">$N$4*(1+$B$10)^(C21-1)</f>
        <v>8554.54990234375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0</v>
      </c>
      <c r="W21" s="99" t="n">
        <f aca="false">MIN(R21,T21)</f>
        <v>8554.54990234375</v>
      </c>
      <c r="X21" s="99" t="n">
        <f aca="false">MIN(U21,R21-W21)</f>
        <v>1103.812890625</v>
      </c>
      <c r="Y21" s="99" t="n">
        <f aca="false">MIN(S21,V21)</f>
        <v>0</v>
      </c>
      <c r="Z21" s="99" t="n">
        <f aca="false">W21+X21+Y21</f>
        <v>9658.36279296875</v>
      </c>
      <c r="AA21" s="100" t="n">
        <f aca="false">Q21+W21+X21+Y21</f>
        <v>2851026.17634604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58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2851026.17634604</v>
      </c>
      <c r="K22" s="99" t="n">
        <f aca="false">J22*E22</f>
        <v>233213.941225106</v>
      </c>
      <c r="L22" s="99" t="n">
        <f aca="false">J22+K22</f>
        <v>3084240.11757114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3084240.11757114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9899.82186279296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1000</v>
      </c>
      <c r="T22" s="99" t="n">
        <f aca="false">$N$4*(1+$B$10)^(C22-1)</f>
        <v>8768.41364990234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0</v>
      </c>
      <c r="W22" s="99" t="n">
        <f aca="false">MIN(R22,T22)</f>
        <v>8768.41364990234</v>
      </c>
      <c r="X22" s="99" t="n">
        <f aca="false">MIN(U22,R22-W22)</f>
        <v>1131.40821289062</v>
      </c>
      <c r="Y22" s="99" t="n">
        <f aca="false">MIN(S22,V22)</f>
        <v>0</v>
      </c>
      <c r="Z22" s="99" t="n">
        <f aca="false">W22+X22+Y22</f>
        <v>9899.82186279296</v>
      </c>
      <c r="AA22" s="100" t="n">
        <f aca="false">Q22+W22+X22+Y22</f>
        <v>3094139.93943394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59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3094139.93943394</v>
      </c>
      <c r="K23" s="99" t="n">
        <f aca="false">J23*E23</f>
        <v>311889.305894941</v>
      </c>
      <c r="L23" s="99" t="n">
        <f aca="false">J23+K23</f>
        <v>3406029.24532888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3406029.24532888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10147.3174093628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1000</v>
      </c>
      <c r="T23" s="99" t="n">
        <f aca="false">$N$4*(1+$B$10)^(C23-1)</f>
        <v>8987.6239911499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0</v>
      </c>
      <c r="W23" s="99" t="n">
        <f aca="false">MIN(R23,T23)</f>
        <v>8987.6239911499</v>
      </c>
      <c r="X23" s="99" t="n">
        <f aca="false">MIN(U23,R23-W23)</f>
        <v>1159.69341821289</v>
      </c>
      <c r="Y23" s="99" t="n">
        <f aca="false">MIN(S23,V23)</f>
        <v>0</v>
      </c>
      <c r="Z23" s="99" t="n">
        <f aca="false">W23+X23+Y23</f>
        <v>10147.3174093628</v>
      </c>
      <c r="AA23" s="100" t="n">
        <f aca="false">Q23+W23+X23+Y23</f>
        <v>3416176.56273824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60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3416176.56273824</v>
      </c>
      <c r="K24" s="99" t="n">
        <f aca="false">J24*E24</f>
        <v>-168075.886886721</v>
      </c>
      <c r="L24" s="99" t="n">
        <f aca="false">J24+K24</f>
        <v>3248100.67585152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3248100.67585152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10401.0003445969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1000</v>
      </c>
      <c r="T24" s="99" t="n">
        <f aca="false">$N$4*(1+$B$10)^(C24-1)</f>
        <v>9212.31459092865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0</v>
      </c>
      <c r="W24" s="99" t="n">
        <f aca="false">MIN(R24,T24)</f>
        <v>9212.31459092865</v>
      </c>
      <c r="X24" s="99" t="n">
        <f aca="false">MIN(U24,R24-W24)</f>
        <v>1188.68575366821</v>
      </c>
      <c r="Y24" s="99" t="n">
        <f aca="false">MIN(S24,V24)</f>
        <v>0</v>
      </c>
      <c r="Z24" s="99" t="n">
        <f aca="false">W24+X24+Y24</f>
        <v>10401.0003445969</v>
      </c>
      <c r="AA24" s="100" t="n">
        <f aca="false">Q24+W24+X24+Y24</f>
        <v>3258501.67619611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61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3258501.67619611</v>
      </c>
      <c r="K25" s="99" t="n">
        <f aca="false">J25*E25</f>
        <v>40079.5706172122</v>
      </c>
      <c r="L25" s="99" t="n">
        <f aca="false">J25+K25</f>
        <v>3298581.24681333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3298581.24681333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10661.0253532118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1000</v>
      </c>
      <c r="T25" s="99" t="n">
        <f aca="false">$N$4*(1+$B$10)^(C25-1)</f>
        <v>9442.62245570186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0</v>
      </c>
      <c r="W25" s="99" t="n">
        <f aca="false">MIN(R25,T25)</f>
        <v>9442.62245570186</v>
      </c>
      <c r="X25" s="99" t="n">
        <f aca="false">MIN(U25,R25-W25)</f>
        <v>1218.40289750992</v>
      </c>
      <c r="Y25" s="99" t="n">
        <f aca="false">MIN(S25,V25)</f>
        <v>0</v>
      </c>
      <c r="Z25" s="99" t="n">
        <f aca="false">W25+X25+Y25</f>
        <v>10661.0253532118</v>
      </c>
      <c r="AA25" s="100" t="n">
        <f aca="false">Q25+W25+X25+Y25</f>
        <v>3309242.27216654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62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3309242.27216654</v>
      </c>
      <c r="K26" s="99" t="n">
        <f aca="false">J26*E26</f>
        <v>212122.429645875</v>
      </c>
      <c r="L26" s="99" t="n">
        <f aca="false">J26+K26</f>
        <v>3521364.70181241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0</v>
      </c>
      <c r="P26" s="99" t="n">
        <f aca="false">MAX(N26,O26)</f>
        <v>0</v>
      </c>
      <c r="Q26" s="99" t="n">
        <f aca="false">MAX(0,L26-P26)</f>
        <v>3521364.70181241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10927.5509870421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1000</v>
      </c>
      <c r="T26" s="99" t="n">
        <f aca="false">$N$4*(1+$B$10)^(C26-1)</f>
        <v>9678.68801709441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0</v>
      </c>
      <c r="W26" s="99" t="n">
        <f aca="false">MIN(R26,T26)</f>
        <v>9678.68801709441</v>
      </c>
      <c r="X26" s="99" t="n">
        <f aca="false">MIN(U26,R26-W26)</f>
        <v>1248.86296994767</v>
      </c>
      <c r="Y26" s="99" t="n">
        <f aca="false">MIN(S26,V26)</f>
        <v>0</v>
      </c>
      <c r="Z26" s="99" t="n">
        <f aca="false">W26+X26+Y26</f>
        <v>10927.5509870421</v>
      </c>
      <c r="AA26" s="100" t="n">
        <f aca="false">Q26+W26+X26+Y26</f>
        <v>3532292.25279945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63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3532292.25279945</v>
      </c>
      <c r="K27" s="99" t="n">
        <f aca="false">J27*E27</f>
        <v>378308.500274822</v>
      </c>
      <c r="L27" s="99" t="n">
        <f aca="false">J27+K27</f>
        <v>3910600.75307428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0</v>
      </c>
      <c r="P27" s="99" t="n">
        <f aca="false">MAX(N27,O27)</f>
        <v>0</v>
      </c>
      <c r="Q27" s="99" t="n">
        <f aca="false">MAX(0,L27-P27)</f>
        <v>3910600.75307428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11200.7397617181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1000</v>
      </c>
      <c r="T27" s="99" t="n">
        <f aca="false">$N$4*(1+$B$10)^(C27-1)</f>
        <v>9920.65521752176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0</v>
      </c>
      <c r="W27" s="99" t="n">
        <f aca="false">MIN(R27,T27)</f>
        <v>9920.65521752176</v>
      </c>
      <c r="X27" s="99" t="n">
        <f aca="false">MIN(U27,R27-W27)</f>
        <v>1280.08454419636</v>
      </c>
      <c r="Y27" s="99" t="n">
        <f aca="false">MIN(S27,V27)</f>
        <v>0</v>
      </c>
      <c r="Z27" s="99" t="n">
        <f aca="false">W27+X27+Y27</f>
        <v>11200.7397617181</v>
      </c>
      <c r="AA27" s="100" t="n">
        <f aca="false">Q27+W27+X27+Y27</f>
        <v>3921801.49283599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64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3921801.49283599</v>
      </c>
      <c r="K28" s="99" t="n">
        <f aca="false">J28*E28</f>
        <v>255309.277183623</v>
      </c>
      <c r="L28" s="99" t="n">
        <f aca="false">J28+K28</f>
        <v>4177110.77001962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0</v>
      </c>
      <c r="P28" s="99" t="n">
        <f aca="false">MAX(N28,O28)</f>
        <v>0</v>
      </c>
      <c r="Q28" s="99" t="n">
        <f aca="false">MAX(0,L28-P28)</f>
        <v>4177110.77001962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11480.7582557611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1000</v>
      </c>
      <c r="T28" s="99" t="n">
        <f aca="false">$N$4*(1+$B$10)^(C28-1)</f>
        <v>10168.6715979598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0</v>
      </c>
      <c r="W28" s="99" t="n">
        <f aca="false">MIN(R28,T28)</f>
        <v>10168.6715979598</v>
      </c>
      <c r="X28" s="99" t="n">
        <f aca="false">MIN(U28,R28-W28)</f>
        <v>1312.08665780126</v>
      </c>
      <c r="Y28" s="99" t="n">
        <f aca="false">MIN(S28,V28)</f>
        <v>0</v>
      </c>
      <c r="Z28" s="99" t="n">
        <f aca="false">W28+X28+Y28</f>
        <v>11480.7582557611</v>
      </c>
      <c r="AA28" s="100" t="n">
        <f aca="false">Q28+W28+X28+Y28</f>
        <v>4188591.52827538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65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4188591.52827538</v>
      </c>
      <c r="K29" s="99" t="n">
        <f aca="false">J29*E29</f>
        <v>335087.32226203</v>
      </c>
      <c r="L29" s="99" t="n">
        <f aca="false">J29+K29</f>
        <v>4523678.85053741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4389189.96811278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10422.8883879088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10422.8883879088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4389189.96811278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66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4389189.96811278</v>
      </c>
      <c r="K30" s="99" t="n">
        <f aca="false">J30*E30</f>
        <v>136503.808008307</v>
      </c>
      <c r="L30" s="99" t="n">
        <f aca="false">J30+K30</f>
        <v>4525693.77612109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4387842.67163584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10683.4605976065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10683.4605976065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4387842.67163584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67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4387842.67163584</v>
      </c>
      <c r="K31" s="99" t="n">
        <f aca="false">J31*E31</f>
        <v>247035.542413098</v>
      </c>
      <c r="L31" s="99" t="n">
        <f aca="false">J31+K31</f>
        <v>4634878.21404894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4493580.83195156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10950.5471125467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10950.5471125467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4493580.83195156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68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4493580.83195156</v>
      </c>
      <c r="K32" s="99" t="n">
        <f aca="false">J32*E32</f>
        <v>122225.398629082</v>
      </c>
      <c r="L32" s="99" t="n">
        <f aca="false">J32+K32</f>
        <v>4615806.23058064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4470976.41393083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11224.3107903603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11224.3107903603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4470976.41393083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69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4470976.41393083</v>
      </c>
      <c r="K33" s="99" t="n">
        <f aca="false">J33*E33</f>
        <v>736816.913015801</v>
      </c>
      <c r="L33" s="99" t="n">
        <f aca="false">J33+K33</f>
        <v>5207793.32694664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5059342.76488058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11504.9185601194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11504.9185601194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5059342.76488058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70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5059342.76488058</v>
      </c>
      <c r="K34" s="99" t="n">
        <f aca="false">J34*E34</f>
        <v>-341505.636629439</v>
      </c>
      <c r="L34" s="99" t="n">
        <f aca="false">J34+K34</f>
        <v>4717837.12825114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4565675.30213343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11792.5415241223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11792.5415241223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4565675.30213343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71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4565675.30213343</v>
      </c>
      <c r="K35" s="99" t="n">
        <f aca="false">J35*E35</f>
        <v>606321.68012332</v>
      </c>
      <c r="L35" s="99" t="n">
        <f aca="false">J35+K35</f>
        <v>5171996.98225675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5016031.1104861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12087.3550622254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12087.3550622254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5016031.1104861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72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5016031.1104861</v>
      </c>
      <c r="K36" s="99" t="n">
        <f aca="false">J36*E36</f>
        <v>229734.224860263</v>
      </c>
      <c r="L36" s="99" t="n">
        <f aca="false">J36+K36</f>
        <v>5245765.33534637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5085900.31678145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12389.538938781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12389.538938781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5085900.31678145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73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5085900.31678145</v>
      </c>
      <c r="K37" s="99" t="n">
        <f aca="false">J37*E37</f>
        <v>459765.388637043</v>
      </c>
      <c r="L37" s="99" t="n">
        <f aca="false">J37+K37</f>
        <v>5545665.70541849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5381804.06138945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12699.2774122506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12699.2774122506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5381804.06138945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74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5381804.06138945</v>
      </c>
      <c r="K38" s="99" t="n">
        <f aca="false">J38*E38</f>
        <v>364886.315362205</v>
      </c>
      <c r="L38" s="99" t="n">
        <f aca="false">J38+K38</f>
        <v>5746690.37675166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5578732.19162189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13016.7593475568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13016.7593475568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5578732.19162189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75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5578732.19162189</v>
      </c>
      <c r="K39" s="99" t="n">
        <f aca="false">J39*E39</f>
        <v>297346.425813447</v>
      </c>
      <c r="L39" s="99" t="n">
        <f aca="false">J39+K39</f>
        <v>5876078.61743534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5703921.47767733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13342.1783312457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13342.1783312457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5703921.47767733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76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5703921.47767733</v>
      </c>
      <c r="K40" s="99" t="n">
        <f aca="false">J40*E40</f>
        <v>423230.973643658</v>
      </c>
      <c r="L40" s="99" t="n">
        <f aca="false">J40+K40</f>
        <v>6127152.45132099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5950691.38306903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13675.7327895269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13675.7327895269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5950691.38306903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77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5950691.38306903</v>
      </c>
      <c r="K41" s="99" t="n">
        <f aca="false">J41*E41</f>
        <v>386794.939899487</v>
      </c>
      <c r="L41" s="99" t="n">
        <f aca="false">J41+K41</f>
        <v>6337486.32296851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6156613.72801025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14017.6261092651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14017.6261092651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6156613.72801025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78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6156613.72801025</v>
      </c>
      <c r="K42" s="99" t="n">
        <f aca="false">J42*E42</f>
        <v>-215481.480480359</v>
      </c>
      <c r="L42" s="99" t="n">
        <f aca="false">J42+K42</f>
        <v>5941132.2475299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5755737.83769768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14368.0667619967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14368.0667619967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5755737.83769768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79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5755737.83769768</v>
      </c>
      <c r="K43" s="99" t="n">
        <f aca="false">J43*E43</f>
        <v>460459.027015815</v>
      </c>
      <c r="L43" s="99" t="n">
        <f aca="false">J43+K43</f>
        <v>6216196.86471349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6026167.59463547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14727.2684310466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14727.2684310466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6026167.59463547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80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6026167.59463547</v>
      </c>
      <c r="K44" s="99" t="n">
        <f aca="false">J44*E44</f>
        <v>326618.283629243</v>
      </c>
      <c r="L44" s="99" t="n">
        <f aca="false">J44+K44</f>
        <v>6352785.87826472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6158005.87643475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15095.4501418228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15095.4501418228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6158005.87643475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81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6158005.87643475</v>
      </c>
      <c r="K45" s="99" t="n">
        <f aca="false">J45*E45</f>
        <v>487098.264825988</v>
      </c>
      <c r="L45" s="99" t="n">
        <f aca="false">J45+K45</f>
        <v>6645104.14126073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6445454.63938502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15472.8363953683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15472.8363953683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6445454.63938502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82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6445454.63938502</v>
      </c>
      <c r="K46" s="99" t="n">
        <f aca="false">J46*E46</f>
        <v>242993.639904815</v>
      </c>
      <c r="L46" s="99" t="n">
        <f aca="false">J46+K46</f>
        <v>6688448.27928983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6483807.53986722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15859.6573052525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15859.6573052525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6483807.53986722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n">
        <f aca="false">IF(D46="-","-",IF(D46+1&gt;B$4,"-",D46+1))</f>
        <v>83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6483807.53986722</v>
      </c>
      <c r="K47" s="99" t="n">
        <f aca="false">J47*E47</f>
        <v>595861.912913797</v>
      </c>
      <c r="L47" s="99" t="n">
        <f aca="false">J47+K47</f>
        <v>7079669.45278101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209756.757908179</v>
      </c>
      <c r="P47" s="99" t="n">
        <f aca="false">MAX(N47,O47)</f>
        <v>209756.757908179</v>
      </c>
      <c r="Q47" s="99" t="n">
        <f aca="false">MAX(0,L47-P47)</f>
        <v>6869912.69487284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16256.1487378838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16256.1487378838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6869912.69487284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n">
        <f aca="false">IF(D47="-","-",IF(D47+1&gt;B$4,"-",D47+1))</f>
        <v>84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6869912.69487284</v>
      </c>
      <c r="K48" s="99" t="n">
        <f aca="false">J48*E48</f>
        <v>231516.057817215</v>
      </c>
      <c r="L48" s="99" t="n">
        <f aca="false">J48+K48</f>
        <v>7101428.75269005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215000.676855883</v>
      </c>
      <c r="P48" s="99" t="n">
        <f aca="false">MAX(N48,O48)</f>
        <v>215000.676855883</v>
      </c>
      <c r="Q48" s="99" t="n">
        <f aca="false">MAX(0,L48-P48)</f>
        <v>6886428.07583417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16662.5524563309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16662.5524563309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6886428.07583417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n">
        <f aca="false">IF(D48="-","-",IF(D48+1&gt;B$4,"-",D48+1))</f>
        <v>85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6886428.07583417</v>
      </c>
      <c r="K49" s="99" t="n">
        <f aca="false">J49*E49</f>
        <v>309889.263412537</v>
      </c>
      <c r="L49" s="99" t="n">
        <f aca="false">J49+K49</f>
        <v>7196317.33924671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220375.69377728</v>
      </c>
      <c r="P49" s="99" t="n">
        <f aca="false">MAX(N49,O49)</f>
        <v>220375.69377728</v>
      </c>
      <c r="Q49" s="99" t="n">
        <f aca="false">MAX(0,L49-P49)</f>
        <v>6975941.64546943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17079.1162677392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17079.1162677392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6975941.64546943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n">
        <f aca="false">IF(D49="-","-",IF(D49+1&gt;B$4,"-",D49+1))</f>
        <v>86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6975941.64546943</v>
      </c>
      <c r="K50" s="99" t="n">
        <f aca="false">J50*E50</f>
        <v>767353.581001637</v>
      </c>
      <c r="L50" s="99" t="n">
        <f aca="false">J50+K50</f>
        <v>7743295.22647106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225885.086121712</v>
      </c>
      <c r="P50" s="99" t="n">
        <f aca="false">MAX(N50,O50)</f>
        <v>225885.086121712</v>
      </c>
      <c r="Q50" s="99" t="n">
        <f aca="false">MAX(0,L50-P50)</f>
        <v>7517410.14034935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17506.0941744327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17506.0941744327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7517410.14034935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n">
        <f aca="false">IF(D50="-","-",IF(D50+1&gt;B$4,"-",D50+1))</f>
        <v>87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7517410.14034935</v>
      </c>
      <c r="K51" s="99" t="n">
        <f aca="false">J51*E51</f>
        <v>657773.387280568</v>
      </c>
      <c r="L51" s="99" t="n">
        <f aca="false">J51+K51</f>
        <v>8175183.52762992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231532.213274755</v>
      </c>
      <c r="P51" s="99" t="n">
        <f aca="false">MAX(N51,O51)</f>
        <v>231532.213274755</v>
      </c>
      <c r="Q51" s="99" t="n">
        <f aca="false">MAX(0,L51-P51)</f>
        <v>7943651.31435516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17943.7465287935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17943.7465287935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7943651.31435516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n">
        <f aca="false">IF(D51="-","-",IF(D51+1&gt;B$4,"-",D51+1))</f>
        <v>88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7943651.31435516</v>
      </c>
      <c r="K52" s="99" t="n">
        <f aca="false">J52*E52</f>
        <v>-370968.516380386</v>
      </c>
      <c r="L52" s="99" t="n">
        <f aca="false">J52+K52</f>
        <v>7572682.79797478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237320.518606624</v>
      </c>
      <c r="P52" s="99" t="n">
        <f aca="false">MAX(N52,O52)</f>
        <v>237320.518606624</v>
      </c>
      <c r="Q52" s="99" t="n">
        <f aca="false">MAX(0,L52-P52)</f>
        <v>7335362.27936815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18392.3401920133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18392.3401920133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7335362.27936815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n">
        <f aca="false">IF(D52="-","-",IF(D52+1&gt;B$4,"-",D52+1))</f>
        <v>89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7335362.27936815</v>
      </c>
      <c r="K53" s="99" t="n">
        <f aca="false">J53*E53</f>
        <v>-519343.649379265</v>
      </c>
      <c r="L53" s="99" t="n">
        <f aca="false">J53+K53</f>
        <v>6816018.62998889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243253.531571789</v>
      </c>
      <c r="P53" s="99" t="n">
        <f aca="false">MAX(N53,O53)</f>
        <v>243253.531571789</v>
      </c>
      <c r="Q53" s="99" t="n">
        <f aca="false">MAX(0,L53-P53)</f>
        <v>6572765.0984171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18852.1486968137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18852.1486968137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6572765.0984171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n">
        <f aca="false">IF(D53="-","-",IF(D53+1&gt;B$4,"-",D53+1))</f>
        <v>90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6572765.0984171</v>
      </c>
      <c r="K54" s="99" t="n">
        <f aca="false">J54*E54</f>
        <v>-886008.735266625</v>
      </c>
      <c r="L54" s="99" t="n">
        <f aca="false">J54+K54</f>
        <v>5686756.36315047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249334.869861084</v>
      </c>
      <c r="P54" s="99" t="n">
        <f aca="false">MAX(N54,O54)</f>
        <v>249334.869861084</v>
      </c>
      <c r="Q54" s="99" t="n">
        <f aca="false">MAX(0,L54-P54)</f>
        <v>5437421.49328939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19323.452414234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19323.452414234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5437421.49328939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32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Monthly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Health Savings Account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Health Savings Account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4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4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3850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</v>
      </c>
      <c r="C6" s="57"/>
      <c r="D6" s="64" t="s">
        <v>17</v>
      </c>
      <c r="E6" s="79" t="n">
        <f aca="false">VLOOKUP($A$14,Scenarios!$A:$CE,HLOOKUP(D6,Scenarios!$1:$2,2,FALSE()),FALSE())</f>
        <v>2000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3850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183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Health Savings Account with Monthly / Monthly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0.0082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16400</v>
      </c>
      <c r="L17" s="99" t="n">
        <f aca="false">J17+K17</f>
        <v>2016400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2016400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24000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12000</v>
      </c>
      <c r="T17" s="99" t="n">
        <f aca="false">$N$4*(1+$B$10)^(C17-1)</f>
        <v>3850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3850</v>
      </c>
      <c r="X17" s="99" t="n">
        <f aca="false">MIN(U17,R17-W17)</f>
        <v>1000</v>
      </c>
      <c r="Y17" s="99" t="n">
        <f aca="false">MIN(S17,V17)</f>
        <v>0</v>
      </c>
      <c r="Z17" s="99" t="n">
        <f aca="false">W17+X17+Y17</f>
        <v>4850</v>
      </c>
      <c r="AA17" s="100" t="n">
        <f aca="false">Q17+Z17</f>
        <v>2021250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-0.0004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2021250</v>
      </c>
      <c r="K18" s="99" t="n">
        <f aca="false">J18*E18</f>
        <v>-808.5</v>
      </c>
      <c r="L18" s="99" t="n">
        <f aca="false">J18+K18</f>
        <v>2020441.5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2020441.5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24000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12000</v>
      </c>
      <c r="T18" s="99" t="n">
        <f aca="false">$N$4*(1+$B$10)^(C18-1)</f>
        <v>3946.25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3946.25</v>
      </c>
      <c r="X18" s="99" t="n">
        <f aca="false">MIN(U18,R18-W18)</f>
        <v>1025</v>
      </c>
      <c r="Y18" s="99" t="n">
        <f aca="false">MIN(S18,V18)</f>
        <v>0</v>
      </c>
      <c r="Z18" s="99" t="n">
        <f aca="false">W18+X18+Y18</f>
        <v>4971.25</v>
      </c>
      <c r="AA18" s="100" t="n">
        <f aca="false">Q18+W18+X18+Y18</f>
        <v>2025412.75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-0.0057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2025412.75</v>
      </c>
      <c r="K19" s="99" t="n">
        <f aca="false">J19*E19</f>
        <v>-11544.852675</v>
      </c>
      <c r="L19" s="99" t="n">
        <f aca="false">J19+K19</f>
        <v>2013867.897325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2013867.897325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24000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12000</v>
      </c>
      <c r="T19" s="99" t="n">
        <f aca="false">$N$4*(1+$B$10)^(C19-1)</f>
        <v>4044.90625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4044.90625</v>
      </c>
      <c r="X19" s="99" t="n">
        <f aca="false">MIN(U19,R19-W19)</f>
        <v>1050.625</v>
      </c>
      <c r="Y19" s="99" t="n">
        <f aca="false">MIN(S19,V19)</f>
        <v>0</v>
      </c>
      <c r="Z19" s="99" t="n">
        <f aca="false">W19+X19+Y19</f>
        <v>5095.53125</v>
      </c>
      <c r="AA19" s="100" t="n">
        <f aca="false">Q19+W19+X19+Y19</f>
        <v>2018963.428575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0.0211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2018963.428575</v>
      </c>
      <c r="K20" s="99" t="n">
        <f aca="false">J20*E20</f>
        <v>42600.1283429325</v>
      </c>
      <c r="L20" s="99" t="n">
        <f aca="false">J20+K20</f>
        <v>2061563.55691793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2061563.55691793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24000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12000</v>
      </c>
      <c r="T20" s="99" t="n">
        <f aca="false">$N$4*(1+$B$10)^(C20-1)</f>
        <v>4146.02890625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4146.02890625</v>
      </c>
      <c r="X20" s="99" t="n">
        <f aca="false">MIN(U20,R20-W20)</f>
        <v>1076.890625</v>
      </c>
      <c r="Y20" s="99" t="n">
        <f aca="false">MIN(S20,V20)</f>
        <v>0</v>
      </c>
      <c r="Z20" s="99" t="n">
        <f aca="false">W20+X20+Y20</f>
        <v>5222.91953125</v>
      </c>
      <c r="AA20" s="100" t="n">
        <f aca="false">Q20+W20+X20+Y20</f>
        <v>2066786.47644918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0.006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2066786.47644918</v>
      </c>
      <c r="K21" s="99" t="n">
        <f aca="false">J21*E21</f>
        <v>12400.7188586951</v>
      </c>
      <c r="L21" s="99" t="n">
        <f aca="false">J21+K21</f>
        <v>2079187.19530788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1968805.90624538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4249.67962890625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4249.67962890625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1968805.90624538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0.0063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1968805.90624538</v>
      </c>
      <c r="K22" s="99" t="n">
        <f aca="false">J22*E22</f>
        <v>12403.4772093459</v>
      </c>
      <c r="L22" s="99" t="n">
        <f aca="false">J22+K22</f>
        <v>1981209.38345472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1868068.56216566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4355.9216196289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4355.9216196289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1868068.56216566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0.0155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1868068.56216566</v>
      </c>
      <c r="K23" s="99" t="n">
        <f aca="false">J23*E23</f>
        <v>28955.0627135677</v>
      </c>
      <c r="L23" s="99" t="n">
        <f aca="false">J23+K23</f>
        <v>1897023.62487923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1781054.28305794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4464.81966011963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4464.81966011963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1781054.28305794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-0.0067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1781054.28305794</v>
      </c>
      <c r="K24" s="99" t="n">
        <f aca="false">J24*E24</f>
        <v>-11933.0636964882</v>
      </c>
      <c r="L24" s="99" t="n">
        <f aca="false">J24+K24</f>
        <v>1769121.21936145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1650252.64399463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4576.44015162262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4576.44015162262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1650252.64399463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-0.0075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1650252.64399463</v>
      </c>
      <c r="K25" s="99" t="n">
        <f aca="false">J25*E25</f>
        <v>-12376.8948299597</v>
      </c>
      <c r="L25" s="99" t="n">
        <f aca="false">J25+K25</f>
        <v>1637875.74916467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1516035.45941368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4690.85115541318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4690.85115541318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1516035.45941368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0.0028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1516035.45941368</v>
      </c>
      <c r="K26" s="99" t="n">
        <f aca="false">J26*E26</f>
        <v>4244.8992863583</v>
      </c>
      <c r="L26" s="99" t="n">
        <f aca="false">J26+K26</f>
        <v>1520280.35870004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1395394.06170527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4808.12243429851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4808.12243429851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1395394.06170527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0.0114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1395394.06170527</v>
      </c>
      <c r="K27" s="99" t="n">
        <f aca="false">J27*E27</f>
        <v>15907.4923034401</v>
      </c>
      <c r="L27" s="99" t="n">
        <f aca="false">J27+K27</f>
        <v>1411301.55400871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1283293.09958908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4928.32549515597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4928.32549515597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1283293.09958908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0.003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1283293.09958908</v>
      </c>
      <c r="K28" s="99" t="n">
        <f aca="false">J28*E28</f>
        <v>3849.87929876723</v>
      </c>
      <c r="L28" s="99" t="n">
        <f aca="false">J28+K28</f>
        <v>1287142.97888784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1155934.31310772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5051.53363253487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5051.53363253487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1155934.31310772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0.0001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1155934.31310772</v>
      </c>
      <c r="K29" s="99" t="n">
        <f aca="false">J29*E29</f>
        <v>115.593431310772</v>
      </c>
      <c r="L29" s="99" t="n">
        <f aca="false">J29+K29</f>
        <v>1156049.90653903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1021561.0241144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5177.82197334824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5177.82197334824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1021561.0241144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-0.0038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1021561.0241144</v>
      </c>
      <c r="K30" s="99" t="n">
        <f aca="false">J30*E30</f>
        <v>-3881.93189163471</v>
      </c>
      <c r="L30" s="99" t="n">
        <f aca="false">J30+K30</f>
        <v>1017679.09222276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879827.987737517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5307.26752268195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5307.26752268195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879827.987737517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0.0013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879827.987737517</v>
      </c>
      <c r="K31" s="99" t="n">
        <f aca="false">J31*E31</f>
        <v>1143.77638405877</v>
      </c>
      <c r="L31" s="99" t="n">
        <f aca="false">J31+K31</f>
        <v>880971.764121576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739674.382024199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5439.949210749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5439.949210749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739674.382024199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0.0192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739674.382024199</v>
      </c>
      <c r="K32" s="99" t="n">
        <f aca="false">J32*E32</f>
        <v>14201.7481348646</v>
      </c>
      <c r="L32" s="99" t="n">
        <f aca="false">J32+K32</f>
        <v>753876.130159064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609046.313509253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5575.94794101772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5575.94794101772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609046.313509253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0.0229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609046.313509253</v>
      </c>
      <c r="K33" s="99" t="n">
        <f aca="false">J33*E33</f>
        <v>13947.1605793619</v>
      </c>
      <c r="L33" s="99" t="n">
        <f aca="false">J33+K33</f>
        <v>622993.474088614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474542.912022558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5715.34663954316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5715.34663954316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474542.912022558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-0.0235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474542.912022558</v>
      </c>
      <c r="K34" s="99" t="n">
        <f aca="false">J34*E34</f>
        <v>-11151.7584325301</v>
      </c>
      <c r="L34" s="99" t="n">
        <f aca="false">J34+K34</f>
        <v>463391.153590028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311229.327472321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5858.23030553174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5858.23030553174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311229.327472321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0.0165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311229.327472321</v>
      </c>
      <c r="K35" s="99" t="n">
        <f aca="false">J35*E35</f>
        <v>5135.28390329329</v>
      </c>
      <c r="L35" s="99" t="n">
        <f aca="false">J35+K35</f>
        <v>316364.611375614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160398.739604964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6004.68606317004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6004.68606317004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160398.739604964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-0.0008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160398.739604964</v>
      </c>
      <c r="K36" s="99" t="n">
        <f aca="false">J36*E36</f>
        <v>-128.318991683971</v>
      </c>
      <c r="L36" s="99" t="n">
        <f aca="false">J36+K36</f>
        <v>160270.42061328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405.40204836303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6154.80321474929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6154.80321474929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405.40204836303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0.0081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405.40204836303</v>
      </c>
      <c r="K37" s="99" t="n">
        <f aca="false">J37*E37</f>
        <v>3.28375659174054</v>
      </c>
      <c r="L37" s="99" t="n">
        <f aca="false">J37+K37</f>
        <v>408.685804954771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0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6308.67329511802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6308.67329511802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0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0.0036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0</v>
      </c>
      <c r="K38" s="99" t="n">
        <f aca="false">J38*E38</f>
        <v>0</v>
      </c>
      <c r="L38" s="99" t="n">
        <f aca="false">J38+K38</f>
        <v>0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0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6466.39012749597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6466.39012749597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0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0.0007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0</v>
      </c>
      <c r="K39" s="99" t="n">
        <f aca="false">J39*E39</f>
        <v>0</v>
      </c>
      <c r="L39" s="99" t="n">
        <f aca="false">J39+K39</f>
        <v>0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0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6628.04988068337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6628.04988068337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0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-0.0156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0</v>
      </c>
      <c r="K40" s="99" t="n">
        <f aca="false">J40*E40</f>
        <v>-0</v>
      </c>
      <c r="L40" s="99" t="n">
        <f aca="false">J40+K40</f>
        <v>0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0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6793.75112770045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6793.75112770045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0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0.0049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0</v>
      </c>
      <c r="K41" s="99" t="n">
        <f aca="false">J41*E41</f>
        <v>0</v>
      </c>
      <c r="L41" s="99" t="n">
        <f aca="false">J41+K41</f>
        <v>0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0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6963.59490589296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6963.59490589296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0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-0.011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0</v>
      </c>
      <c r="K42" s="99" t="n">
        <f aca="false">J42*E42</f>
        <v>-0</v>
      </c>
      <c r="L42" s="99" t="n">
        <f aca="false">J42+K42</f>
        <v>0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0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7137.68477854028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7137.68477854028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0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0.0004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0</v>
      </c>
      <c r="K43" s="99" t="n">
        <f aca="false">J43*E43</f>
        <v>0</v>
      </c>
      <c r="L43" s="99" t="n">
        <f aca="false">J43+K43</f>
        <v>0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0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7316.12689800379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7316.12689800379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0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-0.0146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0</v>
      </c>
      <c r="K44" s="99" t="n">
        <f aca="false">J44*E44</f>
        <v>-0</v>
      </c>
      <c r="L44" s="99" t="n">
        <f aca="false">J44+K44</f>
        <v>0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0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7499.03007045389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7499.03007045389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0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0.0058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0</v>
      </c>
      <c r="K45" s="99" t="n">
        <f aca="false">J45*E45</f>
        <v>0</v>
      </c>
      <c r="L45" s="99" t="n">
        <f aca="false">J45+K45</f>
        <v>0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0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7686.50582221523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7686.50582221523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0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-0.0025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0</v>
      </c>
      <c r="K46" s="99" t="n">
        <f aca="false">J46*E46</f>
        <v>-0</v>
      </c>
      <c r="L46" s="99" t="n">
        <f aca="false">J46+K46</f>
        <v>0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0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7878.66846777061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7878.66846777061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0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0.0084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0</v>
      </c>
      <c r="K47" s="99" t="n">
        <f aca="false">J47*E47</f>
        <v>0</v>
      </c>
      <c r="L47" s="99" t="n">
        <f aca="false">J47+K47</f>
        <v>0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0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8075.63517946488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8075.63517946488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0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-0.0033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0</v>
      </c>
      <c r="K48" s="99" t="n">
        <f aca="false">J48*E48</f>
        <v>-0</v>
      </c>
      <c r="L48" s="99" t="n">
        <f aca="false">J48+K48</f>
        <v>0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0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8277.5260589515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8277.5260589515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0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-0.0132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0</v>
      </c>
      <c r="K49" s="99" t="n">
        <f aca="false">J49*E49</f>
        <v>-0</v>
      </c>
      <c r="L49" s="99" t="n">
        <f aca="false">J49+K49</f>
        <v>0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0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8484.46421042528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8484.46421042528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0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0.0134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0</v>
      </c>
      <c r="K50" s="99" t="n">
        <f aca="false">J50*E50</f>
        <v>0</v>
      </c>
      <c r="L50" s="99" t="n">
        <f aca="false">J50+K50</f>
        <v>0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0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8696.57581568592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8696.57581568592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0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0.011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0</v>
      </c>
      <c r="K51" s="99" t="n">
        <f aca="false">J51*E51</f>
        <v>0</v>
      </c>
      <c r="L51" s="99" t="n">
        <f aca="false">J51+K51</f>
        <v>0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0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8913.99021107806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8913.99021107806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0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-0.0075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0</v>
      </c>
      <c r="K52" s="99" t="n">
        <f aca="false">J52*E52</f>
        <v>-0</v>
      </c>
      <c r="L52" s="99" t="n">
        <f aca="false">J52+K52</f>
        <v>0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0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9136.83996635501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9136.83996635501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0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-0.0181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0</v>
      </c>
      <c r="K53" s="99" t="n">
        <f aca="false">J53*E53</f>
        <v>-0</v>
      </c>
      <c r="L53" s="99" t="n">
        <f aca="false">J53+K53</f>
        <v>0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0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9365.26096551389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9365.26096551389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0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-0.037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0</v>
      </c>
      <c r="K54" s="99" t="n">
        <f aca="false">J54*E54</f>
        <v>-0</v>
      </c>
      <c r="L54" s="99" t="n">
        <f aca="false">J54+K54</f>
        <v>0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0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9599.39248965173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9599.39248965173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0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33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Health Savings Account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Health Savings Account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4</v>
      </c>
      <c r="G3" s="66" t="s">
        <v>24</v>
      </c>
      <c r="H3" s="73" t="n">
        <f aca="false">VLOOKUP($A$14,Scenarios!$A:$CE,HLOOKUP(G3,Scenarios!$1:$2,2,FALSE()),FALSE())</f>
        <v>30000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4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7750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7750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184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Health Savings Account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30000</v>
      </c>
      <c r="T17" s="99" t="n">
        <f aca="false">$N$4*(1+$B$10)^(C17-1)</f>
        <v>7750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7750</v>
      </c>
      <c r="X17" s="99" t="n">
        <f aca="false">MIN(U17,R17-W17)</f>
        <v>1000</v>
      </c>
      <c r="Y17" s="99" t="n">
        <f aca="false">MIN(S17,V17)</f>
        <v>0</v>
      </c>
      <c r="Z17" s="99" t="n">
        <f aca="false">W17+X17+Y17</f>
        <v>8750</v>
      </c>
      <c r="AA17" s="100" t="n">
        <f aca="false">Q17+Z17</f>
        <v>2191150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2191150</v>
      </c>
      <c r="K18" s="99" t="n">
        <f aca="false">J18*E18</f>
        <v>104956.085</v>
      </c>
      <c r="L18" s="99" t="n">
        <f aca="false">J18+K18</f>
        <v>2296106.085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2296106.085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30000</v>
      </c>
      <c r="T18" s="99" t="n">
        <f aca="false">$N$4*(1+$B$10)^(C18-1)</f>
        <v>7943.75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7943.75</v>
      </c>
      <c r="X18" s="99" t="n">
        <f aca="false">MIN(U18,R18-W18)</f>
        <v>1025</v>
      </c>
      <c r="Y18" s="99" t="n">
        <f aca="false">MIN(S18,V18)</f>
        <v>0</v>
      </c>
      <c r="Z18" s="99" t="n">
        <f aca="false">W18+X18+Y18</f>
        <v>8968.75</v>
      </c>
      <c r="AA18" s="100" t="n">
        <f aca="false">Q18+W18+X18+Y18</f>
        <v>2305074.835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2305074.835</v>
      </c>
      <c r="K19" s="99" t="n">
        <f aca="false">J19*E19</f>
        <v>49098.0939855</v>
      </c>
      <c r="L19" s="99" t="n">
        <f aca="false">J19+K19</f>
        <v>2354172.9289855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2354172.9289855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30000</v>
      </c>
      <c r="T19" s="99" t="n">
        <f aca="false">$N$4*(1+$B$10)^(C19-1)</f>
        <v>8142.34375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8142.34375</v>
      </c>
      <c r="X19" s="99" t="n">
        <f aca="false">MIN(U19,R19-W19)</f>
        <v>1050.625</v>
      </c>
      <c r="Y19" s="99" t="n">
        <f aca="false">MIN(S19,V19)</f>
        <v>0</v>
      </c>
      <c r="Z19" s="99" t="n">
        <f aca="false">W19+X19+Y19</f>
        <v>9192.96875</v>
      </c>
      <c r="AA19" s="100" t="n">
        <f aca="false">Q19+W19+X19+Y19</f>
        <v>2363365.8977355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2363365.8977355</v>
      </c>
      <c r="K20" s="99" t="n">
        <f aca="false">J20*E20</f>
        <v>259970.248750905</v>
      </c>
      <c r="L20" s="99" t="n">
        <f aca="false">J20+K20</f>
        <v>2623336.1464864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2623336.1464864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30000</v>
      </c>
      <c r="T20" s="99" t="n">
        <f aca="false">$N$4*(1+$B$10)^(C20-1)</f>
        <v>8345.90234375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8345.90234375</v>
      </c>
      <c r="X20" s="99" t="n">
        <f aca="false">MIN(U20,R20-W20)</f>
        <v>1076.890625</v>
      </c>
      <c r="Y20" s="99" t="n">
        <f aca="false">MIN(S20,V20)</f>
        <v>0</v>
      </c>
      <c r="Z20" s="99" t="n">
        <f aca="false">W20+X20+Y20</f>
        <v>9422.79296875</v>
      </c>
      <c r="AA20" s="100" t="n">
        <f aca="false">Q20+W20+X20+Y20</f>
        <v>2632758.93945515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2632758.93945515</v>
      </c>
      <c r="K21" s="99" t="n">
        <f aca="false">J21*E21</f>
        <v>211147.266944303</v>
      </c>
      <c r="L21" s="99" t="n">
        <f aca="false">J21+K21</f>
        <v>2843906.20639946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2733524.91733696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8554.54990234375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8554.54990234375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2733524.91733696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2733524.91733696</v>
      </c>
      <c r="K22" s="99" t="n">
        <f aca="false">J22*E22</f>
        <v>223602.338238163</v>
      </c>
      <c r="L22" s="99" t="n">
        <f aca="false">J22+K22</f>
        <v>2957127.25557512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2843986.43428606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8768.41364990234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8768.41364990234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2843986.43428606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2843986.43428606</v>
      </c>
      <c r="K23" s="99" t="n">
        <f aca="false">J23*E23</f>
        <v>286673.832576035</v>
      </c>
      <c r="L23" s="99" t="n">
        <f aca="false">J23+K23</f>
        <v>3130660.26686209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3014690.9250408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8987.6239911499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8987.6239911499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3014690.9250408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3014690.9250408</v>
      </c>
      <c r="K24" s="99" t="n">
        <f aca="false">J24*E24</f>
        <v>-148322.793512008</v>
      </c>
      <c r="L24" s="99" t="n">
        <f aca="false">J24+K24</f>
        <v>2866368.1315288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2747499.55616198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9212.31459092865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9212.31459092865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2747499.55616198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2747499.55616198</v>
      </c>
      <c r="K25" s="99" t="n">
        <f aca="false">J25*E25</f>
        <v>33794.2445407923</v>
      </c>
      <c r="L25" s="99" t="n">
        <f aca="false">J25+K25</f>
        <v>2781293.80070277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2659453.51095178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9442.62245570186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9442.62245570186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2659453.51095178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2659453.51095178</v>
      </c>
      <c r="K26" s="99" t="n">
        <f aca="false">J26*E26</f>
        <v>170470.970052009</v>
      </c>
      <c r="L26" s="99" t="n">
        <f aca="false">J26+K26</f>
        <v>2829924.48100379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2705038.18400902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9678.68801709441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9678.68801709441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2705038.18400902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2705038.18400902</v>
      </c>
      <c r="K27" s="99" t="n">
        <f aca="false">J27*E27</f>
        <v>289709.589507366</v>
      </c>
      <c r="L27" s="99" t="n">
        <f aca="false">J27+K27</f>
        <v>2994747.77351638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2866739.31909675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9920.65521752176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9920.65521752176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2866739.31909675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2866739.31909675</v>
      </c>
      <c r="K28" s="99" t="n">
        <f aca="false">J28*E28</f>
        <v>186624.729673198</v>
      </c>
      <c r="L28" s="99" t="n">
        <f aca="false">J28+K28</f>
        <v>3053364.04876995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2922155.38298982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10168.6715979598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10168.6715979598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2922155.38298982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2922155.38298982</v>
      </c>
      <c r="K29" s="99" t="n">
        <f aca="false">J29*E29</f>
        <v>233772.430639186</v>
      </c>
      <c r="L29" s="99" t="n">
        <f aca="false">J29+K29</f>
        <v>3155927.81362901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3021438.93120438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10422.8883879088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10422.8883879088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3021438.93120438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3021438.93120438</v>
      </c>
      <c r="K30" s="99" t="n">
        <f aca="false">J30*E30</f>
        <v>93966.7507604561</v>
      </c>
      <c r="L30" s="99" t="n">
        <f aca="false">J30+K30</f>
        <v>3115405.68196483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2977554.57747959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10683.4605976065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10683.4605976065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2977554.57747959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2977554.57747959</v>
      </c>
      <c r="K31" s="99" t="n">
        <f aca="false">J31*E31</f>
        <v>167636.322712101</v>
      </c>
      <c r="L31" s="99" t="n">
        <f aca="false">J31+K31</f>
        <v>3145190.90019169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3003893.51809431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10950.5471125467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10950.5471125467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3003893.51809431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3003893.51809431</v>
      </c>
      <c r="K32" s="99" t="n">
        <f aca="false">J32*E32</f>
        <v>81705.9036921653</v>
      </c>
      <c r="L32" s="99" t="n">
        <f aca="false">J32+K32</f>
        <v>3085599.42178648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2940769.60513667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11224.3107903603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11224.3107903603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2940769.60513667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2940769.60513667</v>
      </c>
      <c r="K33" s="99" t="n">
        <f aca="false">J33*E33</f>
        <v>484638.830926523</v>
      </c>
      <c r="L33" s="99" t="n">
        <f aca="false">J33+K33</f>
        <v>3425408.43606319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3276957.87399713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11504.9185601194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11504.9185601194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3276957.87399713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3276957.87399713</v>
      </c>
      <c r="K34" s="99" t="n">
        <f aca="false">J34*E34</f>
        <v>-221194.656494806</v>
      </c>
      <c r="L34" s="99" t="n">
        <f aca="false">J34+K34</f>
        <v>3055763.21750233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2903601.39138462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11792.5415241223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11792.5415241223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2903601.39138462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2903601.39138462</v>
      </c>
      <c r="K35" s="99" t="n">
        <f aca="false">J35*E35</f>
        <v>385598.264775877</v>
      </c>
      <c r="L35" s="99" t="n">
        <f aca="false">J35+K35</f>
        <v>3289199.6561605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3133233.78438985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12087.3550622254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12087.3550622254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3133233.78438985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3133233.78438985</v>
      </c>
      <c r="K36" s="99" t="n">
        <f aca="false">J36*E36</f>
        <v>143502.107325055</v>
      </c>
      <c r="L36" s="99" t="n">
        <f aca="false">J36+K36</f>
        <v>3276735.8917149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3116870.87314998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12389.538938781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12389.538938781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3116870.87314998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3116870.87314998</v>
      </c>
      <c r="K37" s="99" t="n">
        <f aca="false">J37*E37</f>
        <v>281765.126932759</v>
      </c>
      <c r="L37" s="99" t="n">
        <f aca="false">J37+K37</f>
        <v>3398636.00008274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3234774.3560537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12699.2774122506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12699.2774122506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3234774.3560537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3234774.3560537</v>
      </c>
      <c r="K38" s="99" t="n">
        <f aca="false">J38*E38</f>
        <v>219317.701340441</v>
      </c>
      <c r="L38" s="99" t="n">
        <f aca="false">J38+K38</f>
        <v>3454092.05739414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3286133.87226438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13016.7593475568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13016.7593475568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3286133.87226438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3286133.87226438</v>
      </c>
      <c r="K39" s="99" t="n">
        <f aca="false">J39*E39</f>
        <v>175150.935391691</v>
      </c>
      <c r="L39" s="99" t="n">
        <f aca="false">J39+K39</f>
        <v>3461284.80765607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3289127.66789806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13342.1783312457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13342.1783312457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3289127.66789806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3289127.66789806</v>
      </c>
      <c r="K40" s="99" t="n">
        <f aca="false">J40*E40</f>
        <v>244053.272958036</v>
      </c>
      <c r="L40" s="99" t="n">
        <f aca="false">J40+K40</f>
        <v>3533180.9408561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3356719.87260414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13675.7327895269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13675.7327895269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3356719.87260414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3356719.87260414</v>
      </c>
      <c r="K41" s="99" t="n">
        <f aca="false">J41*E41</f>
        <v>218186.791719269</v>
      </c>
      <c r="L41" s="99" t="n">
        <f aca="false">J41+K41</f>
        <v>3574906.66432341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3394034.06936515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14017.6261092651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14017.6261092651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3394034.06936515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3394034.06936515</v>
      </c>
      <c r="K42" s="99" t="n">
        <f aca="false">J42*E42</f>
        <v>-118791.19242778</v>
      </c>
      <c r="L42" s="99" t="n">
        <f aca="false">J42+K42</f>
        <v>3275242.87693737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3089848.46710515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14368.0667619967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14368.0667619967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3089848.46710515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3089848.46710515</v>
      </c>
      <c r="K43" s="99" t="n">
        <f aca="false">J43*E43</f>
        <v>247187.877368412</v>
      </c>
      <c r="L43" s="99" t="n">
        <f aca="false">J43+K43</f>
        <v>3337036.34447356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3147007.07439554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14727.2684310466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14727.2684310466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3147007.07439554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3147007.07439554</v>
      </c>
      <c r="K44" s="99" t="n">
        <f aca="false">J44*E44</f>
        <v>170567.783432238</v>
      </c>
      <c r="L44" s="99" t="n">
        <f aca="false">J44+K44</f>
        <v>3317574.85782778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3122794.85599781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15095.4501418228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15095.4501418228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3122794.85599781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3122794.85599781</v>
      </c>
      <c r="K45" s="99" t="n">
        <f aca="false">J45*E45</f>
        <v>247013.073109427</v>
      </c>
      <c r="L45" s="99" t="n">
        <f aca="false">J45+K45</f>
        <v>3369807.92910724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3170158.42723152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15472.8363953683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15472.8363953683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3170158.42723152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3170158.42723152</v>
      </c>
      <c r="K46" s="99" t="n">
        <f aca="false">J46*E46</f>
        <v>119514.972706628</v>
      </c>
      <c r="L46" s="99" t="n">
        <f aca="false">J46+K46</f>
        <v>3289673.39993815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3085032.66051553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15859.6573052525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15859.6573052525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3085032.66051553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3085032.66051553</v>
      </c>
      <c r="K47" s="99" t="n">
        <f aca="false">J47*E47</f>
        <v>283514.501501377</v>
      </c>
      <c r="L47" s="99" t="n">
        <f aca="false">J47+K47</f>
        <v>3368547.16201691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3368547.16201691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16256.1487378838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16256.1487378838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3368547.16201691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3368547.16201691</v>
      </c>
      <c r="K48" s="99" t="n">
        <f aca="false">J48*E48</f>
        <v>113520.03935997</v>
      </c>
      <c r="L48" s="99" t="n">
        <f aca="false">J48+K48</f>
        <v>3482067.20137688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3482067.20137688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16662.5524563309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16662.5524563309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3482067.20137688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3482067.20137688</v>
      </c>
      <c r="K49" s="99" t="n">
        <f aca="false">J49*E49</f>
        <v>156693.02406196</v>
      </c>
      <c r="L49" s="99" t="n">
        <f aca="false">J49+K49</f>
        <v>3638760.22543884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3638760.22543884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17079.1162677392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17079.1162677392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3638760.22543884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3638760.22543884</v>
      </c>
      <c r="K50" s="99" t="n">
        <f aca="false">J50*E50</f>
        <v>400263.624798272</v>
      </c>
      <c r="L50" s="99" t="n">
        <f aca="false">J50+K50</f>
        <v>4039023.85023711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4039023.85023711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17506.0941744327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17506.0941744327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4039023.85023711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4039023.85023711</v>
      </c>
      <c r="K51" s="99" t="n">
        <f aca="false">J51*E51</f>
        <v>353414.586895747</v>
      </c>
      <c r="L51" s="99" t="n">
        <f aca="false">J51+K51</f>
        <v>4392438.43713286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4392438.43713286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17943.7465287935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17943.7465287935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4392438.43713286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4392438.43713286</v>
      </c>
      <c r="K52" s="99" t="n">
        <f aca="false">J52*E52</f>
        <v>-205126.875014105</v>
      </c>
      <c r="L52" s="99" t="n">
        <f aca="false">J52+K52</f>
        <v>4187311.56211875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4187311.56211875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18392.3401920133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18392.3401920133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4187311.56211875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4187311.56211875</v>
      </c>
      <c r="K53" s="99" t="n">
        <f aca="false">J53*E53</f>
        <v>-296461.658598008</v>
      </c>
      <c r="L53" s="99" t="n">
        <f aca="false">J53+K53</f>
        <v>3890849.90352075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3890849.90352075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18852.1486968137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18852.1486968137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3890849.90352075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3890849.90352075</v>
      </c>
      <c r="K54" s="99" t="n">
        <f aca="false">J54*E54</f>
        <v>-524486.566994597</v>
      </c>
      <c r="L54" s="99" t="n">
        <f aca="false">J54+K54</f>
        <v>3366363.33652615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3366363.33652615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19323.452414234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19323.452414234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3366363.33652615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34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% of Salary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Health Savings Account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Health Savings Account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4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4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0.05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3850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3850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185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Health Savings Account with % of Salary / % of Salary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3850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3850</v>
      </c>
      <c r="X17" s="99" t="n">
        <f aca="false">MIN(U17,R17-W17)</f>
        <v>1000</v>
      </c>
      <c r="Y17" s="99" t="n">
        <f aca="false">MIN(S17,V17)</f>
        <v>0</v>
      </c>
      <c r="Z17" s="99" t="n">
        <f aca="false">W17+X17+Y17</f>
        <v>4850</v>
      </c>
      <c r="AA17" s="100" t="n">
        <f aca="false">Q17+Z17</f>
        <v>2187250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2187250</v>
      </c>
      <c r="K18" s="99" t="n">
        <f aca="false">J18*E18</f>
        <v>104769.275</v>
      </c>
      <c r="L18" s="99" t="n">
        <f aca="false">J18+K18</f>
        <v>2292019.275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2292019.275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3946.25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3946.25</v>
      </c>
      <c r="X18" s="99" t="n">
        <f aca="false">MIN(U18,R18-W18)</f>
        <v>1025</v>
      </c>
      <c r="Y18" s="99" t="n">
        <f aca="false">MIN(S18,V18)</f>
        <v>0</v>
      </c>
      <c r="Z18" s="99" t="n">
        <f aca="false">W18+X18+Y18</f>
        <v>4971.25</v>
      </c>
      <c r="AA18" s="100" t="n">
        <f aca="false">Q18+W18+X18+Y18</f>
        <v>2296990.525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2296990.525</v>
      </c>
      <c r="K19" s="99" t="n">
        <f aca="false">J19*E19</f>
        <v>48925.8981825</v>
      </c>
      <c r="L19" s="99" t="n">
        <f aca="false">J19+K19</f>
        <v>2345916.4231825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2345916.4231825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4044.90625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4044.90625</v>
      </c>
      <c r="X19" s="99" t="n">
        <f aca="false">MIN(U19,R19-W19)</f>
        <v>1050.625</v>
      </c>
      <c r="Y19" s="99" t="n">
        <f aca="false">MIN(S19,V19)</f>
        <v>0</v>
      </c>
      <c r="Z19" s="99" t="n">
        <f aca="false">W19+X19+Y19</f>
        <v>5095.53125</v>
      </c>
      <c r="AA19" s="100" t="n">
        <f aca="false">Q19+W19+X19+Y19</f>
        <v>2351011.9544325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2351011.9544325</v>
      </c>
      <c r="K20" s="99" t="n">
        <f aca="false">J20*E20</f>
        <v>258611.314987575</v>
      </c>
      <c r="L20" s="99" t="n">
        <f aca="false">J20+K20</f>
        <v>2609623.26942008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2609623.26942008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4146.02890625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4146.02890625</v>
      </c>
      <c r="X20" s="99" t="n">
        <f aca="false">MIN(U20,R20-W20)</f>
        <v>1076.890625</v>
      </c>
      <c r="Y20" s="99" t="n">
        <f aca="false">MIN(S20,V20)</f>
        <v>0</v>
      </c>
      <c r="Z20" s="99" t="n">
        <f aca="false">W20+X20+Y20</f>
        <v>5222.91953125</v>
      </c>
      <c r="AA20" s="100" t="n">
        <f aca="false">Q20+W20+X20+Y20</f>
        <v>2614846.18895133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2614846.18895133</v>
      </c>
      <c r="K21" s="99" t="n">
        <f aca="false">J21*E21</f>
        <v>209710.664353896</v>
      </c>
      <c r="L21" s="99" t="n">
        <f aca="false">J21+K21</f>
        <v>2824556.85330522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2714175.56424272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4249.67962890625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4249.67962890625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2714175.56424272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2714175.56424272</v>
      </c>
      <c r="K22" s="99" t="n">
        <f aca="false">J22*E22</f>
        <v>222019.561155055</v>
      </c>
      <c r="L22" s="99" t="n">
        <f aca="false">J22+K22</f>
        <v>2936195.12539778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2823054.30410871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4355.9216196289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4355.9216196289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2823054.30410871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2823054.30410871</v>
      </c>
      <c r="K23" s="99" t="n">
        <f aca="false">J23*E23</f>
        <v>284563.873854158</v>
      </c>
      <c r="L23" s="99" t="n">
        <f aca="false">J23+K23</f>
        <v>3107618.17796287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2991648.83614158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4464.81966011963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4464.81966011963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2991648.83614158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2991648.83614158</v>
      </c>
      <c r="K24" s="99" t="n">
        <f aca="false">J24*E24</f>
        <v>-147189.122738166</v>
      </c>
      <c r="L24" s="99" t="n">
        <f aca="false">J24+K24</f>
        <v>2844459.71340342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2725591.1380366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4576.44015162262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4576.44015162262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2725591.1380366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2725591.1380366</v>
      </c>
      <c r="K25" s="99" t="n">
        <f aca="false">J25*E25</f>
        <v>33524.7709978501</v>
      </c>
      <c r="L25" s="99" t="n">
        <f aca="false">J25+K25</f>
        <v>2759115.90903445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2637275.61928345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4690.85115541318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4690.85115541318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2637275.61928345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2637275.61928345</v>
      </c>
      <c r="K26" s="99" t="n">
        <f aca="false">J26*E26</f>
        <v>169049.367196069</v>
      </c>
      <c r="L26" s="99" t="n">
        <f aca="false">J26+K26</f>
        <v>2806324.98647952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2681438.68948476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4808.12243429851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4808.12243429851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2681438.68948476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2681438.68948476</v>
      </c>
      <c r="K27" s="99" t="n">
        <f aca="false">J27*E27</f>
        <v>287182.083643818</v>
      </c>
      <c r="L27" s="99" t="n">
        <f aca="false">J27+K27</f>
        <v>2968620.77312857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2840612.31870894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4928.32549515597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4928.32549515597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2840612.31870894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2840612.31870894</v>
      </c>
      <c r="K28" s="99" t="n">
        <f aca="false">J28*E28</f>
        <v>184923.861947952</v>
      </c>
      <c r="L28" s="99" t="n">
        <f aca="false">J28+K28</f>
        <v>3025536.18065689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2894327.51487676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5051.53363253487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5051.53363253487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2894327.51487676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2894327.51487676</v>
      </c>
      <c r="K29" s="99" t="n">
        <f aca="false">J29*E29</f>
        <v>231546.201190141</v>
      </c>
      <c r="L29" s="99" t="n">
        <f aca="false">J29+K29</f>
        <v>3125873.71606691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2991384.83364228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5177.82197334824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5177.82197334824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2991384.83364228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2991384.83364228</v>
      </c>
      <c r="K30" s="99" t="n">
        <f aca="false">J30*E30</f>
        <v>93032.0683262748</v>
      </c>
      <c r="L30" s="99" t="n">
        <f aca="false">J30+K30</f>
        <v>3084416.90196855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2946565.7974833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5307.26752268195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5307.26752268195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2946565.7974833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2946565.7974833</v>
      </c>
      <c r="K31" s="99" t="n">
        <f aca="false">J31*E31</f>
        <v>165891.65439831</v>
      </c>
      <c r="L31" s="99" t="n">
        <f aca="false">J31+K31</f>
        <v>3112457.45188161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2971160.06978424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5439.949210749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5439.949210749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2971160.06978424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2971160.06978424</v>
      </c>
      <c r="K32" s="99" t="n">
        <f aca="false">J32*E32</f>
        <v>80815.5538981313</v>
      </c>
      <c r="L32" s="99" t="n">
        <f aca="false">J32+K32</f>
        <v>3051975.62368237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2907145.80703256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5575.94794101772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5575.94794101772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2907145.80703256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2907145.80703256</v>
      </c>
      <c r="K33" s="99" t="n">
        <f aca="false">J33*E33</f>
        <v>479097.628998966</v>
      </c>
      <c r="L33" s="99" t="n">
        <f aca="false">J33+K33</f>
        <v>3386243.43603152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3237792.87396547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5715.34663954316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5715.34663954316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3237792.87396547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3237792.87396547</v>
      </c>
      <c r="K34" s="99" t="n">
        <f aca="false">J34*E34</f>
        <v>-218551.018992669</v>
      </c>
      <c r="L34" s="99" t="n">
        <f aca="false">J34+K34</f>
        <v>3019241.8549728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2867080.02885509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5858.23030553174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5858.23030553174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2867080.02885509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2867080.02885509</v>
      </c>
      <c r="K35" s="99" t="n">
        <f aca="false">J35*E35</f>
        <v>380748.227831956</v>
      </c>
      <c r="L35" s="99" t="n">
        <f aca="false">J35+K35</f>
        <v>3247828.25668705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3091862.3849164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6004.68606317004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6004.68606317004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3091862.3849164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3091862.3849164</v>
      </c>
      <c r="K36" s="99" t="n">
        <f aca="false">J36*E36</f>
        <v>141607.297229171</v>
      </c>
      <c r="L36" s="99" t="n">
        <f aca="false">J36+K36</f>
        <v>3233469.68214557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3073604.66358065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6154.80321474929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6154.80321474929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3073604.66358065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3073604.66358065</v>
      </c>
      <c r="K37" s="99" t="n">
        <f aca="false">J37*E37</f>
        <v>277853.861587691</v>
      </c>
      <c r="L37" s="99" t="n">
        <f aca="false">J37+K37</f>
        <v>3351458.52516834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3187596.88113931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6308.67329511802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6308.67329511802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3187596.88113931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3187596.88113931</v>
      </c>
      <c r="K38" s="99" t="n">
        <f aca="false">J38*E38</f>
        <v>216119.068541245</v>
      </c>
      <c r="L38" s="99" t="n">
        <f aca="false">J38+K38</f>
        <v>3403715.94968055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3235757.76455078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6466.39012749597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6466.39012749597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3235757.76455078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3235757.76455078</v>
      </c>
      <c r="K39" s="99" t="n">
        <f aca="false">J39*E39</f>
        <v>172465.888850557</v>
      </c>
      <c r="L39" s="99" t="n">
        <f aca="false">J39+K39</f>
        <v>3408223.65340134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3236066.51364333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6628.04988068337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6628.04988068337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3236066.51364333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3236066.51364333</v>
      </c>
      <c r="K40" s="99" t="n">
        <f aca="false">J40*E40</f>
        <v>240116.135312335</v>
      </c>
      <c r="L40" s="99" t="n">
        <f aca="false">J40+K40</f>
        <v>3476182.64895567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3299721.58070371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6793.75112770045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6793.75112770045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3299721.58070371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3299721.58070371</v>
      </c>
      <c r="K41" s="99" t="n">
        <f aca="false">J41*E41</f>
        <v>214481.902745741</v>
      </c>
      <c r="L41" s="99" t="n">
        <f aca="false">J41+K41</f>
        <v>3514203.48344945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3333330.88849119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6963.59490589296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6963.59490589296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3333330.88849119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3333330.88849119</v>
      </c>
      <c r="K42" s="99" t="n">
        <f aca="false">J42*E42</f>
        <v>-116666.581097192</v>
      </c>
      <c r="L42" s="99" t="n">
        <f aca="false">J42+K42</f>
        <v>3216664.307394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3031269.89756178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7137.68477854028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7137.68477854028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3031269.89756178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3031269.89756178</v>
      </c>
      <c r="K43" s="99" t="n">
        <f aca="false">J43*E43</f>
        <v>242501.591804943</v>
      </c>
      <c r="L43" s="99" t="n">
        <f aca="false">J43+K43</f>
        <v>3273771.48936673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3083742.2192887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7316.12689800379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7316.12689800379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3083742.2192887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3083742.2192887</v>
      </c>
      <c r="K44" s="99" t="n">
        <f aca="false">J44*E44</f>
        <v>167138.828285448</v>
      </c>
      <c r="L44" s="99" t="n">
        <f aca="false">J44+K44</f>
        <v>3250881.04757415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3056101.04574418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7499.03007045389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7499.03007045389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3056101.04574418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3056101.04574418</v>
      </c>
      <c r="K45" s="99" t="n">
        <f aca="false">J45*E45</f>
        <v>241737.592718365</v>
      </c>
      <c r="L45" s="99" t="n">
        <f aca="false">J45+K45</f>
        <v>3297838.63846255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3098189.13658683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7686.50582221523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7686.50582221523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3098189.13658683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3098189.13658683</v>
      </c>
      <c r="K46" s="99" t="n">
        <f aca="false">J46*E46</f>
        <v>116801.730449323</v>
      </c>
      <c r="L46" s="99" t="n">
        <f aca="false">J46+K46</f>
        <v>3214990.86703615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3010350.12761354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7878.66846777061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7878.66846777061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3010350.12761354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3010350.12761354</v>
      </c>
      <c r="K47" s="99" t="n">
        <f aca="false">J47*E47</f>
        <v>276651.176727684</v>
      </c>
      <c r="L47" s="99" t="n">
        <f aca="false">J47+K47</f>
        <v>3287001.30434122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3287001.30434122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8075.63517946488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8075.63517946488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3287001.30434122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3287001.30434122</v>
      </c>
      <c r="K48" s="99" t="n">
        <f aca="false">J48*E48</f>
        <v>110771.943956299</v>
      </c>
      <c r="L48" s="99" t="n">
        <f aca="false">J48+K48</f>
        <v>3397773.24829752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3397773.24829752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8277.5260589515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8277.5260589515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3397773.24829752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3397773.24829752</v>
      </c>
      <c r="K49" s="99" t="n">
        <f aca="false">J49*E49</f>
        <v>152899.796173388</v>
      </c>
      <c r="L49" s="99" t="n">
        <f aca="false">J49+K49</f>
        <v>3550673.04447091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3550673.04447091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8484.46421042528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8484.46421042528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3550673.04447091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3550673.04447091</v>
      </c>
      <c r="K50" s="99" t="n">
        <f aca="false">J50*E50</f>
        <v>390574.0348918</v>
      </c>
      <c r="L50" s="99" t="n">
        <f aca="false">J50+K50</f>
        <v>3941247.07936271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3941247.07936271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8696.57581568592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8696.57581568592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3941247.07936271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3941247.07936271</v>
      </c>
      <c r="K51" s="99" t="n">
        <f aca="false">J51*E51</f>
        <v>344859.119444237</v>
      </c>
      <c r="L51" s="99" t="n">
        <f aca="false">J51+K51</f>
        <v>4286106.19880694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4286106.19880694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8913.99021107806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8913.99021107806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4286106.19880694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4286106.19880694</v>
      </c>
      <c r="K52" s="99" t="n">
        <f aca="false">J52*E52</f>
        <v>-200161.159484284</v>
      </c>
      <c r="L52" s="99" t="n">
        <f aca="false">J52+K52</f>
        <v>4085945.03932266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4085945.03932266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9136.83996635501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9136.83996635501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4085945.03932266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4085945.03932266</v>
      </c>
      <c r="K53" s="99" t="n">
        <f aca="false">J53*E53</f>
        <v>-289284.908784044</v>
      </c>
      <c r="L53" s="99" t="n">
        <f aca="false">J53+K53</f>
        <v>3796660.13053862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3796660.13053862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9365.26096551389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9365.26096551389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3796660.13053862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3796660.13053862</v>
      </c>
      <c r="K54" s="99" t="n">
        <f aca="false">J54*E54</f>
        <v>-511789.785596605</v>
      </c>
      <c r="L54" s="99" t="n">
        <f aca="false">J54+K54</f>
        <v>3284870.34494201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3284870.34494201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9599.39248965173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9599.39248965173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3284870.34494201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35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Match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Health Savings Account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Health Savings Account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4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4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7750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0.5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0.08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7750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186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Health Savings Account with % of Salary / Match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2500</v>
      </c>
      <c r="T17" s="99" t="n">
        <f aca="false">$N$4*(1+$B$10)^(C17-1)</f>
        <v>7750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2750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2500</v>
      </c>
      <c r="Z17" s="99" t="n">
        <f aca="false">W17+X17+Y17</f>
        <v>7500</v>
      </c>
      <c r="AA17" s="100" t="n">
        <f aca="false">Q17+Z17</f>
        <v>2189900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2189900</v>
      </c>
      <c r="K18" s="99" t="n">
        <f aca="false">J18*E18</f>
        <v>104896.21</v>
      </c>
      <c r="L18" s="99" t="n">
        <f aca="false">J18+K18</f>
        <v>2294796.21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2294796.21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2550</v>
      </c>
      <c r="T18" s="99" t="n">
        <f aca="false">$N$4*(1+$B$10)^(C18-1)</f>
        <v>7943.75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2843.75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2550</v>
      </c>
      <c r="Z18" s="99" t="n">
        <f aca="false">W18+X18+Y18</f>
        <v>7650</v>
      </c>
      <c r="AA18" s="100" t="n">
        <f aca="false">Q18+W18+X18+Y18</f>
        <v>2302446.21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2302446.21</v>
      </c>
      <c r="K19" s="99" t="n">
        <f aca="false">J19*E19</f>
        <v>49042.104273</v>
      </c>
      <c r="L19" s="99" t="n">
        <f aca="false">J19+K19</f>
        <v>2351488.314273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2351488.314273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2601</v>
      </c>
      <c r="T19" s="99" t="n">
        <f aca="false">$N$4*(1+$B$10)^(C19-1)</f>
        <v>8142.34375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2940.34375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2601</v>
      </c>
      <c r="Z19" s="99" t="n">
        <f aca="false">W19+X19+Y19</f>
        <v>7803</v>
      </c>
      <c r="AA19" s="100" t="n">
        <f aca="false">Q19+W19+X19+Y19</f>
        <v>2359291.314273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2359291.314273</v>
      </c>
      <c r="K20" s="99" t="n">
        <f aca="false">J20*E20</f>
        <v>259522.04457003</v>
      </c>
      <c r="L20" s="99" t="n">
        <f aca="false">J20+K20</f>
        <v>2618813.35884303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2618813.35884303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2653.02</v>
      </c>
      <c r="T20" s="99" t="n">
        <f aca="false">$N$4*(1+$B$10)^(C20-1)</f>
        <v>8345.90234375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3039.86234375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2653.02</v>
      </c>
      <c r="Z20" s="99" t="n">
        <f aca="false">W20+X20+Y20</f>
        <v>7959.06</v>
      </c>
      <c r="AA20" s="100" t="n">
        <f aca="false">Q20+W20+X20+Y20</f>
        <v>2626772.41884303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2626772.41884303</v>
      </c>
      <c r="K21" s="99" t="n">
        <f aca="false">J21*E21</f>
        <v>210667.147991211</v>
      </c>
      <c r="L21" s="99" t="n">
        <f aca="false">J21+K21</f>
        <v>2837439.56683424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2727058.27777174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8554.54990234375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8554.54990234375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2727058.27777174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2727058.27777174</v>
      </c>
      <c r="K22" s="99" t="n">
        <f aca="false">J22*E22</f>
        <v>223073.367121728</v>
      </c>
      <c r="L22" s="99" t="n">
        <f aca="false">J22+K22</f>
        <v>2950131.64489347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2836990.82360441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8768.41364990234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8768.41364990234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2836990.82360441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2836990.82360441</v>
      </c>
      <c r="K23" s="99" t="n">
        <f aca="false">J23*E23</f>
        <v>285968.675019324</v>
      </c>
      <c r="L23" s="99" t="n">
        <f aca="false">J23+K23</f>
        <v>3122959.49862373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3006990.15680244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8987.6239911499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8987.6239911499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3006990.15680244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3006990.15680244</v>
      </c>
      <c r="K24" s="99" t="n">
        <f aca="false">J24*E24</f>
        <v>-147943.91571468</v>
      </c>
      <c r="L24" s="99" t="n">
        <f aca="false">J24+K24</f>
        <v>2859046.24108776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2740177.66572094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9212.31459092865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9212.31459092865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2740177.66572094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2740177.66572094</v>
      </c>
      <c r="K25" s="99" t="n">
        <f aca="false">J25*E25</f>
        <v>33704.1852883676</v>
      </c>
      <c r="L25" s="99" t="n">
        <f aca="false">J25+K25</f>
        <v>2773881.85100931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2652041.56125832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9442.62245570186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9442.62245570186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2652041.56125832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2652041.56125832</v>
      </c>
      <c r="K26" s="99" t="n">
        <f aca="false">J26*E26</f>
        <v>169995.864076658</v>
      </c>
      <c r="L26" s="99" t="n">
        <f aca="false">J26+K26</f>
        <v>2822037.42533497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2697151.12834021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9678.68801709441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9678.68801709441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2697151.12834021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2697151.12834021</v>
      </c>
      <c r="K27" s="99" t="n">
        <f aca="false">J27*E27</f>
        <v>288864.885845236</v>
      </c>
      <c r="L27" s="99" t="n">
        <f aca="false">J27+K27</f>
        <v>2986016.01418545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2858007.55976581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9920.65521752176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9920.65521752176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2858007.55976581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2858007.55976581</v>
      </c>
      <c r="K28" s="99" t="n">
        <f aca="false">J28*E28</f>
        <v>186056.292140754</v>
      </c>
      <c r="L28" s="99" t="n">
        <f aca="false">J28+K28</f>
        <v>3044063.85190656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2912855.18612644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10168.6715979598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10168.6715979598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2912855.18612644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2912855.18612644</v>
      </c>
      <c r="K29" s="99" t="n">
        <f aca="false">J29*E29</f>
        <v>233028.414890115</v>
      </c>
      <c r="L29" s="99" t="n">
        <f aca="false">J29+K29</f>
        <v>3145883.60101655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3011394.71859192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10422.8883879088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10422.8883879088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3011394.71859192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3011394.71859192</v>
      </c>
      <c r="K30" s="99" t="n">
        <f aca="false">J30*E30</f>
        <v>93654.3757482088</v>
      </c>
      <c r="L30" s="99" t="n">
        <f aca="false">J30+K30</f>
        <v>3105049.09434013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2967197.98985489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10683.4605976065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10683.4605976065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2967197.98985489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2967197.98985489</v>
      </c>
      <c r="K31" s="99" t="n">
        <f aca="false">J31*E31</f>
        <v>167053.24682883</v>
      </c>
      <c r="L31" s="99" t="n">
        <f aca="false">J31+K31</f>
        <v>3134251.23668372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2992953.85458634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10950.5471125467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10950.5471125467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2992953.85458634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2992953.85458634</v>
      </c>
      <c r="K32" s="99" t="n">
        <f aca="false">J32*E32</f>
        <v>81408.3448447484</v>
      </c>
      <c r="L32" s="99" t="n">
        <f aca="false">J32+K32</f>
        <v>3074362.19943109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2929532.38278128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11224.3107903603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11224.3107903603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2929532.38278128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2929532.38278128</v>
      </c>
      <c r="K33" s="99" t="n">
        <f aca="false">J33*E33</f>
        <v>482786.936682354</v>
      </c>
      <c r="L33" s="99" t="n">
        <f aca="false">J33+K33</f>
        <v>3412319.31946363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3263868.75739757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11504.9185601194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11504.9185601194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3263868.75739757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3263868.75739757</v>
      </c>
      <c r="K34" s="99" t="n">
        <f aca="false">J34*E34</f>
        <v>-220311.141124336</v>
      </c>
      <c r="L34" s="99" t="n">
        <f aca="false">J34+K34</f>
        <v>3043557.61627324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2891395.79015553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11792.5415241223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11792.5415241223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2891395.79015553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2891395.79015553</v>
      </c>
      <c r="K35" s="99" t="n">
        <f aca="false">J35*E35</f>
        <v>383977.360932655</v>
      </c>
      <c r="L35" s="99" t="n">
        <f aca="false">J35+K35</f>
        <v>3275373.15108819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3119407.27931754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12087.3550622254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12087.3550622254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3119407.27931754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3119407.27931754</v>
      </c>
      <c r="K36" s="99" t="n">
        <f aca="false">J36*E36</f>
        <v>142868.853392743</v>
      </c>
      <c r="L36" s="99" t="n">
        <f aca="false">J36+K36</f>
        <v>3262276.13271028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3102411.11414536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12389.538938781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12389.538938781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3102411.11414536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3102411.11414536</v>
      </c>
      <c r="K37" s="99" t="n">
        <f aca="false">J37*E37</f>
        <v>280457.964718741</v>
      </c>
      <c r="L37" s="99" t="n">
        <f aca="false">J37+K37</f>
        <v>3382869.0788641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3219007.43483506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12699.2774122506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12699.2774122506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3219007.43483506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3219007.43483506</v>
      </c>
      <c r="K38" s="99" t="n">
        <f aca="false">J38*E38</f>
        <v>218248.704081817</v>
      </c>
      <c r="L38" s="99" t="n">
        <f aca="false">J38+K38</f>
        <v>3437256.13891688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3269297.95378711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13016.7593475568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13016.7593475568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3269297.95378711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3269297.95378711</v>
      </c>
      <c r="K39" s="99" t="n">
        <f aca="false">J39*E39</f>
        <v>174253.580936853</v>
      </c>
      <c r="L39" s="99" t="n">
        <f aca="false">J39+K39</f>
        <v>3443551.53472397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3271394.39496596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13342.1783312457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13342.1783312457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3271394.39496596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3271394.39496596</v>
      </c>
      <c r="K40" s="99" t="n">
        <f aca="false">J40*E40</f>
        <v>242737.464106474</v>
      </c>
      <c r="L40" s="99" t="n">
        <f aca="false">J40+K40</f>
        <v>3514131.85907243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3337670.79082047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13675.7327895269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13675.7327895269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3337670.79082047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3337670.79082047</v>
      </c>
      <c r="K41" s="99" t="n">
        <f aca="false">J41*E41</f>
        <v>216948.601403331</v>
      </c>
      <c r="L41" s="99" t="n">
        <f aca="false">J41+K41</f>
        <v>3554619.3922238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3373746.79726554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14017.6261092651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14017.6261092651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3373746.79726554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3373746.79726554</v>
      </c>
      <c r="K42" s="99" t="n">
        <f aca="false">J42*E42</f>
        <v>-118081.137904294</v>
      </c>
      <c r="L42" s="99" t="n">
        <f aca="false">J42+K42</f>
        <v>3255665.65936125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3070271.24952904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14368.0667619967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14368.0667619967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3070271.24952904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3070271.24952904</v>
      </c>
      <c r="K43" s="99" t="n">
        <f aca="false">J43*E43</f>
        <v>245621.699962323</v>
      </c>
      <c r="L43" s="99" t="n">
        <f aca="false">J43+K43</f>
        <v>3315892.94949136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3125863.67941334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14727.2684310466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14727.2684310466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3125863.67941334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3125863.67941334</v>
      </c>
      <c r="K44" s="99" t="n">
        <f aca="false">J44*E44</f>
        <v>169421.811424203</v>
      </c>
      <c r="L44" s="99" t="n">
        <f aca="false">J44+K44</f>
        <v>3295285.49083754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3100505.48900757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15095.4501418228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15095.4501418228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3100505.48900757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3100505.48900757</v>
      </c>
      <c r="K45" s="99" t="n">
        <f aca="false">J45*E45</f>
        <v>245249.984180499</v>
      </c>
      <c r="L45" s="99" t="n">
        <f aca="false">J45+K45</f>
        <v>3345755.47318807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3146105.97131235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15472.8363953683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15472.8363953683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3146105.97131235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3146105.97131235</v>
      </c>
      <c r="K46" s="99" t="n">
        <f aca="false">J46*E46</f>
        <v>118608.195118476</v>
      </c>
      <c r="L46" s="99" t="n">
        <f aca="false">J46+K46</f>
        <v>3264714.16643082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3060073.42700821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15859.6573052525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15859.6573052525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3060073.42700821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3060073.42700821</v>
      </c>
      <c r="K47" s="99" t="n">
        <f aca="false">J47*E47</f>
        <v>281220.747942055</v>
      </c>
      <c r="L47" s="99" t="n">
        <f aca="false">J47+K47</f>
        <v>3341294.17495027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3341294.17495027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16256.1487378838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16256.1487378838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3341294.17495027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3341294.17495027</v>
      </c>
      <c r="K48" s="99" t="n">
        <f aca="false">J48*E48</f>
        <v>112601.613695824</v>
      </c>
      <c r="L48" s="99" t="n">
        <f aca="false">J48+K48</f>
        <v>3453895.78864609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3453895.78864609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16662.5524563309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16662.5524563309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3453895.78864609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3453895.78864609</v>
      </c>
      <c r="K49" s="99" t="n">
        <f aca="false">J49*E49</f>
        <v>155425.310489074</v>
      </c>
      <c r="L49" s="99" t="n">
        <f aca="false">J49+K49</f>
        <v>3609321.09913516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3609321.09913516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17079.1162677392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17079.1162677392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3609321.09913516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3609321.09913516</v>
      </c>
      <c r="K50" s="99" t="n">
        <f aca="false">J50*E50</f>
        <v>397025.320904868</v>
      </c>
      <c r="L50" s="99" t="n">
        <f aca="false">J50+K50</f>
        <v>4006346.42004003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4006346.42004003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17506.0941744327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17506.0941744327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4006346.42004003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4006346.42004003</v>
      </c>
      <c r="K51" s="99" t="n">
        <f aca="false">J51*E51</f>
        <v>350555.311753503</v>
      </c>
      <c r="L51" s="99" t="n">
        <f aca="false">J51+K51</f>
        <v>4356901.73179353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4356901.73179353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17943.7465287935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17943.7465287935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4356901.73179353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4356901.73179353</v>
      </c>
      <c r="K52" s="99" t="n">
        <f aca="false">J52*E52</f>
        <v>-203467.310874758</v>
      </c>
      <c r="L52" s="99" t="n">
        <f aca="false">J52+K52</f>
        <v>4153434.42091878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4153434.42091878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18392.3401920133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18392.3401920133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4153434.42091878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4153434.42091878</v>
      </c>
      <c r="K53" s="99" t="n">
        <f aca="false">J53*E53</f>
        <v>-294063.157001049</v>
      </c>
      <c r="L53" s="99" t="n">
        <f aca="false">J53+K53</f>
        <v>3859371.26391773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3859371.26391773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18852.1486968137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18852.1486968137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3859371.26391773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3859371.26391773</v>
      </c>
      <c r="K54" s="99" t="n">
        <f aca="false">J54*E54</f>
        <v>-520243.24637611</v>
      </c>
      <c r="L54" s="99" t="n">
        <f aca="false">J54+K54</f>
        <v>3339128.01754162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3339128.01754162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19323.452414234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19323.452414234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3339128.01754162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36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None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Roth 401k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Roth 401k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>Roth</v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Maximum Allowable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0.03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187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Roth 401k with Maximum Allowable / None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0.0547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109400</v>
      </c>
      <c r="L17" s="99" t="n">
        <f aca="false">J17+K17</f>
        <v>2109400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2109400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30000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43500</v>
      </c>
      <c r="W17" s="99" t="n">
        <f aca="false">MIN(R17,T17)</f>
        <v>22500</v>
      </c>
      <c r="X17" s="99" t="n">
        <f aca="false">MIN(U17,R17-W17)</f>
        <v>7500</v>
      </c>
      <c r="Y17" s="99" t="n">
        <f aca="false">MIN(S17,V17)</f>
        <v>0</v>
      </c>
      <c r="Z17" s="99" t="n">
        <f aca="false">W17+X17+Y17</f>
        <v>30000</v>
      </c>
      <c r="AA17" s="100" t="n">
        <f aca="false">Q17+Z17</f>
        <v>2139400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0.0287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2139400</v>
      </c>
      <c r="K18" s="99" t="n">
        <f aca="false">J18*E18</f>
        <v>61400.78</v>
      </c>
      <c r="L18" s="99" t="n">
        <f aca="false">J18+K18</f>
        <v>2200800.78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2200800.78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30750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44587.5</v>
      </c>
      <c r="W18" s="99" t="n">
        <f aca="false">MIN(R18,T18)</f>
        <v>23062.5</v>
      </c>
      <c r="X18" s="99" t="n">
        <f aca="false">MIN(U18,R18-W18)</f>
        <v>7687.5</v>
      </c>
      <c r="Y18" s="99" t="n">
        <f aca="false">MIN(S18,V18)</f>
        <v>0</v>
      </c>
      <c r="Z18" s="99" t="n">
        <f aca="false">W18+X18+Y18</f>
        <v>30750</v>
      </c>
      <c r="AA18" s="100" t="n">
        <f aca="false">Q18+W18+X18+Y18</f>
        <v>2231550.78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0.0128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2231550.78</v>
      </c>
      <c r="K19" s="99" t="n">
        <f aca="false">J19*E19</f>
        <v>28563.849984</v>
      </c>
      <c r="L19" s="99" t="n">
        <f aca="false">J19+K19</f>
        <v>2260114.629984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2260114.629984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35458.59375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45702.1875</v>
      </c>
      <c r="W19" s="99" t="n">
        <f aca="false">MIN(R19,T19)</f>
        <v>23639.0625</v>
      </c>
      <c r="X19" s="99" t="n">
        <f aca="false">MIN(U19,R19-W19)</f>
        <v>11819.53125</v>
      </c>
      <c r="Y19" s="99" t="n">
        <f aca="false">MIN(S19,V19)</f>
        <v>0</v>
      </c>
      <c r="Z19" s="99" t="n">
        <f aca="false">W19+X19+Y19</f>
        <v>35458.59375</v>
      </c>
      <c r="AA19" s="100" t="n">
        <f aca="false">Q19+W19+X19+Y19</f>
        <v>2295573.223734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0.066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2295573.223734</v>
      </c>
      <c r="K20" s="99" t="n">
        <f aca="false">J20*E20</f>
        <v>151507.832766444</v>
      </c>
      <c r="L20" s="99" t="n">
        <f aca="false">J20+K20</f>
        <v>2447081.05650044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2447081.05650044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32306.71875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46844.7421875</v>
      </c>
      <c r="W20" s="99" t="n">
        <f aca="false">MIN(R20,T20)</f>
        <v>24230.0390625</v>
      </c>
      <c r="X20" s="99" t="n">
        <f aca="false">MIN(U20,R20-W20)</f>
        <v>8076.6796875</v>
      </c>
      <c r="Y20" s="99" t="n">
        <f aca="false">MIN(S20,V20)</f>
        <v>0</v>
      </c>
      <c r="Z20" s="99" t="n">
        <f aca="false">W20+X20+Y20</f>
        <v>32306.71875</v>
      </c>
      <c r="AA20" s="100" t="n">
        <f aca="false">Q20+W20+X20+Y20</f>
        <v>2479387.77525044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0.0481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2479387.77525044</v>
      </c>
      <c r="K21" s="99" t="n">
        <f aca="false">J21*E21</f>
        <v>119258.551989546</v>
      </c>
      <c r="L21" s="99" t="n">
        <f aca="false">J21+K21</f>
        <v>2598646.32723999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2488265.03817749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2488265.03817749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0.0491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2488265.03817749</v>
      </c>
      <c r="K22" s="99" t="n">
        <f aca="false">J22*E22</f>
        <v>122173.813374515</v>
      </c>
      <c r="L22" s="99" t="n">
        <f aca="false">J22+K22</f>
        <v>2610438.851552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2497298.03026294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2497298.03026294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0.0605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2497298.03026294</v>
      </c>
      <c r="K23" s="99" t="n">
        <f aca="false">J23*E23</f>
        <v>151086.530830908</v>
      </c>
      <c r="L23" s="99" t="n">
        <f aca="false">J23+K23</f>
        <v>2648384.56109385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2532415.21927256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2532415.21927256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-0.0295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2532415.21927256</v>
      </c>
      <c r="K24" s="99" t="n">
        <f aca="false">J24*E24</f>
        <v>-74706.2489685406</v>
      </c>
      <c r="L24" s="99" t="n">
        <f aca="false">J24+K24</f>
        <v>2457708.97030402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2338840.3949372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2338840.3949372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0.0073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2338840.3949372</v>
      </c>
      <c r="K25" s="99" t="n">
        <f aca="false">J25*E25</f>
        <v>17073.5348830416</v>
      </c>
      <c r="L25" s="99" t="n">
        <f aca="false">J25+K25</f>
        <v>2355913.92982024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2234073.64006925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2234073.64006925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0.0385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2234073.64006925</v>
      </c>
      <c r="K26" s="99" t="n">
        <f aca="false">J26*E26</f>
        <v>86011.8351426661</v>
      </c>
      <c r="L26" s="99" t="n">
        <f aca="false">J26+K26</f>
        <v>2320085.47521191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2195199.17821715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2195199.17821715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0.0643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2195199.17821715</v>
      </c>
      <c r="K27" s="99" t="n">
        <f aca="false">J27*E27</f>
        <v>141151.307159363</v>
      </c>
      <c r="L27" s="99" t="n">
        <f aca="false">J27+K27</f>
        <v>2336350.48537651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2208342.03095688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2208342.03095688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0.039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2208342.03095688</v>
      </c>
      <c r="K28" s="99" t="n">
        <f aca="false">J28*E28</f>
        <v>86125.3392073182</v>
      </c>
      <c r="L28" s="99" t="n">
        <f aca="false">J28+K28</f>
        <v>2294467.37016419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2163258.70438407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2163258.70438407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0.048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2163258.70438407</v>
      </c>
      <c r="K29" s="99" t="n">
        <f aca="false">J29*E29</f>
        <v>103836.417810435</v>
      </c>
      <c r="L29" s="99" t="n">
        <f aca="false">J29+K29</f>
        <v>2267095.1221945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2132606.23976987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2132606.23976987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0.0187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2132606.23976987</v>
      </c>
      <c r="K30" s="99" t="n">
        <f aca="false">J30*E30</f>
        <v>39879.7366836966</v>
      </c>
      <c r="L30" s="99" t="n">
        <f aca="false">J30+K30</f>
        <v>2172485.97645357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2034634.87196832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2034634.87196832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0.0338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2034634.87196832</v>
      </c>
      <c r="K31" s="99" t="n">
        <f aca="false">J31*E31</f>
        <v>68770.6586725293</v>
      </c>
      <c r="L31" s="99" t="n">
        <f aca="false">J31+K31</f>
        <v>2103405.53064085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1962108.14854348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1962108.14854348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0.0163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1962108.14854348</v>
      </c>
      <c r="K32" s="99" t="n">
        <f aca="false">J32*E32</f>
        <v>31982.3628212587</v>
      </c>
      <c r="L32" s="99" t="n">
        <f aca="false">J32+K32</f>
        <v>1994090.51136474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1849260.69471492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1849260.69471492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0.0988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1849260.69471492</v>
      </c>
      <c r="K33" s="99" t="n">
        <f aca="false">J33*E33</f>
        <v>182706.956637835</v>
      </c>
      <c r="L33" s="99" t="n">
        <f aca="false">J33+K33</f>
        <v>2031967.65135276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1883517.0892867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1883517.0892867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-0.0405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1883517.0892867</v>
      </c>
      <c r="K34" s="99" t="n">
        <f aca="false">J34*E34</f>
        <v>-76282.4421161115</v>
      </c>
      <c r="L34" s="99" t="n">
        <f aca="false">J34+K34</f>
        <v>1807234.64717059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1655072.82105288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1655072.82105288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0.0796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1655072.82105288</v>
      </c>
      <c r="K35" s="99" t="n">
        <f aca="false">J35*E35</f>
        <v>131743.79655581</v>
      </c>
      <c r="L35" s="99" t="n">
        <f aca="false">J35+K35</f>
        <v>1786816.61760869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1630850.74583804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1630850.74583804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0.0275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1630850.74583804</v>
      </c>
      <c r="K36" s="99" t="n">
        <f aca="false">J36*E36</f>
        <v>44848.3955105462</v>
      </c>
      <c r="L36" s="99" t="n">
        <f aca="false">J36+K36</f>
        <v>1675699.14134859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1515834.12278367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1515834.12278367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0.0542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1515834.12278367</v>
      </c>
      <c r="K37" s="99" t="n">
        <f aca="false">J37*E37</f>
        <v>82158.209454875</v>
      </c>
      <c r="L37" s="99" t="n">
        <f aca="false">J37+K37</f>
        <v>1597992.33223855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1434130.68820951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1434130.68820951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0.0406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1434130.68820951</v>
      </c>
      <c r="K38" s="99" t="n">
        <f aca="false">J38*E38</f>
        <v>58225.705941306</v>
      </c>
      <c r="L38" s="99" t="n">
        <f aca="false">J38+K38</f>
        <v>1492356.39415081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1324398.20902105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1324398.20902105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0.032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1324398.20902105</v>
      </c>
      <c r="K39" s="99" t="n">
        <f aca="false">J39*E39</f>
        <v>42380.7426886735</v>
      </c>
      <c r="L39" s="99" t="n">
        <f aca="false">J39+K39</f>
        <v>1366778.95170972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1194621.81195171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1194621.81195171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0.0445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1194621.81195171</v>
      </c>
      <c r="K40" s="99" t="n">
        <f aca="false">J40*E40</f>
        <v>53160.6706318512</v>
      </c>
      <c r="L40" s="99" t="n">
        <f aca="false">J40+K40</f>
        <v>1247782.48258356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1071321.4143316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1071321.4143316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0.039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1071321.4143316</v>
      </c>
      <c r="K41" s="99" t="n">
        <f aca="false">J41*E41</f>
        <v>41781.5351589326</v>
      </c>
      <c r="L41" s="99" t="n">
        <f aca="false">J41+K41</f>
        <v>1113102.94949054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932230.354532278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932230.354532278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-0.021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932230.354532278</v>
      </c>
      <c r="K42" s="99" t="n">
        <f aca="false">J42*E42</f>
        <v>-19576.8374451778</v>
      </c>
      <c r="L42" s="99" t="n">
        <f aca="false">J42+K42</f>
        <v>912653.5170871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727259.107254885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727259.107254885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0.048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727259.107254885</v>
      </c>
      <c r="K43" s="99" t="n">
        <f aca="false">J43*E43</f>
        <v>34908.4371482345</v>
      </c>
      <c r="L43" s="99" t="n">
        <f aca="false">J43+K43</f>
        <v>762167.544403119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572138.274325098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572138.274325098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0.0325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572138.274325098</v>
      </c>
      <c r="K44" s="99" t="n">
        <f aca="false">J44*E44</f>
        <v>18594.4939155657</v>
      </c>
      <c r="L44" s="99" t="n">
        <f aca="false">J44+K44</f>
        <v>590732.768240664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395952.766410693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395952.766410693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0.0475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395952.766410693</v>
      </c>
      <c r="K45" s="99" t="n">
        <f aca="false">J45*E45</f>
        <v>18807.7564045079</v>
      </c>
      <c r="L45" s="99" t="n">
        <f aca="false">J45+K45</f>
        <v>414760.522815201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215111.020939481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215111.020939481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0.0226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215111.020939481</v>
      </c>
      <c r="K46" s="99" t="n">
        <f aca="false">J46*E46</f>
        <v>4861.50907323226</v>
      </c>
      <c r="L46" s="99" t="n">
        <f aca="false">J46+K46</f>
        <v>219972.530012713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15331.7905900997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15331.7905900997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0.0551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15331.7905900997</v>
      </c>
      <c r="K47" s="99" t="n">
        <f aca="false">J47*E47</f>
        <v>844.781661514494</v>
      </c>
      <c r="L47" s="99" t="n">
        <f aca="false">J47+K47</f>
        <v>16176.5722516142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16176.5722516142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16176.5722516142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0.0202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16176.5722516142</v>
      </c>
      <c r="K48" s="99" t="n">
        <f aca="false">J48*E48</f>
        <v>326.766759482607</v>
      </c>
      <c r="L48" s="99" t="n">
        <f aca="false">J48+K48</f>
        <v>16503.3390110968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16503.3390110968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16503.3390110968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0.027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16503.3390110968</v>
      </c>
      <c r="K49" s="99" t="n">
        <f aca="false">J49*E49</f>
        <v>445.590153299614</v>
      </c>
      <c r="L49" s="99" t="n">
        <f aca="false">J49+K49</f>
        <v>16948.9291643964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16948.9291643964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16948.9291643964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0.066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16948.9291643964</v>
      </c>
      <c r="K50" s="99" t="n">
        <f aca="false">J50*E50</f>
        <v>1118.62932485016</v>
      </c>
      <c r="L50" s="99" t="n">
        <f aca="false">J50+K50</f>
        <v>18067.5584892466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18067.5584892466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18067.5584892466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0.0525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18067.5584892466</v>
      </c>
      <c r="K51" s="99" t="n">
        <f aca="false">J51*E51</f>
        <v>948.546820685445</v>
      </c>
      <c r="L51" s="99" t="n">
        <f aca="false">J51+K51</f>
        <v>19016.105309932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19016.105309932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19016.105309932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-0.028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19016.105309932</v>
      </c>
      <c r="K52" s="99" t="n">
        <f aca="false">J52*E52</f>
        <v>-532.450948678097</v>
      </c>
      <c r="L52" s="99" t="n">
        <f aca="false">J52+K52</f>
        <v>18483.6543612539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18483.6543612539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18483.6543612539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-0.0425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18483.6543612539</v>
      </c>
      <c r="K53" s="99" t="n">
        <f aca="false">J53*E53</f>
        <v>-785.555310353292</v>
      </c>
      <c r="L53" s="99" t="n">
        <f aca="false">J53+K53</f>
        <v>17698.0990509006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17698.0990509006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17698.0990509006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-0.0809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17698.0990509006</v>
      </c>
      <c r="K54" s="99" t="n">
        <f aca="false">J54*E54</f>
        <v>-1431.77621321786</v>
      </c>
      <c r="L54" s="99" t="n">
        <f aca="false">J54+K54</f>
        <v>16266.3228376828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16266.3228376828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16266.3228376828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37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Monthly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Roth 401k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Roth 401k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>Roth</v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188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Roth 401k with Monthly / Monthly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24000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12000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43500</v>
      </c>
      <c r="W17" s="99" t="n">
        <f aca="false">MIN(R17,T17)</f>
        <v>22500</v>
      </c>
      <c r="X17" s="99" t="n">
        <f aca="false">MIN(U17,R17-W17)</f>
        <v>1500</v>
      </c>
      <c r="Y17" s="99" t="n">
        <f aca="false">MIN(S17,V17)</f>
        <v>12000</v>
      </c>
      <c r="Z17" s="99" t="n">
        <f aca="false">W17+X17+Y17</f>
        <v>36000</v>
      </c>
      <c r="AA17" s="100" t="n">
        <f aca="false">Q17+Z17</f>
        <v>2218400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2218400</v>
      </c>
      <c r="K18" s="99" t="n">
        <f aca="false">J18*E18</f>
        <v>106261.36</v>
      </c>
      <c r="L18" s="99" t="n">
        <f aca="false">J18+K18</f>
        <v>2324661.36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2324661.36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24000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12000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44587.5</v>
      </c>
      <c r="W18" s="99" t="n">
        <f aca="false">MIN(R18,T18)</f>
        <v>23062.5</v>
      </c>
      <c r="X18" s="99" t="n">
        <f aca="false">MIN(U18,R18-W18)</f>
        <v>937.500000000004</v>
      </c>
      <c r="Y18" s="99" t="n">
        <f aca="false">MIN(S18,V18)</f>
        <v>12000</v>
      </c>
      <c r="Z18" s="99" t="n">
        <f aca="false">W18+X18+Y18</f>
        <v>36000</v>
      </c>
      <c r="AA18" s="100" t="n">
        <f aca="false">Q18+W18+X18+Y18</f>
        <v>2360661.36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2360661.36</v>
      </c>
      <c r="K19" s="99" t="n">
        <f aca="false">J19*E19</f>
        <v>50282.086968</v>
      </c>
      <c r="L19" s="99" t="n">
        <f aca="false">J19+K19</f>
        <v>2410943.446968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2410943.446968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24000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12000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45702.1875</v>
      </c>
      <c r="W19" s="99" t="n">
        <f aca="false">MIN(R19,T19)</f>
        <v>23639.0625</v>
      </c>
      <c r="X19" s="99" t="n">
        <f aca="false">MIN(U19,R19-W19)</f>
        <v>360.9375</v>
      </c>
      <c r="Y19" s="99" t="n">
        <f aca="false">MIN(S19,V19)</f>
        <v>12000</v>
      </c>
      <c r="Z19" s="99" t="n">
        <f aca="false">W19+X19+Y19</f>
        <v>36000</v>
      </c>
      <c r="AA19" s="100" t="n">
        <f aca="false">Q19+W19+X19+Y19</f>
        <v>2446943.446968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2446943.446968</v>
      </c>
      <c r="K20" s="99" t="n">
        <f aca="false">J20*E20</f>
        <v>269163.77916648</v>
      </c>
      <c r="L20" s="99" t="n">
        <f aca="false">J20+K20</f>
        <v>2716107.22613448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2716107.22613448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24000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12000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47074.78125</v>
      </c>
      <c r="W20" s="99" t="n">
        <f aca="false">MIN(R20,T20)</f>
        <v>24000</v>
      </c>
      <c r="X20" s="99" t="n">
        <f aca="false">MIN(U20,R20-W20)</f>
        <v>0</v>
      </c>
      <c r="Y20" s="99" t="n">
        <f aca="false">MIN(S20,V20)</f>
        <v>12000</v>
      </c>
      <c r="Z20" s="99" t="n">
        <f aca="false">W20+X20+Y20</f>
        <v>36000</v>
      </c>
      <c r="AA20" s="100" t="n">
        <f aca="false">Q20+W20+X20+Y20</f>
        <v>2752107.22613448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2752107.22613448</v>
      </c>
      <c r="K21" s="99" t="n">
        <f aca="false">J21*E21</f>
        <v>220718.999535985</v>
      </c>
      <c r="L21" s="99" t="n">
        <f aca="false">J21+K21</f>
        <v>2972826.22567047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2862444.93660797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2862444.93660797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2862444.93660797</v>
      </c>
      <c r="K22" s="99" t="n">
        <f aca="false">J22*E22</f>
        <v>234147.995814532</v>
      </c>
      <c r="L22" s="99" t="n">
        <f aca="false">J22+K22</f>
        <v>3096592.9324225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2983452.11113343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2983452.11113343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2983452.11113343</v>
      </c>
      <c r="K23" s="99" t="n">
        <f aca="false">J23*E23</f>
        <v>300731.97280225</v>
      </c>
      <c r="L23" s="99" t="n">
        <f aca="false">J23+K23</f>
        <v>3284184.08393568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3168214.7421144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3168214.7421144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3168214.7421144</v>
      </c>
      <c r="K24" s="99" t="n">
        <f aca="false">J24*E24</f>
        <v>-155876.165312028</v>
      </c>
      <c r="L24" s="99" t="n">
        <f aca="false">J24+K24</f>
        <v>3012338.57680237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2893470.00143555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2893470.00143555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2893470.00143555</v>
      </c>
      <c r="K25" s="99" t="n">
        <f aca="false">J25*E25</f>
        <v>35589.6810176572</v>
      </c>
      <c r="L25" s="99" t="n">
        <f aca="false">J25+K25</f>
        <v>2929059.6824532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2807219.39270221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2807219.39270221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2807219.39270221</v>
      </c>
      <c r="K26" s="99" t="n">
        <f aca="false">J26*E26</f>
        <v>179942.763072212</v>
      </c>
      <c r="L26" s="99" t="n">
        <f aca="false">J26+K26</f>
        <v>2987162.15577442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2862275.85877966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2862275.85877966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2862275.85877966</v>
      </c>
      <c r="K27" s="99" t="n">
        <f aca="false">J27*E27</f>
        <v>306549.744475301</v>
      </c>
      <c r="L27" s="99" t="n">
        <f aca="false">J27+K27</f>
        <v>3168825.60325496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3040817.14883532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3040817.14883532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3040817.14883532</v>
      </c>
      <c r="K28" s="99" t="n">
        <f aca="false">J28*E28</f>
        <v>197957.19638918</v>
      </c>
      <c r="L28" s="99" t="n">
        <f aca="false">J28+K28</f>
        <v>3238774.3452245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3107565.67944438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3107565.67944438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3107565.67944438</v>
      </c>
      <c r="K29" s="99" t="n">
        <f aca="false">J29*E29</f>
        <v>248605.25435555</v>
      </c>
      <c r="L29" s="99" t="n">
        <f aca="false">J29+K29</f>
        <v>3356170.93379993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3221682.0513753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3221682.0513753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3221682.0513753</v>
      </c>
      <c r="K30" s="99" t="n">
        <f aca="false">J30*E30</f>
        <v>100194.311797772</v>
      </c>
      <c r="L30" s="99" t="n">
        <f aca="false">J30+K30</f>
        <v>3321876.36317307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3184025.25868782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3184025.25868782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3184025.25868782</v>
      </c>
      <c r="K31" s="99" t="n">
        <f aca="false">J31*E31</f>
        <v>179260.622064124</v>
      </c>
      <c r="L31" s="99" t="n">
        <f aca="false">J31+K31</f>
        <v>3363285.88075195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3221988.49865457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3221988.49865457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3221988.49865457</v>
      </c>
      <c r="K32" s="99" t="n">
        <f aca="false">J32*E32</f>
        <v>87638.0871634043</v>
      </c>
      <c r="L32" s="99" t="n">
        <f aca="false">J32+K32</f>
        <v>3309626.58581797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3164796.76916816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3164796.76916816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3164796.76916816</v>
      </c>
      <c r="K33" s="99" t="n">
        <f aca="false">J33*E33</f>
        <v>521558.507558913</v>
      </c>
      <c r="L33" s="99" t="n">
        <f aca="false">J33+K33</f>
        <v>3686355.27672708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3537904.71466102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3537904.71466102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3537904.71466102</v>
      </c>
      <c r="K34" s="99" t="n">
        <f aca="false">J34*E34</f>
        <v>-238808.568239619</v>
      </c>
      <c r="L34" s="99" t="n">
        <f aca="false">J34+K34</f>
        <v>3299096.1464214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3146934.32030369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3146934.32030369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3146934.32030369</v>
      </c>
      <c r="K35" s="99" t="n">
        <f aca="false">J35*E35</f>
        <v>417912.877736331</v>
      </c>
      <c r="L35" s="99" t="n">
        <f aca="false">J35+K35</f>
        <v>3564847.19804002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3408881.32626937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3408881.32626937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3408881.32626937</v>
      </c>
      <c r="K36" s="99" t="n">
        <f aca="false">J36*E36</f>
        <v>156126.764743137</v>
      </c>
      <c r="L36" s="99" t="n">
        <f aca="false">J36+K36</f>
        <v>3565008.09101251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3405143.07244759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3405143.07244759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3405143.07244759</v>
      </c>
      <c r="K37" s="99" t="n">
        <f aca="false">J37*E37</f>
        <v>307824.933749262</v>
      </c>
      <c r="L37" s="99" t="n">
        <f aca="false">J37+K37</f>
        <v>3712968.00619686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3549106.36216782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3549106.36216782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3549106.36216782</v>
      </c>
      <c r="K38" s="99" t="n">
        <f aca="false">J38*E38</f>
        <v>240629.411354978</v>
      </c>
      <c r="L38" s="99" t="n">
        <f aca="false">J38+K38</f>
        <v>3789735.77352279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3621777.58839303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3621777.58839303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3621777.58839303</v>
      </c>
      <c r="K39" s="99" t="n">
        <f aca="false">J39*E39</f>
        <v>193040.745461348</v>
      </c>
      <c r="L39" s="99" t="n">
        <f aca="false">J39+K39</f>
        <v>3814818.33385438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3642661.19409637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3642661.19409637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3642661.19409637</v>
      </c>
      <c r="K40" s="99" t="n">
        <f aca="false">J40*E40</f>
        <v>270285.460601951</v>
      </c>
      <c r="L40" s="99" t="n">
        <f aca="false">J40+K40</f>
        <v>3912946.65469832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3736485.58644636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3736485.58644636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3736485.58644636</v>
      </c>
      <c r="K41" s="99" t="n">
        <f aca="false">J41*E41</f>
        <v>242871.563119013</v>
      </c>
      <c r="L41" s="99" t="n">
        <f aca="false">J41+K41</f>
        <v>3979357.14956537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3798484.55460711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3798484.55460711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3798484.55460711</v>
      </c>
      <c r="K42" s="99" t="n">
        <f aca="false">J42*E42</f>
        <v>-132946.959411249</v>
      </c>
      <c r="L42" s="99" t="n">
        <f aca="false">J42+K42</f>
        <v>3665537.59519586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3480143.18536365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3480143.18536365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3480143.18536365</v>
      </c>
      <c r="K43" s="99" t="n">
        <f aca="false">J43*E43</f>
        <v>278411.454829092</v>
      </c>
      <c r="L43" s="99" t="n">
        <f aca="false">J43+K43</f>
        <v>3758554.64019274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3568525.37011472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3568525.37011472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3568525.37011472</v>
      </c>
      <c r="K44" s="99" t="n">
        <f aca="false">J44*E44</f>
        <v>193414.075060218</v>
      </c>
      <c r="L44" s="99" t="n">
        <f aca="false">J44+K44</f>
        <v>3761939.44517494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3567159.44334497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3567159.44334497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3567159.44334497</v>
      </c>
      <c r="K45" s="99" t="n">
        <f aca="false">J45*E45</f>
        <v>282162.311968587</v>
      </c>
      <c r="L45" s="99" t="n">
        <f aca="false">J45+K45</f>
        <v>3849321.75531356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3649672.25343784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3649672.25343784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3649672.25343784</v>
      </c>
      <c r="K46" s="99" t="n">
        <f aca="false">J46*E46</f>
        <v>137592.643954606</v>
      </c>
      <c r="L46" s="99" t="n">
        <f aca="false">J46+K46</f>
        <v>3787264.89739244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3582624.15796983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3582624.15796983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3582624.15796983</v>
      </c>
      <c r="K47" s="99" t="n">
        <f aca="false">J47*E47</f>
        <v>329243.160117427</v>
      </c>
      <c r="L47" s="99" t="n">
        <f aca="false">J47+K47</f>
        <v>3911867.31808726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3911867.31808726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3911867.31808726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3911867.31808726</v>
      </c>
      <c r="K48" s="99" t="n">
        <f aca="false">J48*E48</f>
        <v>131829.928619541</v>
      </c>
      <c r="L48" s="99" t="n">
        <f aca="false">J48+K48</f>
        <v>4043697.2467068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4043697.2467068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4043697.2467068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4043697.2467068</v>
      </c>
      <c r="K49" s="99" t="n">
        <f aca="false">J49*E49</f>
        <v>181966.376101806</v>
      </c>
      <c r="L49" s="99" t="n">
        <f aca="false">J49+K49</f>
        <v>4225663.6228086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4225663.6228086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4225663.6228086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4225663.6228086</v>
      </c>
      <c r="K50" s="99" t="n">
        <f aca="false">J50*E50</f>
        <v>464822.998508946</v>
      </c>
      <c r="L50" s="99" t="n">
        <f aca="false">J50+K50</f>
        <v>4690486.62131755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4690486.62131755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4690486.62131755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4690486.62131755</v>
      </c>
      <c r="K51" s="99" t="n">
        <f aca="false">J51*E51</f>
        <v>410417.579365285</v>
      </c>
      <c r="L51" s="99" t="n">
        <f aca="false">J51+K51</f>
        <v>5100904.20068283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5100904.20068283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5100904.20068283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5100904.20068283</v>
      </c>
      <c r="K52" s="99" t="n">
        <f aca="false">J52*E52</f>
        <v>-238212.226171888</v>
      </c>
      <c r="L52" s="99" t="n">
        <f aca="false">J52+K52</f>
        <v>4862691.97451095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4862691.97451095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4862691.97451095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4862691.97451095</v>
      </c>
      <c r="K53" s="99" t="n">
        <f aca="false">J53*E53</f>
        <v>-344278.591795375</v>
      </c>
      <c r="L53" s="99" t="n">
        <f aca="false">J53+K53</f>
        <v>4518413.38271557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4518413.38271557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4518413.38271557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4518413.38271557</v>
      </c>
      <c r="K54" s="99" t="n">
        <f aca="false">J54*E54</f>
        <v>-609082.123990059</v>
      </c>
      <c r="L54" s="99" t="n">
        <f aca="false">J54+K54</f>
        <v>3909331.25872551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3909331.25872551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3909331.25872551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38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Roth 401k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Roth 401k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30000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>Roth</v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0.03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189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Roth 401k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0.0547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109400</v>
      </c>
      <c r="L17" s="99" t="n">
        <f aca="false">J17+K17</f>
        <v>2109400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2109400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30000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43500</v>
      </c>
      <c r="W17" s="99" t="n">
        <f aca="false">MIN(R17,T17)</f>
        <v>22500</v>
      </c>
      <c r="X17" s="99" t="n">
        <f aca="false">MIN(U17,R17-W17)</f>
        <v>2500</v>
      </c>
      <c r="Y17" s="99" t="n">
        <f aca="false">MIN(S17,V17)</f>
        <v>30000</v>
      </c>
      <c r="Z17" s="99" t="n">
        <f aca="false">W17+X17+Y17</f>
        <v>55000</v>
      </c>
      <c r="AA17" s="100" t="n">
        <f aca="false">Q17+Z17</f>
        <v>2164400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0.0287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2164400</v>
      </c>
      <c r="K18" s="99" t="n">
        <f aca="false">J18*E18</f>
        <v>62118.28</v>
      </c>
      <c r="L18" s="99" t="n">
        <f aca="false">J18+K18</f>
        <v>2226518.28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2226518.28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30000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44587.5</v>
      </c>
      <c r="W18" s="99" t="n">
        <f aca="false">MIN(R18,T18)</f>
        <v>23062.5</v>
      </c>
      <c r="X18" s="99" t="n">
        <f aca="false">MIN(U18,R18-W18)</f>
        <v>1937.5</v>
      </c>
      <c r="Y18" s="99" t="n">
        <f aca="false">MIN(S18,V18)</f>
        <v>30000</v>
      </c>
      <c r="Z18" s="99" t="n">
        <f aca="false">W18+X18+Y18</f>
        <v>55000</v>
      </c>
      <c r="AA18" s="100" t="n">
        <f aca="false">Q18+W18+X18+Y18</f>
        <v>2281518.28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0.0128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2281518.28</v>
      </c>
      <c r="K19" s="99" t="n">
        <f aca="false">J19*E19</f>
        <v>29203.433984</v>
      </c>
      <c r="L19" s="99" t="n">
        <f aca="false">J19+K19</f>
        <v>2310721.713984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2310721.713984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30000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45702.1875</v>
      </c>
      <c r="W19" s="99" t="n">
        <f aca="false">MIN(R19,T19)</f>
        <v>23639.0625</v>
      </c>
      <c r="X19" s="99" t="n">
        <f aca="false">MIN(U19,R19-W19)</f>
        <v>1360.9375</v>
      </c>
      <c r="Y19" s="99" t="n">
        <f aca="false">MIN(S19,V19)</f>
        <v>30000</v>
      </c>
      <c r="Z19" s="99" t="n">
        <f aca="false">W19+X19+Y19</f>
        <v>55000</v>
      </c>
      <c r="AA19" s="100" t="n">
        <f aca="false">Q19+W19+X19+Y19</f>
        <v>2365721.713984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0.066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2365721.713984</v>
      </c>
      <c r="K20" s="99" t="n">
        <f aca="false">J20*E20</f>
        <v>156137.633122944</v>
      </c>
      <c r="L20" s="99" t="n">
        <f aca="false">J20+K20</f>
        <v>2521859.34710694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2521859.34710694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30000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46844.7421875</v>
      </c>
      <c r="W20" s="99" t="n">
        <f aca="false">MIN(R20,T20)</f>
        <v>24230.0390625</v>
      </c>
      <c r="X20" s="99" t="n">
        <f aca="false">MIN(U20,R20-W20)</f>
        <v>769.960937500007</v>
      </c>
      <c r="Y20" s="99" t="n">
        <f aca="false">MIN(S20,V20)</f>
        <v>30000</v>
      </c>
      <c r="Z20" s="99" t="n">
        <f aca="false">W20+X20+Y20</f>
        <v>55000</v>
      </c>
      <c r="AA20" s="100" t="n">
        <f aca="false">Q20+W20+X20+Y20</f>
        <v>2576859.34710694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0.0481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2576859.34710694</v>
      </c>
      <c r="K21" s="99" t="n">
        <f aca="false">J21*E21</f>
        <v>123946.934595844</v>
      </c>
      <c r="L21" s="99" t="n">
        <f aca="false">J21+K21</f>
        <v>2700806.28170279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2590424.99264029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2590424.99264029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0.0491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2590424.99264029</v>
      </c>
      <c r="K22" s="99" t="n">
        <f aca="false">J22*E22</f>
        <v>127189.867138638</v>
      </c>
      <c r="L22" s="99" t="n">
        <f aca="false">J22+K22</f>
        <v>2717614.85977893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2604474.03848986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2604474.03848986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0.0605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2604474.03848986</v>
      </c>
      <c r="K23" s="99" t="n">
        <f aca="false">J23*E23</f>
        <v>157570.679328637</v>
      </c>
      <c r="L23" s="99" t="n">
        <f aca="false">J23+K23</f>
        <v>2762044.7178185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2646075.37599721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2646075.37599721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-0.0295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2646075.37599721</v>
      </c>
      <c r="K24" s="99" t="n">
        <f aca="false">J24*E24</f>
        <v>-78059.2235919177</v>
      </c>
      <c r="L24" s="99" t="n">
        <f aca="false">J24+K24</f>
        <v>2568016.15240529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2449147.57703847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2449147.57703847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0.0073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2449147.57703847</v>
      </c>
      <c r="K25" s="99" t="n">
        <f aca="false">J25*E25</f>
        <v>17878.7773123808</v>
      </c>
      <c r="L25" s="99" t="n">
        <f aca="false">J25+K25</f>
        <v>2467026.35435085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2345186.06459986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2345186.06459986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0.0385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2345186.06459986</v>
      </c>
      <c r="K26" s="99" t="n">
        <f aca="false">J26*E26</f>
        <v>90289.6634870946</v>
      </c>
      <c r="L26" s="99" t="n">
        <f aca="false">J26+K26</f>
        <v>2435475.72808695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2310589.43109219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2310589.43109219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0.0643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2310589.43109219</v>
      </c>
      <c r="K27" s="99" t="n">
        <f aca="false">J27*E27</f>
        <v>148570.900419228</v>
      </c>
      <c r="L27" s="99" t="n">
        <f aca="false">J27+K27</f>
        <v>2459160.33151142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2331151.87709178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2331151.87709178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0.039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2331151.87709178</v>
      </c>
      <c r="K28" s="99" t="n">
        <f aca="false">J28*E28</f>
        <v>90914.9232065794</v>
      </c>
      <c r="L28" s="99" t="n">
        <f aca="false">J28+K28</f>
        <v>2422066.80029836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2290858.13451823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2290858.13451823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0.048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2290858.13451823</v>
      </c>
      <c r="K29" s="99" t="n">
        <f aca="false">J29*E29</f>
        <v>109961.190456875</v>
      </c>
      <c r="L29" s="99" t="n">
        <f aca="false">J29+K29</f>
        <v>2400819.32497511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2266330.44255048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2266330.44255048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0.0187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2266330.44255048</v>
      </c>
      <c r="K30" s="99" t="n">
        <f aca="false">J30*E30</f>
        <v>42380.379275694</v>
      </c>
      <c r="L30" s="99" t="n">
        <f aca="false">J30+K30</f>
        <v>2308710.82182617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2170859.71734093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2170859.71734093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0.0338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2170859.71734093</v>
      </c>
      <c r="K31" s="99" t="n">
        <f aca="false">J31*E31</f>
        <v>73375.0584461233</v>
      </c>
      <c r="L31" s="99" t="n">
        <f aca="false">J31+K31</f>
        <v>2244234.77578705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2102937.39368967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2102937.39368967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0.0163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2102937.39368967</v>
      </c>
      <c r="K32" s="99" t="n">
        <f aca="false">J32*E32</f>
        <v>34277.8795171417</v>
      </c>
      <c r="L32" s="99" t="n">
        <f aca="false">J32+K32</f>
        <v>2137215.27320682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1992385.456557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1992385.456557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0.0988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1992385.456557</v>
      </c>
      <c r="K33" s="99" t="n">
        <f aca="false">J33*E33</f>
        <v>196847.683107832</v>
      </c>
      <c r="L33" s="99" t="n">
        <f aca="false">J33+K33</f>
        <v>2189233.13966484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2040782.57759878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2040782.57759878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-0.0405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2040782.57759878</v>
      </c>
      <c r="K34" s="99" t="n">
        <f aca="false">J34*E34</f>
        <v>-82651.6943927506</v>
      </c>
      <c r="L34" s="99" t="n">
        <f aca="false">J34+K34</f>
        <v>1958130.88320603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1805969.05708832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1805969.05708832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0.0796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1805969.05708832</v>
      </c>
      <c r="K35" s="99" t="n">
        <f aca="false">J35*E35</f>
        <v>143755.13694423</v>
      </c>
      <c r="L35" s="99" t="n">
        <f aca="false">J35+K35</f>
        <v>1949724.19403255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1793758.3222619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1793758.3222619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0.0275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1793758.3222619</v>
      </c>
      <c r="K36" s="99" t="n">
        <f aca="false">J36*E36</f>
        <v>49328.3538622023</v>
      </c>
      <c r="L36" s="99" t="n">
        <f aca="false">J36+K36</f>
        <v>1843086.6761241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1683221.65755919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1683221.65755919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0.0542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1683221.65755919</v>
      </c>
      <c r="K37" s="99" t="n">
        <f aca="false">J37*E37</f>
        <v>91230.613839708</v>
      </c>
      <c r="L37" s="99" t="n">
        <f aca="false">J37+K37</f>
        <v>1774452.2713989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1610590.62736986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1610590.62736986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0.0406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1610590.62736986</v>
      </c>
      <c r="K38" s="99" t="n">
        <f aca="false">J38*E38</f>
        <v>65389.9794712162</v>
      </c>
      <c r="L38" s="99" t="n">
        <f aca="false">J38+K38</f>
        <v>1675980.60684107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1508022.42171131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1508022.42171131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0.032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1508022.42171131</v>
      </c>
      <c r="K39" s="99" t="n">
        <f aca="false">J39*E39</f>
        <v>48256.7174947618</v>
      </c>
      <c r="L39" s="99" t="n">
        <f aca="false">J39+K39</f>
        <v>1556279.13920607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1384121.99944806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1384121.99944806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0.0445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1384121.99944806</v>
      </c>
      <c r="K40" s="99" t="n">
        <f aca="false">J40*E40</f>
        <v>61593.4289754387</v>
      </c>
      <c r="L40" s="99" t="n">
        <f aca="false">J40+K40</f>
        <v>1445715.4284235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1269254.36017154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1269254.36017154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0.039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1269254.36017154</v>
      </c>
      <c r="K41" s="99" t="n">
        <f aca="false">J41*E41</f>
        <v>49500.92004669</v>
      </c>
      <c r="L41" s="99" t="n">
        <f aca="false">J41+K41</f>
        <v>1318755.28021823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1137882.68525997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1137882.68525997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-0.021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1137882.68525997</v>
      </c>
      <c r="K42" s="99" t="n">
        <f aca="false">J42*E42</f>
        <v>-23895.5363904594</v>
      </c>
      <c r="L42" s="99" t="n">
        <f aca="false">J42+K42</f>
        <v>1113987.14886951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928592.739037295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928592.739037295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0.048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928592.739037295</v>
      </c>
      <c r="K43" s="99" t="n">
        <f aca="false">J43*E43</f>
        <v>44572.4514737902</v>
      </c>
      <c r="L43" s="99" t="n">
        <f aca="false">J43+K43</f>
        <v>973165.190511086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783135.920433065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783135.920433065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0.0325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783135.920433065</v>
      </c>
      <c r="K44" s="99" t="n">
        <f aca="false">J44*E44</f>
        <v>25451.9174140746</v>
      </c>
      <c r="L44" s="99" t="n">
        <f aca="false">J44+K44</f>
        <v>808587.83784714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613807.836017169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613807.836017169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0.0475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613807.836017169</v>
      </c>
      <c r="K45" s="99" t="n">
        <f aca="false">J45*E45</f>
        <v>29155.8722108155</v>
      </c>
      <c r="L45" s="99" t="n">
        <f aca="false">J45+K45</f>
        <v>642963.708227984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443314.206352264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443314.206352264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0.0226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443314.206352264</v>
      </c>
      <c r="K46" s="99" t="n">
        <f aca="false">J46*E46</f>
        <v>10018.9010635612</v>
      </c>
      <c r="L46" s="99" t="n">
        <f aca="false">J46+K46</f>
        <v>453333.107415825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248692.367993212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248692.367993212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0.0551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248692.367993212</v>
      </c>
      <c r="K47" s="99" t="n">
        <f aca="false">J47*E47</f>
        <v>13702.949476426</v>
      </c>
      <c r="L47" s="99" t="n">
        <f aca="false">J47+K47</f>
        <v>262395.317469638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262395.317469638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262395.317469638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0.0202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262395.317469638</v>
      </c>
      <c r="K48" s="99" t="n">
        <f aca="false">J48*E48</f>
        <v>5300.38541288668</v>
      </c>
      <c r="L48" s="99" t="n">
        <f aca="false">J48+K48</f>
        <v>267695.702882524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267695.702882524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267695.702882524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0.027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267695.702882524</v>
      </c>
      <c r="K49" s="99" t="n">
        <f aca="false">J49*E49</f>
        <v>7227.78397782816</v>
      </c>
      <c r="L49" s="99" t="n">
        <f aca="false">J49+K49</f>
        <v>274923.486860352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274923.486860352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274923.486860352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0.066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274923.486860352</v>
      </c>
      <c r="K50" s="99" t="n">
        <f aca="false">J50*E50</f>
        <v>18144.9501327833</v>
      </c>
      <c r="L50" s="99" t="n">
        <f aca="false">J50+K50</f>
        <v>293068.436993136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293068.436993136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293068.436993136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0.0525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293068.436993136</v>
      </c>
      <c r="K51" s="99" t="n">
        <f aca="false">J51*E51</f>
        <v>15386.0929421396</v>
      </c>
      <c r="L51" s="99" t="n">
        <f aca="false">J51+K51</f>
        <v>308454.529935275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308454.529935275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308454.529935275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-0.028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308454.529935275</v>
      </c>
      <c r="K52" s="99" t="n">
        <f aca="false">J52*E52</f>
        <v>-8636.72683818771</v>
      </c>
      <c r="L52" s="99" t="n">
        <f aca="false">J52+K52</f>
        <v>299817.803097088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299817.803097088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299817.803097088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-0.0425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299817.803097088</v>
      </c>
      <c r="K53" s="99" t="n">
        <f aca="false">J53*E53</f>
        <v>-12742.2566316262</v>
      </c>
      <c r="L53" s="99" t="n">
        <f aca="false">J53+K53</f>
        <v>287075.546465461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287075.546465461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287075.546465461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-0.0809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287075.546465461</v>
      </c>
      <c r="K54" s="99" t="n">
        <f aca="false">J54*E54</f>
        <v>-23224.4117090558</v>
      </c>
      <c r="L54" s="99" t="n">
        <f aca="false">J54+K54</f>
        <v>263851.134756406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263851.134756406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263851.134756406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39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20"/>
    <col collapsed="false" customWidth="true" hidden="false" outlineLevel="0" max="3" min="3" style="0" width="19"/>
    <col collapsed="false" customWidth="true" hidden="false" outlineLevel="0" max="4" min="4" style="0" width="18.5"/>
    <col collapsed="false" customWidth="true" hidden="false" outlineLevel="0" max="7" min="7" style="0" width="8"/>
    <col collapsed="false" customWidth="true" hidden="false" outlineLevel="0" max="8" min="8" style="0" width="12.67"/>
  </cols>
  <sheetData>
    <row r="1" customFormat="false" ht="31.5" hidden="false" customHeight="true" outlineLevel="0" collapsed="false">
      <c r="A1" s="119" t="s">
        <v>117</v>
      </c>
      <c r="G1" s="120" t="s">
        <v>118</v>
      </c>
      <c r="H1" s="120"/>
    </row>
    <row r="2" customFormat="false" ht="28.5" hidden="false" customHeight="false" outlineLevel="0" collapsed="false">
      <c r="B2" s="121" t="n">
        <v>2023</v>
      </c>
      <c r="C2" s="61"/>
      <c r="D2" s="61"/>
      <c r="G2" s="122" t="s">
        <v>119</v>
      </c>
      <c r="H2" s="122" t="s">
        <v>120</v>
      </c>
    </row>
    <row r="3" customFormat="false" ht="15.75" hidden="false" customHeight="false" outlineLevel="0" collapsed="false">
      <c r="A3" s="0" t="s">
        <v>60</v>
      </c>
      <c r="B3" s="123" t="n">
        <v>22500</v>
      </c>
      <c r="C3" s="124"/>
      <c r="D3" s="124"/>
      <c r="G3" s="125" t="n">
        <v>72</v>
      </c>
      <c r="H3" s="125" t="s">
        <v>121</v>
      </c>
    </row>
    <row r="4" customFormat="false" ht="15.75" hidden="false" customHeight="false" outlineLevel="0" collapsed="false">
      <c r="A4" s="0" t="s">
        <v>61</v>
      </c>
      <c r="B4" s="123" t="n">
        <v>7500</v>
      </c>
      <c r="C4" s="124"/>
      <c r="D4" s="124"/>
      <c r="G4" s="125" t="n">
        <v>73</v>
      </c>
      <c r="H4" s="125" t="n">
        <v>26.5</v>
      </c>
    </row>
    <row r="5" customFormat="false" ht="15.75" hidden="false" customHeight="false" outlineLevel="0" collapsed="false">
      <c r="A5" s="0" t="s">
        <v>63</v>
      </c>
      <c r="B5" s="123" t="n">
        <v>66000</v>
      </c>
      <c r="C5" s="124"/>
      <c r="D5" s="124"/>
      <c r="G5" s="125" t="n">
        <v>74</v>
      </c>
      <c r="H5" s="125" t="n">
        <v>25.5</v>
      </c>
    </row>
    <row r="6" customFormat="false" ht="15.75" hidden="false" customHeight="false" outlineLevel="0" collapsed="false">
      <c r="A6" s="0" t="s">
        <v>65</v>
      </c>
      <c r="B6" s="123" t="n">
        <v>22500</v>
      </c>
      <c r="G6" s="125" t="n">
        <v>75</v>
      </c>
      <c r="H6" s="125" t="n">
        <v>24.6</v>
      </c>
    </row>
    <row r="7" customFormat="false" ht="15.75" hidden="false" customHeight="false" outlineLevel="0" collapsed="false">
      <c r="A7" s="0" t="s">
        <v>67</v>
      </c>
      <c r="B7" s="123" t="n">
        <v>15500</v>
      </c>
      <c r="G7" s="125" t="n">
        <v>76</v>
      </c>
      <c r="H7" s="125" t="n">
        <v>23.7</v>
      </c>
    </row>
    <row r="8" customFormat="false" ht="15.75" hidden="false" customHeight="false" outlineLevel="0" collapsed="false">
      <c r="A8" s="0" t="s">
        <v>69</v>
      </c>
      <c r="B8" s="123" t="n">
        <v>3500</v>
      </c>
      <c r="G8" s="125" t="n">
        <v>77</v>
      </c>
      <c r="H8" s="125" t="n">
        <v>22.9</v>
      </c>
    </row>
    <row r="9" customFormat="false" ht="15.75" hidden="false" customHeight="false" outlineLevel="0" collapsed="false">
      <c r="A9" s="0" t="s">
        <v>70</v>
      </c>
      <c r="B9" s="123" t="n">
        <v>6500</v>
      </c>
      <c r="G9" s="125" t="n">
        <v>78</v>
      </c>
      <c r="H9" s="125" t="n">
        <v>22</v>
      </c>
    </row>
    <row r="10" customFormat="false" ht="15.75" hidden="false" customHeight="false" outlineLevel="0" collapsed="false">
      <c r="A10" s="0" t="s">
        <v>72</v>
      </c>
      <c r="B10" s="126" t="n">
        <v>1000</v>
      </c>
      <c r="G10" s="125" t="n">
        <v>79</v>
      </c>
      <c r="H10" s="125" t="n">
        <v>21.1</v>
      </c>
    </row>
    <row r="11" customFormat="false" ht="15.75" hidden="false" customHeight="false" outlineLevel="0" collapsed="false">
      <c r="A11" s="0" t="s">
        <v>73</v>
      </c>
      <c r="B11" s="123" t="n">
        <v>3850</v>
      </c>
      <c r="G11" s="125" t="n">
        <v>80</v>
      </c>
      <c r="H11" s="125" t="n">
        <v>20.2</v>
      </c>
    </row>
    <row r="12" customFormat="false" ht="15.75" hidden="false" customHeight="false" outlineLevel="0" collapsed="false">
      <c r="A12" s="0" t="s">
        <v>74</v>
      </c>
      <c r="B12" s="123" t="n">
        <v>7750</v>
      </c>
      <c r="G12" s="125" t="n">
        <v>81</v>
      </c>
      <c r="H12" s="125" t="n">
        <v>19.4</v>
      </c>
    </row>
    <row r="13" customFormat="false" ht="15.75" hidden="false" customHeight="false" outlineLevel="0" collapsed="false">
      <c r="A13" s="0" t="s">
        <v>75</v>
      </c>
      <c r="B13" s="126" t="n">
        <v>1000</v>
      </c>
      <c r="G13" s="125" t="n">
        <v>82</v>
      </c>
      <c r="H13" s="125" t="n">
        <v>18.5</v>
      </c>
    </row>
    <row r="14" customFormat="false" ht="15.75" hidden="false" customHeight="false" outlineLevel="0" collapsed="false">
      <c r="G14" s="125" t="n">
        <v>83</v>
      </c>
      <c r="H14" s="125" t="n">
        <v>17.7</v>
      </c>
    </row>
    <row r="15" customFormat="false" ht="15.75" hidden="false" customHeight="false" outlineLevel="0" collapsed="false">
      <c r="G15" s="125" t="n">
        <v>84</v>
      </c>
      <c r="H15" s="125" t="n">
        <v>16.8</v>
      </c>
    </row>
    <row r="16" customFormat="false" ht="15.75" hidden="false" customHeight="false" outlineLevel="0" collapsed="false">
      <c r="G16" s="125" t="n">
        <v>85</v>
      </c>
      <c r="H16" s="125" t="n">
        <v>16</v>
      </c>
    </row>
    <row r="17" customFormat="false" ht="15.75" hidden="false" customHeight="false" outlineLevel="0" collapsed="false">
      <c r="G17" s="125" t="n">
        <v>86</v>
      </c>
      <c r="H17" s="125" t="n">
        <v>15.2</v>
      </c>
    </row>
    <row r="18" customFormat="false" ht="15.75" hidden="false" customHeight="false" outlineLevel="0" collapsed="false">
      <c r="A18" s="10" t="s">
        <v>122</v>
      </c>
      <c r="G18" s="125" t="n">
        <v>87</v>
      </c>
      <c r="H18" s="125" t="n">
        <v>14.4</v>
      </c>
    </row>
    <row r="19" customFormat="false" ht="33.75" hidden="false" customHeight="false" outlineLevel="0" collapsed="false">
      <c r="A19" s="127" t="s">
        <v>13</v>
      </c>
      <c r="B19" s="127" t="s">
        <v>14</v>
      </c>
      <c r="C19" s="127" t="s">
        <v>16</v>
      </c>
      <c r="D19" s="127" t="s">
        <v>23</v>
      </c>
      <c r="G19" s="125" t="n">
        <v>88</v>
      </c>
      <c r="H19" s="125" t="n">
        <v>13.7</v>
      </c>
    </row>
    <row r="20" customFormat="false" ht="15.75" hidden="false" customHeight="false" outlineLevel="0" collapsed="false">
      <c r="A20" s="128" t="s">
        <v>29</v>
      </c>
      <c r="B20" s="128" t="s">
        <v>30</v>
      </c>
      <c r="C20" s="128" t="s">
        <v>32</v>
      </c>
      <c r="D20" s="128" t="s">
        <v>32</v>
      </c>
      <c r="G20" s="125" t="n">
        <v>89</v>
      </c>
      <c r="H20" s="125" t="n">
        <v>12.9</v>
      </c>
    </row>
    <row r="21" customFormat="false" ht="15.75" hidden="false" customHeight="false" outlineLevel="0" collapsed="false">
      <c r="A21" s="128" t="s">
        <v>123</v>
      </c>
      <c r="B21" s="128" t="s">
        <v>37</v>
      </c>
      <c r="C21" s="128" t="s">
        <v>31</v>
      </c>
      <c r="D21" s="128" t="s">
        <v>31</v>
      </c>
      <c r="G21" s="125" t="n">
        <v>90</v>
      </c>
      <c r="H21" s="125" t="n">
        <v>12.2</v>
      </c>
    </row>
    <row r="22" customFormat="false" ht="15.75" hidden="false" customHeight="false" outlineLevel="0" collapsed="false">
      <c r="B22" s="128" t="s">
        <v>38</v>
      </c>
      <c r="C22" s="128" t="s">
        <v>33</v>
      </c>
      <c r="D22" s="128" t="s">
        <v>33</v>
      </c>
      <c r="G22" s="125" t="n">
        <v>91</v>
      </c>
      <c r="H22" s="125" t="n">
        <v>11.5</v>
      </c>
    </row>
    <row r="23" customFormat="false" ht="15.75" hidden="false" customHeight="false" outlineLevel="0" collapsed="false">
      <c r="B23" s="128" t="s">
        <v>43</v>
      </c>
      <c r="C23" s="128" t="s">
        <v>35</v>
      </c>
      <c r="D23" s="128" t="s">
        <v>35</v>
      </c>
      <c r="G23" s="125" t="n">
        <v>92</v>
      </c>
      <c r="H23" s="125" t="n">
        <v>10.8</v>
      </c>
    </row>
    <row r="24" customFormat="false" ht="15.75" hidden="false" customHeight="false" outlineLevel="0" collapsed="false">
      <c r="B24" s="128" t="s">
        <v>40</v>
      </c>
      <c r="C24" s="128" t="s">
        <v>36</v>
      </c>
      <c r="D24" s="128" t="s">
        <v>36</v>
      </c>
      <c r="G24" s="125" t="n">
        <v>93</v>
      </c>
      <c r="H24" s="125" t="n">
        <v>10.1</v>
      </c>
    </row>
    <row r="25" customFormat="false" ht="15.75" hidden="false" customHeight="false" outlineLevel="0" collapsed="false">
      <c r="B25" s="128" t="s">
        <v>50</v>
      </c>
      <c r="D25" s="128" t="s">
        <v>39</v>
      </c>
      <c r="G25" s="125" t="n">
        <v>94</v>
      </c>
      <c r="H25" s="125" t="n">
        <v>9.5</v>
      </c>
    </row>
    <row r="26" customFormat="false" ht="15.75" hidden="false" customHeight="false" outlineLevel="0" collapsed="false">
      <c r="B26" s="128" t="s">
        <v>41</v>
      </c>
      <c r="G26" s="125" t="n">
        <v>95</v>
      </c>
      <c r="H26" s="125" t="n">
        <v>8.9</v>
      </c>
    </row>
    <row r="27" customFormat="false" ht="15.75" hidden="false" customHeight="false" outlineLevel="0" collapsed="false">
      <c r="B27" s="128" t="s">
        <v>51</v>
      </c>
      <c r="G27" s="125" t="n">
        <v>96</v>
      </c>
      <c r="H27" s="125" t="n">
        <v>8.4</v>
      </c>
    </row>
    <row r="28" customFormat="false" ht="15.75" hidden="false" customHeight="false" outlineLevel="0" collapsed="false">
      <c r="B28" s="128" t="s">
        <v>48</v>
      </c>
      <c r="G28" s="125" t="n">
        <v>97</v>
      </c>
      <c r="H28" s="125" t="n">
        <v>7.8</v>
      </c>
    </row>
    <row r="29" customFormat="false" ht="15.75" hidden="false" customHeight="false" outlineLevel="0" collapsed="false">
      <c r="B29" s="128" t="s">
        <v>53</v>
      </c>
      <c r="G29" s="125" t="n">
        <v>98</v>
      </c>
      <c r="H29" s="125" t="n">
        <v>7.3</v>
      </c>
    </row>
    <row r="30" customFormat="false" ht="15.75" hidden="false" customHeight="false" outlineLevel="0" collapsed="false">
      <c r="B30" s="128" t="s">
        <v>47</v>
      </c>
      <c r="G30" s="125" t="n">
        <v>99</v>
      </c>
      <c r="H30" s="125" t="n">
        <v>6.8</v>
      </c>
    </row>
    <row r="31" customFormat="false" ht="15.75" hidden="false" customHeight="false" outlineLevel="0" collapsed="false">
      <c r="B31" s="128" t="s">
        <v>52</v>
      </c>
      <c r="G31" s="125" t="n">
        <v>100</v>
      </c>
      <c r="H31" s="125" t="n">
        <v>6.4</v>
      </c>
    </row>
    <row r="32" customFormat="false" ht="15.75" hidden="false" customHeight="false" outlineLevel="0" collapsed="false">
      <c r="B32" s="128" t="s">
        <v>49</v>
      </c>
      <c r="G32" s="125" t="n">
        <v>101</v>
      </c>
      <c r="H32" s="125" t="n">
        <v>6</v>
      </c>
    </row>
    <row r="33" customFormat="false" ht="15.75" hidden="false" customHeight="false" outlineLevel="0" collapsed="false">
      <c r="B33" s="128" t="s">
        <v>46</v>
      </c>
      <c r="G33" s="125" t="n">
        <v>102</v>
      </c>
      <c r="H33" s="125" t="n">
        <v>5.6</v>
      </c>
    </row>
    <row r="34" customFormat="false" ht="15.75" hidden="false" customHeight="false" outlineLevel="0" collapsed="false">
      <c r="B34" s="128" t="s">
        <v>44</v>
      </c>
      <c r="G34" s="125" t="n">
        <v>103</v>
      </c>
      <c r="H34" s="125" t="n">
        <v>5.2</v>
      </c>
    </row>
    <row r="35" customFormat="false" ht="15.75" hidden="false" customHeight="false" outlineLevel="0" collapsed="false">
      <c r="B35" s="128" t="s">
        <v>42</v>
      </c>
      <c r="G35" s="125" t="n">
        <v>104</v>
      </c>
      <c r="H35" s="125" t="n">
        <v>4.9</v>
      </c>
    </row>
    <row r="36" customFormat="false" ht="15.75" hidden="false" customHeight="false" outlineLevel="0" collapsed="false">
      <c r="B36" s="128" t="s">
        <v>45</v>
      </c>
      <c r="G36" s="125" t="n">
        <v>105</v>
      </c>
      <c r="H36" s="125" t="n">
        <v>4.6</v>
      </c>
    </row>
    <row r="37" customFormat="false" ht="15.75" hidden="false" customHeight="false" outlineLevel="0" collapsed="false">
      <c r="G37" s="125" t="n">
        <v>106</v>
      </c>
      <c r="H37" s="125" t="n">
        <v>4.3</v>
      </c>
    </row>
    <row r="38" customFormat="false" ht="15.75" hidden="false" customHeight="false" outlineLevel="0" collapsed="false">
      <c r="G38" s="125" t="n">
        <v>107</v>
      </c>
      <c r="H38" s="125" t="n">
        <v>4.1</v>
      </c>
    </row>
    <row r="39" customFormat="false" ht="15.75" hidden="false" customHeight="false" outlineLevel="0" collapsed="false">
      <c r="G39" s="125" t="n">
        <v>108</v>
      </c>
      <c r="H39" s="125" t="n">
        <v>3.9</v>
      </c>
    </row>
    <row r="40" customFormat="false" ht="15.75" hidden="false" customHeight="false" outlineLevel="0" collapsed="false">
      <c r="G40" s="125" t="n">
        <v>109</v>
      </c>
      <c r="H40" s="125" t="n">
        <v>3.7</v>
      </c>
    </row>
    <row r="41" customFormat="false" ht="15.75" hidden="false" customHeight="false" outlineLevel="0" collapsed="false">
      <c r="G41" s="125" t="n">
        <v>110</v>
      </c>
      <c r="H41" s="125" t="n">
        <v>3.5</v>
      </c>
    </row>
    <row r="42" customFormat="false" ht="15.75" hidden="false" customHeight="false" outlineLevel="0" collapsed="false">
      <c r="G42" s="125" t="n">
        <v>111</v>
      </c>
      <c r="H42" s="125" t="n">
        <v>3.4</v>
      </c>
    </row>
    <row r="43" customFormat="false" ht="15.75" hidden="false" customHeight="false" outlineLevel="0" collapsed="false">
      <c r="G43" s="125" t="n">
        <v>112</v>
      </c>
      <c r="H43" s="125" t="n">
        <v>3.3</v>
      </c>
    </row>
    <row r="44" customFormat="false" ht="15.75" hidden="false" customHeight="false" outlineLevel="0" collapsed="false">
      <c r="G44" s="125" t="n">
        <v>113</v>
      </c>
      <c r="H44" s="125" t="n">
        <v>3.1</v>
      </c>
    </row>
    <row r="45" customFormat="false" ht="15.75" hidden="false" customHeight="false" outlineLevel="0" collapsed="false">
      <c r="G45" s="125" t="n">
        <v>114</v>
      </c>
      <c r="H45" s="125" t="n">
        <v>3</v>
      </c>
    </row>
    <row r="46" customFormat="false" ht="15.75" hidden="false" customHeight="false" outlineLevel="0" collapsed="false">
      <c r="G46" s="125" t="n">
        <v>115</v>
      </c>
      <c r="H46" s="125" t="n">
        <v>2.9</v>
      </c>
    </row>
    <row r="47" customFormat="false" ht="15.75" hidden="false" customHeight="false" outlineLevel="0" collapsed="false">
      <c r="G47" s="125" t="n">
        <f aca="false">G46+1</f>
        <v>116</v>
      </c>
      <c r="H47" s="125" t="n">
        <v>2.8</v>
      </c>
    </row>
    <row r="48" customFormat="false" ht="15.75" hidden="false" customHeight="false" outlineLevel="0" collapsed="false">
      <c r="G48" s="125" t="n">
        <f aca="false">G47+1</f>
        <v>117</v>
      </c>
      <c r="H48" s="125" t="n">
        <v>2.7</v>
      </c>
    </row>
    <row r="49" customFormat="false" ht="15.75" hidden="false" customHeight="false" outlineLevel="0" collapsed="false">
      <c r="G49" s="125" t="n">
        <f aca="false">G48+1</f>
        <v>118</v>
      </c>
      <c r="H49" s="125" t="n">
        <v>2.5</v>
      </c>
    </row>
    <row r="50" customFormat="false" ht="15.75" hidden="false" customHeight="false" outlineLevel="0" collapsed="false">
      <c r="G50" s="125" t="n">
        <f aca="false">G49+1</f>
        <v>119</v>
      </c>
      <c r="H50" s="125" t="n">
        <v>2.3</v>
      </c>
    </row>
    <row r="51" customFormat="false" ht="15.75" hidden="false" customHeight="false" outlineLevel="0" collapsed="false">
      <c r="G51" s="125" t="n">
        <f aca="false">G50+1</f>
        <v>120</v>
      </c>
      <c r="H51" s="125" t="n">
        <v>2</v>
      </c>
    </row>
  </sheetData>
  <mergeCells count="1">
    <mergeCell ref="G1:H1"/>
  </mergeCells>
  <dataValidations count="1">
    <dataValidation allowBlank="true" errorStyle="stop" operator="between" showDropDown="false" showErrorMessage="true" showInputMessage="true" sqref="B20" type="list">
      <formula1>"IRA,Roth IRA,401k,Roth 401k,401(a),403(b),Roth 403(b),457(b),Roth 457(b),Profit Sharing,ORP,SEP,SIMPLE,Health Savings Account,Other"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% of Salary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Roth 401k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Roth 401k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>Roth</v>
      </c>
      <c r="G4" s="66" t="s">
        <v>25</v>
      </c>
      <c r="H4" s="67" t="n">
        <f aca="false">VLOOKUP($A$14,Scenarios!$A:$CE,HLOOKUP(G4,Scenarios!$1:$2,2,FALSE()),FALSE())</f>
        <v>0.05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0.03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190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Roth 401k with % of Salary / % of Salary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0.0547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109400</v>
      </c>
      <c r="L17" s="99" t="n">
        <f aca="false">J17+K17</f>
        <v>2109400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2109400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61000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5000</v>
      </c>
      <c r="Z17" s="99" t="n">
        <f aca="false">W17+X17+Y17</f>
        <v>10000</v>
      </c>
      <c r="AA17" s="100" t="n">
        <f aca="false">Q17+Z17</f>
        <v>2119400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0.0287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2119400</v>
      </c>
      <c r="K18" s="99" t="n">
        <f aca="false">J18*E18</f>
        <v>60826.78</v>
      </c>
      <c r="L18" s="99" t="n">
        <f aca="false">J18+K18</f>
        <v>2180226.78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2180226.78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62550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5100</v>
      </c>
      <c r="Z18" s="99" t="n">
        <f aca="false">W18+X18+Y18</f>
        <v>10200</v>
      </c>
      <c r="AA18" s="100" t="n">
        <f aca="false">Q18+W18+X18+Y18</f>
        <v>2190426.78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0.0128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2190426.78</v>
      </c>
      <c r="K19" s="99" t="n">
        <f aca="false">J19*E19</f>
        <v>28037.462784</v>
      </c>
      <c r="L19" s="99" t="n">
        <f aca="false">J19+K19</f>
        <v>2218464.242784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2218464.242784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64139.25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5202</v>
      </c>
      <c r="Z19" s="99" t="n">
        <f aca="false">W19+X19+Y19</f>
        <v>10404</v>
      </c>
      <c r="AA19" s="100" t="n">
        <f aca="false">Q19+W19+X19+Y19</f>
        <v>2228868.242784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0.066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2228868.242784</v>
      </c>
      <c r="K20" s="99" t="n">
        <f aca="false">J20*E20</f>
        <v>147105.304023744</v>
      </c>
      <c r="L20" s="99" t="n">
        <f aca="false">J20+K20</f>
        <v>2375973.54680774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2375973.54680774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65768.74125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5306.04</v>
      </c>
      <c r="Z20" s="99" t="n">
        <f aca="false">W20+X20+Y20</f>
        <v>10612.08</v>
      </c>
      <c r="AA20" s="100" t="n">
        <f aca="false">Q20+W20+X20+Y20</f>
        <v>2386585.62680774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0.0481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2386585.62680774</v>
      </c>
      <c r="K21" s="99" t="n">
        <f aca="false">J21*E21</f>
        <v>114794.768649452</v>
      </c>
      <c r="L21" s="99" t="n">
        <f aca="false">J21+K21</f>
        <v>2501380.3954572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2390999.1063947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2390999.1063947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0.0491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2390999.1063947</v>
      </c>
      <c r="K22" s="99" t="n">
        <f aca="false">J22*E22</f>
        <v>117398.05612398</v>
      </c>
      <c r="L22" s="99" t="n">
        <f aca="false">J22+K22</f>
        <v>2508397.16251868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2395256.34122961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2395256.34122961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0.0605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2395256.34122961</v>
      </c>
      <c r="K23" s="99" t="n">
        <f aca="false">J23*E23</f>
        <v>144913.008644392</v>
      </c>
      <c r="L23" s="99" t="n">
        <f aca="false">J23+K23</f>
        <v>2540169.349874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2424200.00805272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2424200.00805272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-0.0295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2424200.00805272</v>
      </c>
      <c r="K24" s="99" t="n">
        <f aca="false">J24*E24</f>
        <v>-71513.9002375551</v>
      </c>
      <c r="L24" s="99" t="n">
        <f aca="false">J24+K24</f>
        <v>2352686.10781516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2233817.53244834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2233817.53244834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0.0073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2233817.53244834</v>
      </c>
      <c r="K25" s="99" t="n">
        <f aca="false">J25*E25</f>
        <v>16306.8679868729</v>
      </c>
      <c r="L25" s="99" t="n">
        <f aca="false">J25+K25</f>
        <v>2250124.40043521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2128284.11068422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2128284.11068422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0.0385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2128284.11068422</v>
      </c>
      <c r="K26" s="99" t="n">
        <f aca="false">J26*E26</f>
        <v>81938.9382613425</v>
      </c>
      <c r="L26" s="99" t="n">
        <f aca="false">J26+K26</f>
        <v>2210223.04894556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2085336.7519508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2085336.7519508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0.0643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2085336.7519508</v>
      </c>
      <c r="K27" s="99" t="n">
        <f aca="false">J27*E27</f>
        <v>134087.153150436</v>
      </c>
      <c r="L27" s="99" t="n">
        <f aca="false">J27+K27</f>
        <v>2219423.90510123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2091415.4506816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2091415.4506816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0.039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2091415.4506816</v>
      </c>
      <c r="K28" s="99" t="n">
        <f aca="false">J28*E28</f>
        <v>81565.2025765823</v>
      </c>
      <c r="L28" s="99" t="n">
        <f aca="false">J28+K28</f>
        <v>2172980.65325818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2041771.98747805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2041771.98747805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0.048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2041771.98747805</v>
      </c>
      <c r="K29" s="99" t="n">
        <f aca="false">J29*E29</f>
        <v>98005.0553989466</v>
      </c>
      <c r="L29" s="99" t="n">
        <f aca="false">J29+K29</f>
        <v>2139777.042877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2005288.16045237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2005288.16045237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0.0187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2005288.16045237</v>
      </c>
      <c r="K30" s="99" t="n">
        <f aca="false">J30*E30</f>
        <v>37498.8886004593</v>
      </c>
      <c r="L30" s="99" t="n">
        <f aca="false">J30+K30</f>
        <v>2042787.04905283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1904935.94456758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1904935.94456758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0.0338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1904935.94456758</v>
      </c>
      <c r="K31" s="99" t="n">
        <f aca="false">J31*E31</f>
        <v>64386.8349263843</v>
      </c>
      <c r="L31" s="99" t="n">
        <f aca="false">J31+K31</f>
        <v>1969322.77949397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1828025.39739659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1828025.39739659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0.0163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1828025.39739659</v>
      </c>
      <c r="K32" s="99" t="n">
        <f aca="false">J32*E32</f>
        <v>29796.8139775644</v>
      </c>
      <c r="L32" s="99" t="n">
        <f aca="false">J32+K32</f>
        <v>1857822.21137416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1712992.39472435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1712992.39472435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0.0988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1712992.39472435</v>
      </c>
      <c r="K33" s="99" t="n">
        <f aca="false">J33*E33</f>
        <v>169243.648598765</v>
      </c>
      <c r="L33" s="99" t="n">
        <f aca="false">J33+K33</f>
        <v>1882236.04332311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1733785.48125705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1733785.48125705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-0.0405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1733785.48125705</v>
      </c>
      <c r="K34" s="99" t="n">
        <f aca="false">J34*E34</f>
        <v>-70218.3119909107</v>
      </c>
      <c r="L34" s="99" t="n">
        <f aca="false">J34+K34</f>
        <v>1663567.16926614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1511405.34314844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1511405.34314844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0.0796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1511405.34314844</v>
      </c>
      <c r="K35" s="99" t="n">
        <f aca="false">J35*E35</f>
        <v>120307.865314616</v>
      </c>
      <c r="L35" s="99" t="n">
        <f aca="false">J35+K35</f>
        <v>1631713.20846305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1475747.3366924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1475747.3366924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0.0275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1475747.3366924</v>
      </c>
      <c r="K36" s="99" t="n">
        <f aca="false">J36*E36</f>
        <v>40583.051759041</v>
      </c>
      <c r="L36" s="99" t="n">
        <f aca="false">J36+K36</f>
        <v>1516330.38845144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1356465.36988653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1356465.36988653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0.0542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1356465.36988653</v>
      </c>
      <c r="K37" s="99" t="n">
        <f aca="false">J37*E37</f>
        <v>73520.4230478497</v>
      </c>
      <c r="L37" s="99" t="n">
        <f aca="false">J37+K37</f>
        <v>1429985.79293438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1266124.14890534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1266124.14890534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0.0406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1266124.14890534</v>
      </c>
      <c r="K38" s="99" t="n">
        <f aca="false">J38*E38</f>
        <v>51404.6404455566</v>
      </c>
      <c r="L38" s="99" t="n">
        <f aca="false">J38+K38</f>
        <v>1317528.78935089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1149570.60422113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1149570.60422113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0.032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1149570.60422113</v>
      </c>
      <c r="K39" s="99" t="n">
        <f aca="false">J39*E39</f>
        <v>36786.2593350761</v>
      </c>
      <c r="L39" s="99" t="n">
        <f aca="false">J39+K39</f>
        <v>1186356.8635562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1014199.72379819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1014199.72379819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0.0445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1014199.72379819</v>
      </c>
      <c r="K40" s="99" t="n">
        <f aca="false">J40*E40</f>
        <v>45131.8877090196</v>
      </c>
      <c r="L40" s="99" t="n">
        <f aca="false">J40+K40</f>
        <v>1059331.61150721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882870.543255254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882870.543255254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0.039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882870.543255254</v>
      </c>
      <c r="K41" s="99" t="n">
        <f aca="false">J41*E41</f>
        <v>34431.9511869549</v>
      </c>
      <c r="L41" s="99" t="n">
        <f aca="false">J41+K41</f>
        <v>917302.494442208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736429.89948395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736429.89948395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-0.021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736429.89948395</v>
      </c>
      <c r="K42" s="99" t="n">
        <f aca="false">J42*E42</f>
        <v>-15465.0278891629</v>
      </c>
      <c r="L42" s="99" t="n">
        <f aca="false">J42+K42</f>
        <v>720964.871594787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535570.461762571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535570.461762571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0.048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535570.461762571</v>
      </c>
      <c r="K43" s="99" t="n">
        <f aca="false">J43*E43</f>
        <v>25707.3821646034</v>
      </c>
      <c r="L43" s="99" t="n">
        <f aca="false">J43+K43</f>
        <v>561277.843927175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371248.573849154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371248.573849154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0.0325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371248.573849154</v>
      </c>
      <c r="K44" s="99" t="n">
        <f aca="false">J44*E44</f>
        <v>12065.5786500975</v>
      </c>
      <c r="L44" s="99" t="n">
        <f aca="false">J44+K44</f>
        <v>383314.152499252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188534.150669281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188534.150669281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0.0475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188534.150669281</v>
      </c>
      <c r="K45" s="99" t="n">
        <f aca="false">J45*E45</f>
        <v>8955.37215679084</v>
      </c>
      <c r="L45" s="99" t="n">
        <f aca="false">J45+K45</f>
        <v>197489.522826072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0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0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0.0226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0</v>
      </c>
      <c r="K46" s="99" t="n">
        <f aca="false">J46*E46</f>
        <v>0</v>
      </c>
      <c r="L46" s="99" t="n">
        <f aca="false">J46+K46</f>
        <v>0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0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0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0.0551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0</v>
      </c>
      <c r="K47" s="99" t="n">
        <f aca="false">J47*E47</f>
        <v>0</v>
      </c>
      <c r="L47" s="99" t="n">
        <f aca="false">J47+K47</f>
        <v>0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0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0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0.0202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0</v>
      </c>
      <c r="K48" s="99" t="n">
        <f aca="false">J48*E48</f>
        <v>0</v>
      </c>
      <c r="L48" s="99" t="n">
        <f aca="false">J48+K48</f>
        <v>0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0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0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0.027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0</v>
      </c>
      <c r="K49" s="99" t="n">
        <f aca="false">J49*E49</f>
        <v>0</v>
      </c>
      <c r="L49" s="99" t="n">
        <f aca="false">J49+K49</f>
        <v>0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0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0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0.066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0</v>
      </c>
      <c r="K50" s="99" t="n">
        <f aca="false">J50*E50</f>
        <v>0</v>
      </c>
      <c r="L50" s="99" t="n">
        <f aca="false">J50+K50</f>
        <v>0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0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0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0.0525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0</v>
      </c>
      <c r="K51" s="99" t="n">
        <f aca="false">J51*E51</f>
        <v>0</v>
      </c>
      <c r="L51" s="99" t="n">
        <f aca="false">J51+K51</f>
        <v>0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0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0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-0.028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0</v>
      </c>
      <c r="K52" s="99" t="n">
        <f aca="false">J52*E52</f>
        <v>-0</v>
      </c>
      <c r="L52" s="99" t="n">
        <f aca="false">J52+K52</f>
        <v>0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0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0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-0.0425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0</v>
      </c>
      <c r="K53" s="99" t="n">
        <f aca="false">J53*E53</f>
        <v>-0</v>
      </c>
      <c r="L53" s="99" t="n">
        <f aca="false">J53+K53</f>
        <v>0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0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0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-0.0809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0</v>
      </c>
      <c r="K54" s="99" t="n">
        <f aca="false">J54*E54</f>
        <v>-0</v>
      </c>
      <c r="L54" s="99" t="n">
        <f aca="false">J54+K54</f>
        <v>0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0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0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40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Match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Roth 401k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Roth 401k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>Roth</v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1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0.03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0.08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191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Roth 401k with % of Salary / Match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0.0547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109400</v>
      </c>
      <c r="L17" s="99" t="n">
        <f aca="false">J17+K17</f>
        <v>2109400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2109400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61000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5000</v>
      </c>
      <c r="Z17" s="99" t="n">
        <f aca="false">W17+X17+Y17</f>
        <v>10000</v>
      </c>
      <c r="AA17" s="100" t="n">
        <f aca="false">Q17+Z17</f>
        <v>2119400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0.0287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2119400</v>
      </c>
      <c r="K18" s="99" t="n">
        <f aca="false">J18*E18</f>
        <v>60826.78</v>
      </c>
      <c r="L18" s="99" t="n">
        <f aca="false">J18+K18</f>
        <v>2180226.78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2180226.78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62550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5100</v>
      </c>
      <c r="Z18" s="99" t="n">
        <f aca="false">W18+X18+Y18</f>
        <v>10200</v>
      </c>
      <c r="AA18" s="100" t="n">
        <f aca="false">Q18+W18+X18+Y18</f>
        <v>2190426.78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0.0128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2190426.78</v>
      </c>
      <c r="K19" s="99" t="n">
        <f aca="false">J19*E19</f>
        <v>28037.462784</v>
      </c>
      <c r="L19" s="99" t="n">
        <f aca="false">J19+K19</f>
        <v>2218464.242784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2218464.242784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64139.25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5202</v>
      </c>
      <c r="Z19" s="99" t="n">
        <f aca="false">W19+X19+Y19</f>
        <v>10404</v>
      </c>
      <c r="AA19" s="100" t="n">
        <f aca="false">Q19+W19+X19+Y19</f>
        <v>2228868.242784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0.066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2228868.242784</v>
      </c>
      <c r="K20" s="99" t="n">
        <f aca="false">J20*E20</f>
        <v>147105.304023744</v>
      </c>
      <c r="L20" s="99" t="n">
        <f aca="false">J20+K20</f>
        <v>2375973.54680774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2375973.54680774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65768.74125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5306.04</v>
      </c>
      <c r="Z20" s="99" t="n">
        <f aca="false">W20+X20+Y20</f>
        <v>10612.08</v>
      </c>
      <c r="AA20" s="100" t="n">
        <f aca="false">Q20+W20+X20+Y20</f>
        <v>2386585.62680774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0.0481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2386585.62680774</v>
      </c>
      <c r="K21" s="99" t="n">
        <f aca="false">J21*E21</f>
        <v>114794.768649452</v>
      </c>
      <c r="L21" s="99" t="n">
        <f aca="false">J21+K21</f>
        <v>2501380.3954572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2390999.1063947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2390999.1063947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0.0491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2390999.1063947</v>
      </c>
      <c r="K22" s="99" t="n">
        <f aca="false">J22*E22</f>
        <v>117398.05612398</v>
      </c>
      <c r="L22" s="99" t="n">
        <f aca="false">J22+K22</f>
        <v>2508397.16251868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2395256.34122961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2395256.34122961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0.0605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2395256.34122961</v>
      </c>
      <c r="K23" s="99" t="n">
        <f aca="false">J23*E23</f>
        <v>144913.008644392</v>
      </c>
      <c r="L23" s="99" t="n">
        <f aca="false">J23+K23</f>
        <v>2540169.349874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2424200.00805272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2424200.00805272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-0.0295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2424200.00805272</v>
      </c>
      <c r="K24" s="99" t="n">
        <f aca="false">J24*E24</f>
        <v>-71513.9002375551</v>
      </c>
      <c r="L24" s="99" t="n">
        <f aca="false">J24+K24</f>
        <v>2352686.10781516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2233817.53244834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2233817.53244834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0.0073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2233817.53244834</v>
      </c>
      <c r="K25" s="99" t="n">
        <f aca="false">J25*E25</f>
        <v>16306.8679868729</v>
      </c>
      <c r="L25" s="99" t="n">
        <f aca="false">J25+K25</f>
        <v>2250124.40043521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2128284.11068422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2128284.11068422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0.0385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2128284.11068422</v>
      </c>
      <c r="K26" s="99" t="n">
        <f aca="false">J26*E26</f>
        <v>81938.9382613425</v>
      </c>
      <c r="L26" s="99" t="n">
        <f aca="false">J26+K26</f>
        <v>2210223.04894556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2085336.7519508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2085336.7519508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0.0643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2085336.7519508</v>
      </c>
      <c r="K27" s="99" t="n">
        <f aca="false">J27*E27</f>
        <v>134087.153150436</v>
      </c>
      <c r="L27" s="99" t="n">
        <f aca="false">J27+K27</f>
        <v>2219423.90510123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2091415.4506816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2091415.4506816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0.039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2091415.4506816</v>
      </c>
      <c r="K28" s="99" t="n">
        <f aca="false">J28*E28</f>
        <v>81565.2025765823</v>
      </c>
      <c r="L28" s="99" t="n">
        <f aca="false">J28+K28</f>
        <v>2172980.65325818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2041771.98747805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2041771.98747805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0.048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2041771.98747805</v>
      </c>
      <c r="K29" s="99" t="n">
        <f aca="false">J29*E29</f>
        <v>98005.0553989466</v>
      </c>
      <c r="L29" s="99" t="n">
        <f aca="false">J29+K29</f>
        <v>2139777.042877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2005288.16045237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2005288.16045237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0.0187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2005288.16045237</v>
      </c>
      <c r="K30" s="99" t="n">
        <f aca="false">J30*E30</f>
        <v>37498.8886004593</v>
      </c>
      <c r="L30" s="99" t="n">
        <f aca="false">J30+K30</f>
        <v>2042787.04905283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1904935.94456758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1904935.94456758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0.0338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1904935.94456758</v>
      </c>
      <c r="K31" s="99" t="n">
        <f aca="false">J31*E31</f>
        <v>64386.8349263843</v>
      </c>
      <c r="L31" s="99" t="n">
        <f aca="false">J31+K31</f>
        <v>1969322.77949397</v>
      </c>
      <c r="M31" s="101" t="str">
        <f aca="false">IF(D31="-","-",IF($F$4="Roth","-",IF($E$3="Health Savings Account","-",IF(AND(A31=2033,D31=74),VLOOKUP(D31,Tables!G:H,2,FALSE()),IF(AND(A31&gt;2032,D31&lt;75),"-",IF(D31&lt;73,"-",VLOOKUP(D31,Tables!G:H,2,FALSE())))))))</f>
        <v>-</v>
      </c>
      <c r="N31" s="99" t="n">
        <f aca="false">IF($M31="-",0,J31/$M31)</f>
        <v>0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1828025.39739659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1828025.39739659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0.0163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1828025.39739659</v>
      </c>
      <c r="K32" s="99" t="n">
        <f aca="false">J32*E32</f>
        <v>29796.8139775644</v>
      </c>
      <c r="L32" s="99" t="n">
        <f aca="false">J32+K32</f>
        <v>1857822.21137416</v>
      </c>
      <c r="M32" s="101" t="str">
        <f aca="false">IF(D32="-","-",IF($F$4="Roth","-",IF($E$3="Health Savings Account","-",IF(AND(A32=2033,D32=74),VLOOKUP(D32,Tables!G:H,2,FALSE()),IF(AND(A32&gt;2032,D32&lt;75),"-",IF(D32&lt;73,"-",VLOOKUP(D32,Tables!G:H,2,FALSE())))))))</f>
        <v>-</v>
      </c>
      <c r="N32" s="99" t="n">
        <f aca="false">IF($M32="-",0,J32/$M32)</f>
        <v>0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1712992.39472435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1712992.39472435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0.0988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1712992.39472435</v>
      </c>
      <c r="K33" s="99" t="n">
        <f aca="false">J33*E33</f>
        <v>169243.648598765</v>
      </c>
      <c r="L33" s="99" t="n">
        <f aca="false">J33+K33</f>
        <v>1882236.04332311</v>
      </c>
      <c r="M33" s="101" t="str">
        <f aca="false">IF(D33="-","-",IF($F$4="Roth","-",IF($E$3="Health Savings Account","-",IF(AND(A33=2033,D33=74),VLOOKUP(D33,Tables!G:H,2,FALSE()),IF(AND(A33&gt;2032,D33&lt;75),"-",IF(D33&lt;73,"-",VLOOKUP(D33,Tables!G:H,2,FALSE())))))))</f>
        <v>-</v>
      </c>
      <c r="N33" s="99" t="n">
        <f aca="false">IF($M33="-",0,J33/$M33)</f>
        <v>0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1733785.48125705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1733785.48125705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-0.0405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1733785.48125705</v>
      </c>
      <c r="K34" s="99" t="n">
        <f aca="false">J34*E34</f>
        <v>-70218.3119909107</v>
      </c>
      <c r="L34" s="99" t="n">
        <f aca="false">J34+K34</f>
        <v>1663567.16926614</v>
      </c>
      <c r="M34" s="101" t="str">
        <f aca="false">IF(D34="-","-",IF($F$4="Roth","-",IF($E$3="Health Savings Account","-",IF(AND(A34=2033,D34=74),VLOOKUP(D34,Tables!G:H,2,FALSE()),IF(AND(A34&gt;2032,D34&lt;75),"-",IF(D34&lt;73,"-",VLOOKUP(D34,Tables!G:H,2,FALSE())))))))</f>
        <v>-</v>
      </c>
      <c r="N34" s="99" t="n">
        <f aca="false">IF($M34="-",0,J34/$M34)</f>
        <v>0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1511405.34314844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1511405.34314844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0.0796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1511405.34314844</v>
      </c>
      <c r="K35" s="99" t="n">
        <f aca="false">J35*E35</f>
        <v>120307.865314616</v>
      </c>
      <c r="L35" s="99" t="n">
        <f aca="false">J35+K35</f>
        <v>1631713.20846305</v>
      </c>
      <c r="M35" s="101" t="str">
        <f aca="false">IF(D35="-","-",IF($F$4="Roth","-",IF($E$3="Health Savings Account","-",IF(AND(A35=2033,D35=74),VLOOKUP(D35,Tables!G:H,2,FALSE()),IF(AND(A35&gt;2032,D35&lt;75),"-",IF(D35&lt;73,"-",VLOOKUP(D35,Tables!G:H,2,FALSE())))))))</f>
        <v>-</v>
      </c>
      <c r="N35" s="99" t="n">
        <f aca="false">IF($M35="-",0,J35/$M35)</f>
        <v>0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1475747.3366924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1475747.3366924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0.0275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1475747.3366924</v>
      </c>
      <c r="K36" s="99" t="n">
        <f aca="false">J36*E36</f>
        <v>40583.051759041</v>
      </c>
      <c r="L36" s="99" t="n">
        <f aca="false">J36+K36</f>
        <v>1516330.38845144</v>
      </c>
      <c r="M36" s="101" t="str">
        <f aca="false">IF(D36="-","-",IF($F$4="Roth","-",IF($E$3="Health Savings Account","-",IF(AND(A36=2033,D36=74),VLOOKUP(D36,Tables!G:H,2,FALSE()),IF(AND(A36&gt;2032,D36&lt;75),"-",IF(D36&lt;73,"-",VLOOKUP(D36,Tables!G:H,2,FALSE())))))))</f>
        <v>-</v>
      </c>
      <c r="N36" s="99" t="n">
        <f aca="false">IF($M36="-",0,J36/$M36)</f>
        <v>0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1356465.36988653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1356465.36988653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0.0542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1356465.36988653</v>
      </c>
      <c r="K37" s="99" t="n">
        <f aca="false">J37*E37</f>
        <v>73520.4230478497</v>
      </c>
      <c r="L37" s="99" t="n">
        <f aca="false">J37+K37</f>
        <v>1429985.79293438</v>
      </c>
      <c r="M37" s="101" t="str">
        <f aca="false">IF(D37="-","-",IF($F$4="Roth","-",IF($E$3="Health Savings Account","-",IF(AND(A37=2033,D37=74),VLOOKUP(D37,Tables!G:H,2,FALSE()),IF(AND(A37&gt;2032,D37&lt;75),"-",IF(D37&lt;73,"-",VLOOKUP(D37,Tables!G:H,2,FALSE())))))))</f>
        <v>-</v>
      </c>
      <c r="N37" s="99" t="n">
        <f aca="false">IF($M37="-",0,J37/$M37)</f>
        <v>0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1266124.14890534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1266124.14890534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0.0406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1266124.14890534</v>
      </c>
      <c r="K38" s="99" t="n">
        <f aca="false">J38*E38</f>
        <v>51404.6404455566</v>
      </c>
      <c r="L38" s="99" t="n">
        <f aca="false">J38+K38</f>
        <v>1317528.78935089</v>
      </c>
      <c r="M38" s="101" t="str">
        <f aca="false">IF(D38="-","-",IF($F$4="Roth","-",IF($E$3="Health Savings Account","-",IF(AND(A38=2033,D38=74),VLOOKUP(D38,Tables!G:H,2,FALSE()),IF(AND(A38&gt;2032,D38&lt;75),"-",IF(D38&lt;73,"-",VLOOKUP(D38,Tables!G:H,2,FALSE())))))))</f>
        <v>-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1149570.60422113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1149570.60422113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0.032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1149570.60422113</v>
      </c>
      <c r="K39" s="99" t="n">
        <f aca="false">J39*E39</f>
        <v>36786.2593350761</v>
      </c>
      <c r="L39" s="99" t="n">
        <f aca="false">J39+K39</f>
        <v>1186356.8635562</v>
      </c>
      <c r="M39" s="101" t="str">
        <f aca="false">IF(D39="-","-",IF($F$4="Roth","-",IF($E$3="Health Savings Account","-",IF(AND(A39=2033,D39=74),VLOOKUP(D39,Tables!G:H,2,FALSE()),IF(AND(A39&gt;2032,D39&lt;75),"-",IF(D39&lt;73,"-",VLOOKUP(D39,Tables!G:H,2,FALSE())))))))</f>
        <v>-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1014199.72379819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1014199.72379819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0.0445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1014199.72379819</v>
      </c>
      <c r="K40" s="99" t="n">
        <f aca="false">J40*E40</f>
        <v>45131.8877090196</v>
      </c>
      <c r="L40" s="99" t="n">
        <f aca="false">J40+K40</f>
        <v>1059331.61150721</v>
      </c>
      <c r="M40" s="101" t="str">
        <f aca="false">IF(D40="-","-",IF($F$4="Roth","-",IF($E$3="Health Savings Account","-",IF(AND(A40=2033,D40=74),VLOOKUP(D40,Tables!G:H,2,FALSE()),IF(AND(A40&gt;2032,D40&lt;75),"-",IF(D40&lt;73,"-",VLOOKUP(D40,Tables!G:H,2,FALSE())))))))</f>
        <v>-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882870.543255254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882870.543255254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0.039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882870.543255254</v>
      </c>
      <c r="K41" s="99" t="n">
        <f aca="false">J41*E41</f>
        <v>34431.9511869549</v>
      </c>
      <c r="L41" s="99" t="n">
        <f aca="false">J41+K41</f>
        <v>917302.494442208</v>
      </c>
      <c r="M41" s="101" t="str">
        <f aca="false">IF(D41="-","-",IF($F$4="Roth","-",IF($E$3="Health Savings Account","-",IF(AND(A41=2033,D41=74),VLOOKUP(D41,Tables!G:H,2,FALSE()),IF(AND(A41&gt;2032,D41&lt;75),"-",IF(D41&lt;73,"-",VLOOKUP(D41,Tables!G:H,2,FALSE())))))))</f>
        <v>-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736429.89948395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736429.89948395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-0.021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736429.89948395</v>
      </c>
      <c r="K42" s="99" t="n">
        <f aca="false">J42*E42</f>
        <v>-15465.0278891629</v>
      </c>
      <c r="L42" s="99" t="n">
        <f aca="false">J42+K42</f>
        <v>720964.871594787</v>
      </c>
      <c r="M42" s="101" t="str">
        <f aca="false">IF(D42="-","-",IF($F$4="Roth","-",IF($E$3="Health Savings Account","-",IF(AND(A42=2033,D42=74),VLOOKUP(D42,Tables!G:H,2,FALSE()),IF(AND(A42&gt;2032,D42&lt;75),"-",IF(D42&lt;73,"-",VLOOKUP(D42,Tables!G:H,2,FALSE())))))))</f>
        <v>-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535570.461762571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535570.461762571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0.048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535570.461762571</v>
      </c>
      <c r="K43" s="99" t="n">
        <f aca="false">J43*E43</f>
        <v>25707.3821646034</v>
      </c>
      <c r="L43" s="99" t="n">
        <f aca="false">J43+K43</f>
        <v>561277.843927175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371248.573849154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371248.573849154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0.0325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371248.573849154</v>
      </c>
      <c r="K44" s="99" t="n">
        <f aca="false">J44*E44</f>
        <v>12065.5786500975</v>
      </c>
      <c r="L44" s="99" t="n">
        <f aca="false">J44+K44</f>
        <v>383314.152499252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188534.150669281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188534.150669281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0.0475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188534.150669281</v>
      </c>
      <c r="K45" s="99" t="n">
        <f aca="false">J45*E45</f>
        <v>8955.37215679084</v>
      </c>
      <c r="L45" s="99" t="n">
        <f aca="false">J45+K45</f>
        <v>197489.522826072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0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0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0.0226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0</v>
      </c>
      <c r="K46" s="99" t="n">
        <f aca="false">J46*E46</f>
        <v>0</v>
      </c>
      <c r="L46" s="99" t="n">
        <f aca="false">J46+K46</f>
        <v>0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0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0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0.0551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0</v>
      </c>
      <c r="K47" s="99" t="n">
        <f aca="false">J47*E47</f>
        <v>0</v>
      </c>
      <c r="L47" s="99" t="n">
        <f aca="false">J47+K47</f>
        <v>0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0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0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0.0202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0</v>
      </c>
      <c r="K48" s="99" t="n">
        <f aca="false">J48*E48</f>
        <v>0</v>
      </c>
      <c r="L48" s="99" t="n">
        <f aca="false">J48+K48</f>
        <v>0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0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0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0.027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0</v>
      </c>
      <c r="K49" s="99" t="n">
        <f aca="false">J49*E49</f>
        <v>0</v>
      </c>
      <c r="L49" s="99" t="n">
        <f aca="false">J49+K49</f>
        <v>0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0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0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0.066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0</v>
      </c>
      <c r="K50" s="99" t="n">
        <f aca="false">J50*E50</f>
        <v>0</v>
      </c>
      <c r="L50" s="99" t="n">
        <f aca="false">J50+K50</f>
        <v>0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0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0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0.0525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0</v>
      </c>
      <c r="K51" s="99" t="n">
        <f aca="false">J51*E51</f>
        <v>0</v>
      </c>
      <c r="L51" s="99" t="n">
        <f aca="false">J51+K51</f>
        <v>0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0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0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-0.028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0</v>
      </c>
      <c r="K52" s="99" t="n">
        <f aca="false">J52*E52</f>
        <v>-0</v>
      </c>
      <c r="L52" s="99" t="n">
        <f aca="false">J52+K52</f>
        <v>0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0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0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-0.0425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0</v>
      </c>
      <c r="K53" s="99" t="n">
        <f aca="false">J53*E53</f>
        <v>-0</v>
      </c>
      <c r="L53" s="99" t="n">
        <f aca="false">J53+K53</f>
        <v>0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0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0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-0.0809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0</v>
      </c>
      <c r="K54" s="99" t="n">
        <f aca="false">J54*E54</f>
        <v>-0</v>
      </c>
      <c r="L54" s="99" t="n">
        <f aca="false">J54+K54</f>
        <v>0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0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0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41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ORP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ORP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0.04</v>
      </c>
      <c r="C6" s="57"/>
      <c r="D6" s="64" t="s">
        <v>17</v>
      </c>
      <c r="E6" s="79" t="n">
        <f aca="false">VLOOKUP($A$14,Scenarios!$A:$CE,HLOOKUP(D6,Scenarios!$1:$2,2,FALSE()),FALSE())</f>
        <v>1000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192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ORP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0.0729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145800</v>
      </c>
      <c r="L17" s="99" t="n">
        <f aca="false">J17+K17</f>
        <v>2145800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2145800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1000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99998999</v>
      </c>
      <c r="W17" s="99" t="n">
        <f aca="false">MIN(R17,T17)</f>
        <v>1000</v>
      </c>
      <c r="X17" s="99" t="n">
        <f aca="false">MIN(U17,R17-W17)</f>
        <v>0</v>
      </c>
      <c r="Y17" s="99" t="n">
        <f aca="false">MIN(S17,V17)</f>
        <v>1000</v>
      </c>
      <c r="Z17" s="99" t="n">
        <f aca="false">W17+X17+Y17</f>
        <v>2000</v>
      </c>
      <c r="AA17" s="100" t="n">
        <f aca="false">Q17+Z17</f>
        <v>2147800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0.0383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2147800</v>
      </c>
      <c r="K18" s="99" t="n">
        <f aca="false">J18*E18</f>
        <v>82260.74</v>
      </c>
      <c r="L18" s="99" t="n">
        <f aca="false">J18+K18</f>
        <v>2230060.74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2230060.74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1000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1000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102498998.975</v>
      </c>
      <c r="W18" s="99" t="n">
        <f aca="false">MIN(R18,T18)</f>
        <v>1000</v>
      </c>
      <c r="X18" s="99" t="n">
        <f aca="false">MIN(U18,R18-W18)</f>
        <v>0</v>
      </c>
      <c r="Y18" s="99" t="n">
        <f aca="false">MIN(S18,V18)</f>
        <v>1000</v>
      </c>
      <c r="Z18" s="99" t="n">
        <f aca="false">W18+X18+Y18</f>
        <v>2000</v>
      </c>
      <c r="AA18" s="100" t="n">
        <f aca="false">Q18+W18+X18+Y18</f>
        <v>2232060.74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0.0171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2232060.74</v>
      </c>
      <c r="K19" s="99" t="n">
        <f aca="false">J19*E19</f>
        <v>38168.238654</v>
      </c>
      <c r="L19" s="99" t="n">
        <f aca="false">J19+K19</f>
        <v>2270228.978654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2270228.978654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1000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1000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105061498.949375</v>
      </c>
      <c r="W19" s="99" t="n">
        <f aca="false">MIN(R19,T19)</f>
        <v>1000</v>
      </c>
      <c r="X19" s="99" t="n">
        <f aca="false">MIN(U19,R19-W19)</f>
        <v>0</v>
      </c>
      <c r="Y19" s="99" t="n">
        <f aca="false">MIN(S19,V19)</f>
        <v>1000</v>
      </c>
      <c r="Z19" s="99" t="n">
        <f aca="false">W19+X19+Y19</f>
        <v>2000</v>
      </c>
      <c r="AA19" s="100" t="n">
        <f aca="false">Q19+W19+X19+Y19</f>
        <v>2272228.978654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0.088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2272228.978654</v>
      </c>
      <c r="K20" s="99" t="n">
        <f aca="false">J20*E20</f>
        <v>199956.150121552</v>
      </c>
      <c r="L20" s="99" t="n">
        <f aca="false">J20+K20</f>
        <v>2472185.12877555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2472185.12877555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1000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1000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107688061.423109</v>
      </c>
      <c r="W20" s="99" t="n">
        <f aca="false">MIN(R20,T20)</f>
        <v>1000</v>
      </c>
      <c r="X20" s="99" t="n">
        <f aca="false">MIN(U20,R20-W20)</f>
        <v>0</v>
      </c>
      <c r="Y20" s="99" t="n">
        <f aca="false">MIN(S20,V20)</f>
        <v>1000</v>
      </c>
      <c r="Z20" s="99" t="n">
        <f aca="false">W20+X20+Y20</f>
        <v>2000</v>
      </c>
      <c r="AA20" s="100" t="n">
        <f aca="false">Q20+W20+X20+Y20</f>
        <v>2474185.12877555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0.0641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2474185.12877555</v>
      </c>
      <c r="K21" s="99" t="n">
        <f aca="false">J21*E21</f>
        <v>158595.266754513</v>
      </c>
      <c r="L21" s="99" t="n">
        <f aca="false">J21+K21</f>
        <v>2632780.39553007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2522399.10646757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2522399.10646757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0.0654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2522399.10646757</v>
      </c>
      <c r="K22" s="99" t="n">
        <f aca="false">J22*E22</f>
        <v>164964.901562979</v>
      </c>
      <c r="L22" s="99" t="n">
        <f aca="false">J22+K22</f>
        <v>2687364.00803054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2574223.18674148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2574223.18674148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0.0807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2574223.18674148</v>
      </c>
      <c r="K23" s="99" t="n">
        <f aca="false">J23*E23</f>
        <v>207739.811170038</v>
      </c>
      <c r="L23" s="99" t="n">
        <f aca="false">J23+K23</f>
        <v>2781962.99791152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2665993.65609023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2665993.65609023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-0.0393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2665993.65609023</v>
      </c>
      <c r="K24" s="99" t="n">
        <f aca="false">J24*E24</f>
        <v>-104773.550684346</v>
      </c>
      <c r="L24" s="99" t="n">
        <f aca="false">J24+K24</f>
        <v>2561220.10540588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2442351.53003906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2442351.53003906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0.0098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2442351.53003906</v>
      </c>
      <c r="K25" s="99" t="n">
        <f aca="false">J25*E25</f>
        <v>23935.0449943828</v>
      </c>
      <c r="L25" s="99" t="n">
        <f aca="false">J25+K25</f>
        <v>2466286.57503345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2344446.28528245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2344446.28528245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0.0513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2344446.28528245</v>
      </c>
      <c r="K26" s="99" t="n">
        <f aca="false">J26*E26</f>
        <v>120270.09443499</v>
      </c>
      <c r="L26" s="99" t="n">
        <f aca="false">J26+K26</f>
        <v>2464716.37971744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2339830.08272268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2339830.08272268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0.0857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2339830.08272268</v>
      </c>
      <c r="K27" s="99" t="n">
        <f aca="false">J27*E27</f>
        <v>200523.438089333</v>
      </c>
      <c r="L27" s="99" t="n">
        <f aca="false">J27+K27</f>
        <v>2540353.52081201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2412345.06639238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2412345.06639238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0.0521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2412345.06639238</v>
      </c>
      <c r="K28" s="99" t="n">
        <f aca="false">J28*E28</f>
        <v>125683.177959043</v>
      </c>
      <c r="L28" s="99" t="n">
        <f aca="false">J28+K28</f>
        <v>2538028.24435142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2406819.57857129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2406819.57857129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0.064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2406819.57857129</v>
      </c>
      <c r="K29" s="99" t="n">
        <f aca="false">J29*E29</f>
        <v>154036.453028563</v>
      </c>
      <c r="L29" s="99" t="n">
        <f aca="false">J29+K29</f>
        <v>2560856.03159985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2426367.14917522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2426367.14917522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0.0249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2426367.14917522</v>
      </c>
      <c r="K30" s="99" t="n">
        <f aca="false">J30*E30</f>
        <v>60416.5420144631</v>
      </c>
      <c r="L30" s="99" t="n">
        <f aca="false">J30+K30</f>
        <v>2486783.69118969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2348932.58670444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2348932.58670444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0.0451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2348932.58670444</v>
      </c>
      <c r="K31" s="99" t="n">
        <f aca="false">J31*E31</f>
        <v>105936.85966037</v>
      </c>
      <c r="L31" s="99" t="n">
        <f aca="false">J31+K31</f>
        <v>2454869.44636481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95485.0645001805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2313572.06426743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2313572.06426743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0.0217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2313572.06426743</v>
      </c>
      <c r="K32" s="99" t="n">
        <f aca="false">J32*E32</f>
        <v>50204.5137946034</v>
      </c>
      <c r="L32" s="99" t="n">
        <f aca="false">J32+K32</f>
        <v>2363776.57806204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97619.0744416639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2218946.76141223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2218946.76141223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0.1318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2218946.76141223</v>
      </c>
      <c r="K33" s="99" t="n">
        <f aca="false">J33*E33</f>
        <v>292457.183154132</v>
      </c>
      <c r="L33" s="99" t="n">
        <f aca="false">J33+K33</f>
        <v>2511403.94456636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96897.2384896169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2362953.3825003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2362953.3825003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-0.054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2362953.3825003</v>
      </c>
      <c r="K34" s="99" t="n">
        <f aca="false">J34*E34</f>
        <v>-127599.482655016</v>
      </c>
      <c r="L34" s="99" t="n">
        <f aca="false">J34+K34</f>
        <v>2235353.89984529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107406.971931832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2083192.07372758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2083192.07372758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0.1062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2083192.07372758</v>
      </c>
      <c r="K35" s="99" t="n">
        <f aca="false">J35*E35</f>
        <v>221234.998229869</v>
      </c>
      <c r="L35" s="99" t="n">
        <f aca="false">J35+K35</f>
        <v>2304427.07195745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98729.4821671838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2148461.2001868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2148461.2001868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0.0367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2148461.2001868</v>
      </c>
      <c r="K36" s="99" t="n">
        <f aca="false">J36*E36</f>
        <v>78848.5260468555</v>
      </c>
      <c r="L36" s="99" t="n">
        <f aca="false">J36+K36</f>
        <v>2227309.72623365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106359.465355782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2067444.70766874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2067444.70766874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0.0723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2067444.70766874</v>
      </c>
      <c r="K37" s="99" t="n">
        <f aca="false">J37*E37</f>
        <v>149476.25236445</v>
      </c>
      <c r="L37" s="99" t="n">
        <f aca="false">J37+K37</f>
        <v>2216920.96003319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106569.314828285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2053059.31600415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2053059.31600415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0.0542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2053059.31600415</v>
      </c>
      <c r="K38" s="99" t="n">
        <f aca="false">J38*E38</f>
        <v>111275.814927425</v>
      </c>
      <c r="L38" s="99" t="n">
        <f aca="false">J38+K38</f>
        <v>2164335.13093157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110976.179243467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1996376.94580181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1996376.94580181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0.0427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1996376.94580181</v>
      </c>
      <c r="K39" s="99" t="n">
        <f aca="false">J39*E39</f>
        <v>85245.2955857371</v>
      </c>
      <c r="L39" s="99" t="n">
        <f aca="false">J39+K39</f>
        <v>2081622.24138754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112789.657954904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1909465.10162953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1909465.10162953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0.0593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1909465.10162953</v>
      </c>
      <c r="K40" s="99" t="n">
        <f aca="false">J40*E40</f>
        <v>113231.280526631</v>
      </c>
      <c r="L40" s="99" t="n">
        <f aca="false">J40+K40</f>
        <v>2022696.38215617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113658.637001758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1846235.31390421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1846235.31390421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0.052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1846235.31390421</v>
      </c>
      <c r="K41" s="99" t="n">
        <f aca="false">J41*E41</f>
        <v>96004.2363230187</v>
      </c>
      <c r="L41" s="99" t="n">
        <f aca="false">J41+K41</f>
        <v>1942239.55022722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115389.707119013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1761366.95526897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1761366.95526897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-0.028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1761366.95526897</v>
      </c>
      <c r="K42" s="99" t="n">
        <f aca="false">J42*E42</f>
        <v>-49318.274747531</v>
      </c>
      <c r="L42" s="99" t="n">
        <f aca="false">J42+K42</f>
        <v>1712048.68052143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115879.404951906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1526654.27068922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1526654.27068922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0.064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1526654.27068922</v>
      </c>
      <c r="K43" s="99" t="n">
        <f aca="false">J43*E43</f>
        <v>97705.87332411</v>
      </c>
      <c r="L43" s="99" t="n">
        <f aca="false">J43+K43</f>
        <v>1624360.14401333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106017.657686751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1434330.87393531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1434330.87393531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0.0433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1434330.87393531</v>
      </c>
      <c r="K44" s="99" t="n">
        <f aca="false">J44*E44</f>
        <v>62106.5268413989</v>
      </c>
      <c r="L44" s="99" t="n">
        <f aca="false">J44+K44</f>
        <v>1496437.40077671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104695.684228855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1301657.39894674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1301657.39894674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0.0633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1301657.39894674</v>
      </c>
      <c r="K45" s="99" t="n">
        <f aca="false">J45*E45</f>
        <v>82394.9133533284</v>
      </c>
      <c r="L45" s="99" t="n">
        <f aca="false">J45+K45</f>
        <v>1384052.31230006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100903.674336956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1184402.81042434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1184402.81042434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0.0301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1184402.81042434</v>
      </c>
      <c r="K46" s="99" t="n">
        <f aca="false">J46*E46</f>
        <v>35650.5245937728</v>
      </c>
      <c r="L46" s="99" t="n">
        <f aca="false">J46+K46</f>
        <v>1220053.33501812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97082.197575766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1015412.5955955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1015412.5955955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0.0735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1015412.5955955</v>
      </c>
      <c r="K47" s="99" t="n">
        <f aca="false">J47*E47</f>
        <v>74632.8257762696</v>
      </c>
      <c r="L47" s="99" t="n">
        <f aca="false">J47+K47</f>
        <v>1090045.42137177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1090045.42137177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1090045.42137177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0.0269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1090045.42137177</v>
      </c>
      <c r="K48" s="99" t="n">
        <f aca="false">J48*E48</f>
        <v>29322.2218349007</v>
      </c>
      <c r="L48" s="99" t="n">
        <f aca="false">J48+K48</f>
        <v>1119367.64320667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1119367.64320667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1119367.64320667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0.036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1119367.64320667</v>
      </c>
      <c r="K49" s="99" t="n">
        <f aca="false">J49*E49</f>
        <v>40297.2351554403</v>
      </c>
      <c r="L49" s="99" t="n">
        <f aca="false">J49+K49</f>
        <v>1159664.87836212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1159664.87836212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1159664.87836212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0.088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1159664.87836212</v>
      </c>
      <c r="K50" s="99" t="n">
        <f aca="false">J50*E50</f>
        <v>102050.509295866</v>
      </c>
      <c r="L50" s="99" t="n">
        <f aca="false">J50+K50</f>
        <v>1261715.38765798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1261715.38765798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1261715.38765798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0.07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1261715.38765798</v>
      </c>
      <c r="K51" s="99" t="n">
        <f aca="false">J51*E51</f>
        <v>88320.0771360587</v>
      </c>
      <c r="L51" s="99" t="n">
        <f aca="false">J51+K51</f>
        <v>1350035.46479404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1350035.46479404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1350035.46479404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-0.0373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1350035.46479404</v>
      </c>
      <c r="K52" s="99" t="n">
        <f aca="false">J52*E52</f>
        <v>-50356.3228368177</v>
      </c>
      <c r="L52" s="99" t="n">
        <f aca="false">J52+K52</f>
        <v>1299679.14195722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1299679.14195722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1299679.14195722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-0.0567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1299679.14195722</v>
      </c>
      <c r="K53" s="99" t="n">
        <f aca="false">J53*E53</f>
        <v>-73691.8073489745</v>
      </c>
      <c r="L53" s="99" t="n">
        <f aca="false">J53+K53</f>
        <v>1225987.33460825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1225987.33460825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1225987.33460825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-0.1079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1225987.33460825</v>
      </c>
      <c r="K54" s="99" t="n">
        <f aca="false">J54*E54</f>
        <v>-132284.03340423</v>
      </c>
      <c r="L54" s="99" t="n">
        <f aca="false">J54+K54</f>
        <v>1093703.30120402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1093703.30120402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1093703.30120402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42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Monthly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ORP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ORP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0.03</v>
      </c>
      <c r="C6" s="57"/>
      <c r="D6" s="64" t="s">
        <v>17</v>
      </c>
      <c r="E6" s="79" t="n">
        <f aca="false">VLOOKUP($A$14,Scenarios!$A:$CE,HLOOKUP(D6,Scenarios!$1:$2,2,FALSE()),FALSE())</f>
        <v>2000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193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ORP with Monthly / Monthly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0.0547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109400</v>
      </c>
      <c r="L17" s="99" t="n">
        <f aca="false">J17+K17</f>
        <v>2109400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2109400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24000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12000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99975999</v>
      </c>
      <c r="W17" s="99" t="n">
        <f aca="false">MIN(R17,T17)</f>
        <v>24000</v>
      </c>
      <c r="X17" s="99" t="n">
        <f aca="false">MIN(U17,R17-W17)</f>
        <v>0</v>
      </c>
      <c r="Y17" s="99" t="n">
        <f aca="false">MIN(S17,V17)</f>
        <v>12000</v>
      </c>
      <c r="Z17" s="99" t="n">
        <f aca="false">W17+X17+Y17</f>
        <v>36000</v>
      </c>
      <c r="AA17" s="100" t="n">
        <f aca="false">Q17+Z17</f>
        <v>2145400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0.0287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2145400</v>
      </c>
      <c r="K18" s="99" t="n">
        <f aca="false">J18*E18</f>
        <v>61572.98</v>
      </c>
      <c r="L18" s="99" t="n">
        <f aca="false">J18+K18</f>
        <v>2206972.98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2206972.98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24000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12000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102475998.975</v>
      </c>
      <c r="W18" s="99" t="n">
        <f aca="false">MIN(R18,T18)</f>
        <v>24000</v>
      </c>
      <c r="X18" s="99" t="n">
        <f aca="false">MIN(U18,R18-W18)</f>
        <v>0</v>
      </c>
      <c r="Y18" s="99" t="n">
        <f aca="false">MIN(S18,V18)</f>
        <v>12000</v>
      </c>
      <c r="Z18" s="99" t="n">
        <f aca="false">W18+X18+Y18</f>
        <v>36000</v>
      </c>
      <c r="AA18" s="100" t="n">
        <f aca="false">Q18+W18+X18+Y18</f>
        <v>2242972.98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0.0128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2242972.98</v>
      </c>
      <c r="K19" s="99" t="n">
        <f aca="false">J19*E19</f>
        <v>28710.054144</v>
      </c>
      <c r="L19" s="99" t="n">
        <f aca="false">J19+K19</f>
        <v>2271683.034144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2271683.034144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24000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12000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105038498.949375</v>
      </c>
      <c r="W19" s="99" t="n">
        <f aca="false">MIN(R19,T19)</f>
        <v>24000</v>
      </c>
      <c r="X19" s="99" t="n">
        <f aca="false">MIN(U19,R19-W19)</f>
        <v>0</v>
      </c>
      <c r="Y19" s="99" t="n">
        <f aca="false">MIN(S19,V19)</f>
        <v>12000</v>
      </c>
      <c r="Z19" s="99" t="n">
        <f aca="false">W19+X19+Y19</f>
        <v>36000</v>
      </c>
      <c r="AA19" s="100" t="n">
        <f aca="false">Q19+W19+X19+Y19</f>
        <v>2307683.034144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0.066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2307683.034144</v>
      </c>
      <c r="K20" s="99" t="n">
        <f aca="false">J20*E20</f>
        <v>152307.080253504</v>
      </c>
      <c r="L20" s="99" t="n">
        <f aca="false">J20+K20</f>
        <v>2459990.1143975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2459990.1143975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24000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12000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107665061.423109</v>
      </c>
      <c r="W20" s="99" t="n">
        <f aca="false">MIN(R20,T20)</f>
        <v>24000</v>
      </c>
      <c r="X20" s="99" t="n">
        <f aca="false">MIN(U20,R20-W20)</f>
        <v>0</v>
      </c>
      <c r="Y20" s="99" t="n">
        <f aca="false">MIN(S20,V20)</f>
        <v>12000</v>
      </c>
      <c r="Z20" s="99" t="n">
        <f aca="false">W20+X20+Y20</f>
        <v>36000</v>
      </c>
      <c r="AA20" s="100" t="n">
        <f aca="false">Q20+W20+X20+Y20</f>
        <v>2495990.1143975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0.0481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2495990.1143975</v>
      </c>
      <c r="K21" s="99" t="n">
        <f aca="false">J21*E21</f>
        <v>120057.12450252</v>
      </c>
      <c r="L21" s="99" t="n">
        <f aca="false">J21+K21</f>
        <v>2616047.23890002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2505665.94983752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2505665.94983752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0.0491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2505665.94983752</v>
      </c>
      <c r="K22" s="99" t="n">
        <f aca="false">J22*E22</f>
        <v>123028.198137022</v>
      </c>
      <c r="L22" s="99" t="n">
        <f aca="false">J22+K22</f>
        <v>2628694.14797455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2515553.32668548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2515553.32668548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0.0605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2515553.32668548</v>
      </c>
      <c r="K23" s="99" t="n">
        <f aca="false">J23*E23</f>
        <v>152190.976264472</v>
      </c>
      <c r="L23" s="99" t="n">
        <f aca="false">J23+K23</f>
        <v>2667744.30294996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2551774.96112867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2551774.96112867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-0.0295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2551774.96112867</v>
      </c>
      <c r="K24" s="99" t="n">
        <f aca="false">J24*E24</f>
        <v>-75277.3613532957</v>
      </c>
      <c r="L24" s="99" t="n">
        <f aca="false">J24+K24</f>
        <v>2476497.59977537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2357629.02440855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2357629.02440855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0.0073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2357629.02440855</v>
      </c>
      <c r="K25" s="99" t="n">
        <f aca="false">J25*E25</f>
        <v>17210.6918781824</v>
      </c>
      <c r="L25" s="99" t="n">
        <f aca="false">J25+K25</f>
        <v>2374839.71628673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2252999.42653574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2252999.42653574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0.0385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2252999.42653574</v>
      </c>
      <c r="K26" s="99" t="n">
        <f aca="false">J26*E26</f>
        <v>86740.477921626</v>
      </c>
      <c r="L26" s="99" t="n">
        <f aca="false">J26+K26</f>
        <v>2339739.90445737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2214853.6074626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2214853.6074626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0.0643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2214853.6074626</v>
      </c>
      <c r="K27" s="99" t="n">
        <f aca="false">J27*E27</f>
        <v>142415.086959845</v>
      </c>
      <c r="L27" s="99" t="n">
        <f aca="false">J27+K27</f>
        <v>2357268.69442245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2229260.24000281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2229260.24000281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0.039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2229260.24000281</v>
      </c>
      <c r="K28" s="99" t="n">
        <f aca="false">J28*E28</f>
        <v>86941.1493601096</v>
      </c>
      <c r="L28" s="99" t="n">
        <f aca="false">J28+K28</f>
        <v>2316201.38936292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2184992.72358279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2184992.72358279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0.048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2184992.72358279</v>
      </c>
      <c r="K29" s="99" t="n">
        <f aca="false">J29*E29</f>
        <v>104879.650731974</v>
      </c>
      <c r="L29" s="99" t="n">
        <f aca="false">J29+K29</f>
        <v>2289872.37431477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2155383.49189014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2155383.49189014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0.0187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2155383.49189014</v>
      </c>
      <c r="K30" s="99" t="n">
        <f aca="false">J30*E30</f>
        <v>40305.6712983456</v>
      </c>
      <c r="L30" s="99" t="n">
        <f aca="false">J30+K30</f>
        <v>2195689.16318848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2057838.05870324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2057838.05870324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0.0338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2057838.05870324</v>
      </c>
      <c r="K31" s="99" t="n">
        <f aca="false">J31*E31</f>
        <v>69554.9263841694</v>
      </c>
      <c r="L31" s="99" t="n">
        <f aca="false">J31+K31</f>
        <v>2127392.98508741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83651.9536058226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1986095.60299003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1986095.60299003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0.0163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1986095.60299003</v>
      </c>
      <c r="K32" s="99" t="n">
        <f aca="false">J32*E32</f>
        <v>32373.3583287375</v>
      </c>
      <c r="L32" s="99" t="n">
        <f aca="false">J32+K32</f>
        <v>2018468.96131877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83801.5022358662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1873639.14466896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1873639.14466896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0.0988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1873639.14466896</v>
      </c>
      <c r="K33" s="99" t="n">
        <f aca="false">J33*E33</f>
        <v>185115.547493293</v>
      </c>
      <c r="L33" s="99" t="n">
        <f aca="false">J33+K33</f>
        <v>2058754.69216225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81818.3032606531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1910304.13009619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1910304.13009619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-0.0405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1910304.13009619</v>
      </c>
      <c r="K34" s="99" t="n">
        <f aca="false">J34*E34</f>
        <v>-77367.3172688958</v>
      </c>
      <c r="L34" s="99" t="n">
        <f aca="false">J34+K34</f>
        <v>1832936.8128273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86832.0059134633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1680774.98670959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1680774.98670959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0.0796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1680774.98670959</v>
      </c>
      <c r="K35" s="99" t="n">
        <f aca="false">J35*E35</f>
        <v>133789.688942083</v>
      </c>
      <c r="L35" s="99" t="n">
        <f aca="false">J35+K35</f>
        <v>1814564.67565167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79657.5823085114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1658598.80388102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1658598.80388102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0.0275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1658598.80388102</v>
      </c>
      <c r="K36" s="99" t="n">
        <f aca="false">J36*E36</f>
        <v>45611.4671067281</v>
      </c>
      <c r="L36" s="99" t="n">
        <f aca="false">J36+K36</f>
        <v>1704210.27098775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82108.8516772783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1544345.25242283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1544345.25242283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0.0542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1544345.25242283</v>
      </c>
      <c r="K37" s="99" t="n">
        <f aca="false">J37*E37</f>
        <v>83703.5126813176</v>
      </c>
      <c r="L37" s="99" t="n">
        <f aca="false">J37+K37</f>
        <v>1628048.76510415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79605.4253826203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1464187.12107511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1464187.12107511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0.0406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1464187.12107511</v>
      </c>
      <c r="K38" s="99" t="n">
        <f aca="false">J38*E38</f>
        <v>59445.9971156496</v>
      </c>
      <c r="L38" s="99" t="n">
        <f aca="false">J38+K38</f>
        <v>1523633.11819076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79145.2497878439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1355674.933061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1355674.933061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0.032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1355674.933061</v>
      </c>
      <c r="K39" s="99" t="n">
        <f aca="false">J39*E39</f>
        <v>43381.5978579519</v>
      </c>
      <c r="L39" s="99" t="n">
        <f aca="false">J39+K39</f>
        <v>1399056.53091895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76591.8041277399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1226899.39116094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1226899.39116094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0.0445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1226899.39116094</v>
      </c>
      <c r="K40" s="99" t="n">
        <f aca="false">J40*E40</f>
        <v>54597.0229066618</v>
      </c>
      <c r="L40" s="99" t="n">
        <f aca="false">J40+K40</f>
        <v>1281496.4140676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73029.7256643416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1105035.34581564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1105035.34581564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0.039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1105035.34581564</v>
      </c>
      <c r="K41" s="99" t="n">
        <f aca="false">J41*E41</f>
        <v>43096.37848681</v>
      </c>
      <c r="L41" s="99" t="n">
        <f aca="false">J41+K41</f>
        <v>1148131.72430245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69064.7091134776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967259.129344192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967259.129344192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-0.021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967259.129344192</v>
      </c>
      <c r="K42" s="99" t="n">
        <f aca="false">J42*E42</f>
        <v>-20312.441716228</v>
      </c>
      <c r="L42" s="99" t="n">
        <f aca="false">J42+K42</f>
        <v>946946.687627964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63635.4690358021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761552.277795749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761552.277795749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0.048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761552.277795749</v>
      </c>
      <c r="K43" s="99" t="n">
        <f aca="false">J43*E43</f>
        <v>36554.5093341959</v>
      </c>
      <c r="L43" s="99" t="n">
        <f aca="false">J43+K43</f>
        <v>798106.787129945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52885.574846927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608077.517051925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608077.517051925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0.0325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608077.517051925</v>
      </c>
      <c r="K44" s="99" t="n">
        <f aca="false">J44*E44</f>
        <v>19762.5193041875</v>
      </c>
      <c r="L44" s="99" t="n">
        <f aca="false">J44+K44</f>
        <v>627840.036356112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44385.2202227682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433060.034526141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433060.034526141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0.0475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433060.034526141</v>
      </c>
      <c r="K45" s="99" t="n">
        <f aca="false">J45*E45</f>
        <v>20570.3516399917</v>
      </c>
      <c r="L45" s="99" t="n">
        <f aca="false">J45+K45</f>
        <v>453630.386166133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33570.5453121039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253980.884290412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253980.884290412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0.0226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253980.884290412</v>
      </c>
      <c r="K46" s="99" t="n">
        <f aca="false">J46*E46</f>
        <v>5739.96798496332</v>
      </c>
      <c r="L46" s="99" t="n">
        <f aca="false">J46+K46</f>
        <v>259720.852275376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20818.1052697059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55080.1128527624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55080.1128527624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0.0551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55080.1128527624</v>
      </c>
      <c r="K47" s="99" t="n">
        <f aca="false">J47*E47</f>
        <v>3034.91421818721</v>
      </c>
      <c r="L47" s="99" t="n">
        <f aca="false">J47+K47</f>
        <v>58115.0270709496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58115.0270709496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58115.0270709496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0.0202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58115.0270709496</v>
      </c>
      <c r="K48" s="99" t="n">
        <f aca="false">J48*E48</f>
        <v>1173.92354683318</v>
      </c>
      <c r="L48" s="99" t="n">
        <f aca="false">J48+K48</f>
        <v>59288.9506177828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59288.9506177828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59288.9506177828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0.027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59288.9506177828</v>
      </c>
      <c r="K49" s="99" t="n">
        <f aca="false">J49*E49</f>
        <v>1600.80166668013</v>
      </c>
      <c r="L49" s="99" t="n">
        <f aca="false">J49+K49</f>
        <v>60889.7522844629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60889.7522844629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60889.7522844629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0.066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60889.7522844629</v>
      </c>
      <c r="K50" s="99" t="n">
        <f aca="false">J50*E50</f>
        <v>4018.72365077455</v>
      </c>
      <c r="L50" s="99" t="n">
        <f aca="false">J50+K50</f>
        <v>64908.4759352374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64908.4759352374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64908.4759352374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0.0525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64908.4759352374</v>
      </c>
      <c r="K51" s="99" t="n">
        <f aca="false">J51*E51</f>
        <v>3407.69498659997</v>
      </c>
      <c r="L51" s="99" t="n">
        <f aca="false">J51+K51</f>
        <v>68316.1709218374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68316.1709218374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68316.1709218374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-0.028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68316.1709218374</v>
      </c>
      <c r="K52" s="99" t="n">
        <f aca="false">J52*E52</f>
        <v>-1912.85278581145</v>
      </c>
      <c r="L52" s="99" t="n">
        <f aca="false">J52+K52</f>
        <v>66403.318136026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66403.318136026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66403.318136026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-0.0425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66403.318136026</v>
      </c>
      <c r="K53" s="99" t="n">
        <f aca="false">J53*E53</f>
        <v>-2822.1410207811</v>
      </c>
      <c r="L53" s="99" t="n">
        <f aca="false">J53+K53</f>
        <v>63581.1771152448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63581.1771152448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63581.1771152448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-0.0809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63581.1771152448</v>
      </c>
      <c r="K54" s="99" t="n">
        <f aca="false">J54*E54</f>
        <v>-5143.71722862331</v>
      </c>
      <c r="L54" s="99" t="n">
        <f aca="false">J54+K54</f>
        <v>58437.4598866215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58437.4598866215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58437.4598866215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43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ORP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ORP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30000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194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ORP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30000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99974999</v>
      </c>
      <c r="W17" s="99" t="n">
        <f aca="false">MIN(R17,T17)</f>
        <v>25000</v>
      </c>
      <c r="X17" s="99" t="n">
        <f aca="false">MIN(U17,R17-W17)</f>
        <v>0</v>
      </c>
      <c r="Y17" s="99" t="n">
        <f aca="false">MIN(S17,V17)</f>
        <v>30000</v>
      </c>
      <c r="Z17" s="99" t="n">
        <f aca="false">W17+X17+Y17</f>
        <v>55000</v>
      </c>
      <c r="AA17" s="100" t="n">
        <f aca="false">Q17+Z17</f>
        <v>2237400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2237400</v>
      </c>
      <c r="K18" s="99" t="n">
        <f aca="false">J18*E18</f>
        <v>107171.46</v>
      </c>
      <c r="L18" s="99" t="n">
        <f aca="false">J18+K18</f>
        <v>2344571.46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2344571.46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30000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102474998.975</v>
      </c>
      <c r="W18" s="99" t="n">
        <f aca="false">MIN(R18,T18)</f>
        <v>25000</v>
      </c>
      <c r="X18" s="99" t="n">
        <f aca="false">MIN(U18,R18-W18)</f>
        <v>0</v>
      </c>
      <c r="Y18" s="99" t="n">
        <f aca="false">MIN(S18,V18)</f>
        <v>30000</v>
      </c>
      <c r="Z18" s="99" t="n">
        <f aca="false">W18+X18+Y18</f>
        <v>55000</v>
      </c>
      <c r="AA18" s="100" t="n">
        <f aca="false">Q18+W18+X18+Y18</f>
        <v>2399571.46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2399571.46</v>
      </c>
      <c r="K19" s="99" t="n">
        <f aca="false">J19*E19</f>
        <v>51110.872098</v>
      </c>
      <c r="L19" s="99" t="n">
        <f aca="false">J19+K19</f>
        <v>2450682.332098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2450682.332098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30000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105037498.949375</v>
      </c>
      <c r="W19" s="99" t="n">
        <f aca="false">MIN(R19,T19)</f>
        <v>25000</v>
      </c>
      <c r="X19" s="99" t="n">
        <f aca="false">MIN(U19,R19-W19)</f>
        <v>0</v>
      </c>
      <c r="Y19" s="99" t="n">
        <f aca="false">MIN(S19,V19)</f>
        <v>30000</v>
      </c>
      <c r="Z19" s="99" t="n">
        <f aca="false">W19+X19+Y19</f>
        <v>55000</v>
      </c>
      <c r="AA19" s="100" t="n">
        <f aca="false">Q19+W19+X19+Y19</f>
        <v>2505682.332098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2505682.332098</v>
      </c>
      <c r="K20" s="99" t="n">
        <f aca="false">J20*E20</f>
        <v>275625.05653078</v>
      </c>
      <c r="L20" s="99" t="n">
        <f aca="false">J20+K20</f>
        <v>2781307.38862878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2781307.38862878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30000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107664061.423109</v>
      </c>
      <c r="W20" s="99" t="n">
        <f aca="false">MIN(R20,T20)</f>
        <v>25000</v>
      </c>
      <c r="X20" s="99" t="n">
        <f aca="false">MIN(U20,R20-W20)</f>
        <v>0</v>
      </c>
      <c r="Y20" s="99" t="n">
        <f aca="false">MIN(S20,V20)</f>
        <v>30000</v>
      </c>
      <c r="Z20" s="99" t="n">
        <f aca="false">W20+X20+Y20</f>
        <v>55000</v>
      </c>
      <c r="AA20" s="100" t="n">
        <f aca="false">Q20+W20+X20+Y20</f>
        <v>2836307.38862878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2836307.38862878</v>
      </c>
      <c r="K21" s="99" t="n">
        <f aca="false">J21*E21</f>
        <v>227471.852568028</v>
      </c>
      <c r="L21" s="99" t="n">
        <f aca="false">J21+K21</f>
        <v>3063779.24119681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2953397.95213431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2953397.95213431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2953397.95213431</v>
      </c>
      <c r="K22" s="99" t="n">
        <f aca="false">J22*E22</f>
        <v>241587.952484586</v>
      </c>
      <c r="L22" s="99" t="n">
        <f aca="false">J22+K22</f>
        <v>3194985.90461889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3081845.08332983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3081845.08332983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3081845.08332983</v>
      </c>
      <c r="K23" s="99" t="n">
        <f aca="false">J23*E23</f>
        <v>310649.984399647</v>
      </c>
      <c r="L23" s="99" t="n">
        <f aca="false">J23+K23</f>
        <v>3392495.06772948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3276525.72590819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3276525.72590819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3276525.72590819</v>
      </c>
      <c r="K24" s="99" t="n">
        <f aca="false">J24*E24</f>
        <v>-161205.065714683</v>
      </c>
      <c r="L24" s="99" t="n">
        <f aca="false">J24+K24</f>
        <v>3115320.66019351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2996452.08482669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2996452.08482669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2996452.08482669</v>
      </c>
      <c r="K25" s="99" t="n">
        <f aca="false">J25*E25</f>
        <v>36856.3606433682</v>
      </c>
      <c r="L25" s="99" t="n">
        <f aca="false">J25+K25</f>
        <v>3033308.44547005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2911468.15571906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2911468.15571906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2911468.15571906</v>
      </c>
      <c r="K26" s="99" t="n">
        <f aca="false">J26*E26</f>
        <v>186625.108781592</v>
      </c>
      <c r="L26" s="99" t="n">
        <f aca="false">J26+K26</f>
        <v>3098093.26450065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2973206.96750589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2973206.96750589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2973206.96750589</v>
      </c>
      <c r="K27" s="99" t="n">
        <f aca="false">J27*E27</f>
        <v>318430.466219881</v>
      </c>
      <c r="L27" s="99" t="n">
        <f aca="false">J27+K27</f>
        <v>3291637.43372577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3163628.97930613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3163628.97930613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3163628.97930613</v>
      </c>
      <c r="K28" s="99" t="n">
        <f aca="false">J28*E28</f>
        <v>205952.246552829</v>
      </c>
      <c r="L28" s="99" t="n">
        <f aca="false">J28+K28</f>
        <v>3369581.22585896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3238372.56007883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3238372.56007883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3238372.56007883</v>
      </c>
      <c r="K29" s="99" t="n">
        <f aca="false">J29*E29</f>
        <v>259069.804806307</v>
      </c>
      <c r="L29" s="99" t="n">
        <f aca="false">J29+K29</f>
        <v>3497442.36488514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3362953.48246051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3362953.48246051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3362953.48246051</v>
      </c>
      <c r="K30" s="99" t="n">
        <f aca="false">J30*E30</f>
        <v>104587.853304522</v>
      </c>
      <c r="L30" s="99" t="n">
        <f aca="false">J30+K30</f>
        <v>3467541.33576503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3329690.23127979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3329690.23127979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3329690.23127979</v>
      </c>
      <c r="K31" s="99" t="n">
        <f aca="false">J31*E31</f>
        <v>187461.560021052</v>
      </c>
      <c r="L31" s="99" t="n">
        <f aca="false">J31+K31</f>
        <v>3517151.79130084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135353.261434138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3375854.40920346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3375854.40920346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3375854.40920346</v>
      </c>
      <c r="K32" s="99" t="n">
        <f aca="false">J32*E32</f>
        <v>91823.2399303342</v>
      </c>
      <c r="L32" s="99" t="n">
        <f aca="false">J32+K32</f>
        <v>3467677.6491338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142441.114312382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3322847.83248399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3322847.83248399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3322847.83248399</v>
      </c>
      <c r="K33" s="99" t="n">
        <f aca="false">J33*E33</f>
        <v>547605.322793361</v>
      </c>
      <c r="L33" s="99" t="n">
        <f aca="false">J33+K33</f>
        <v>3870453.15527735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145102.525435982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3722002.59321129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3722002.59321129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3722002.59321129</v>
      </c>
      <c r="K34" s="99" t="n">
        <f aca="false">J34*E34</f>
        <v>-251235.175041762</v>
      </c>
      <c r="L34" s="99" t="n">
        <f aca="false">J34+K34</f>
        <v>3470767.41816953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169181.936055059</v>
      </c>
      <c r="O34" s="99" t="n">
        <f aca="false">IF(D34&gt;$B$4,0,IF(D34&lt;$B$3,0,$B$8*(1+$B$10)^(C34-1)))</f>
        <v>152161.826117708</v>
      </c>
      <c r="P34" s="99" t="n">
        <f aca="false">MAX(N34,O34)</f>
        <v>169181.936055059</v>
      </c>
      <c r="Q34" s="99" t="n">
        <f aca="false">MAX(0,L34-P34)</f>
        <v>3301585.48211447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3301585.48211447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3301585.48211447</v>
      </c>
      <c r="K35" s="99" t="n">
        <f aca="false">J35*E35</f>
        <v>438450.552024802</v>
      </c>
      <c r="L35" s="99" t="n">
        <f aca="false">J35+K35</f>
        <v>3740036.03413927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156473.245597842</v>
      </c>
      <c r="O35" s="99" t="n">
        <f aca="false">IF(D35&gt;$B$4,0,IF(D35&lt;$B$3,0,$B$8*(1+$B$10)^(C35-1)))</f>
        <v>155965.87177065</v>
      </c>
      <c r="P35" s="99" t="n">
        <f aca="false">MAX(N35,O35)</f>
        <v>156473.245597842</v>
      </c>
      <c r="Q35" s="99" t="n">
        <f aca="false">MAX(0,L35-P35)</f>
        <v>3583562.78854143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3583562.78854143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3583562.78854143</v>
      </c>
      <c r="K36" s="99" t="n">
        <f aca="false">J36*E36</f>
        <v>164127.175715198</v>
      </c>
      <c r="L36" s="99" t="n">
        <f aca="false">J36+K36</f>
        <v>3747689.96425663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177404.098442645</v>
      </c>
      <c r="O36" s="99" t="n">
        <f aca="false">IF(D36&gt;$B$4,0,IF(D36&lt;$B$3,0,$B$8*(1+$B$10)^(C36-1)))</f>
        <v>159865.018564917</v>
      </c>
      <c r="P36" s="99" t="n">
        <f aca="false">MAX(N36,O36)</f>
        <v>177404.098442645</v>
      </c>
      <c r="Q36" s="99" t="n">
        <f aca="false">MAX(0,L36-P36)</f>
        <v>3570285.86581398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3570285.86581398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3570285.86581398</v>
      </c>
      <c r="K37" s="99" t="n">
        <f aca="false">J37*E37</f>
        <v>322753.842269584</v>
      </c>
      <c r="L37" s="99" t="n">
        <f aca="false">J37+K37</f>
        <v>3893039.70808357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184035.353907937</v>
      </c>
      <c r="O37" s="99" t="n">
        <f aca="false">IF(D37&gt;$B$4,0,IF(D37&lt;$B$3,0,$B$8*(1+$B$10)^(C37-1)))</f>
        <v>163861.644029039</v>
      </c>
      <c r="P37" s="99" t="n">
        <f aca="false">MAX(N37,O37)</f>
        <v>184035.353907937</v>
      </c>
      <c r="Q37" s="99" t="n">
        <f aca="false">MAX(0,L37-P37)</f>
        <v>3709004.35417563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3709004.35417563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3709004.35417563</v>
      </c>
      <c r="K38" s="99" t="n">
        <f aca="false">J38*E38</f>
        <v>251470.495213108</v>
      </c>
      <c r="L38" s="99" t="n">
        <f aca="false">J38+K38</f>
        <v>3960474.84938874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200486.721847331</v>
      </c>
      <c r="O38" s="99" t="n">
        <f aca="false">IF(D38&gt;$B$4,0,IF(D38&lt;$B$3,0,$B$8*(1+$B$10)^(C38-1)))</f>
        <v>167958.185129765</v>
      </c>
      <c r="P38" s="99" t="n">
        <f aca="false">MAX(N38,O38)</f>
        <v>200486.721847331</v>
      </c>
      <c r="Q38" s="99" t="n">
        <f aca="false">MAX(0,L38-P38)</f>
        <v>3759988.12754141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3759988.12754141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3759988.12754141</v>
      </c>
      <c r="K39" s="99" t="n">
        <f aca="false">J39*E39</f>
        <v>200407.367197957</v>
      </c>
      <c r="L39" s="99" t="n">
        <f aca="false">J39+K39</f>
        <v>3960395.49473936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212428.707770701</v>
      </c>
      <c r="O39" s="99" t="n">
        <f aca="false">IF(D39&gt;$B$4,0,IF(D39&lt;$B$3,0,$B$8*(1+$B$10)^(C39-1)))</f>
        <v>172157.13975801</v>
      </c>
      <c r="P39" s="99" t="n">
        <f aca="false">MAX(N39,O39)</f>
        <v>212428.707770701</v>
      </c>
      <c r="Q39" s="99" t="n">
        <f aca="false">MAX(0,L39-P39)</f>
        <v>3747966.78696866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3747966.78696866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3747966.78696866</v>
      </c>
      <c r="K40" s="99" t="n">
        <f aca="false">J40*E40</f>
        <v>278099.135593075</v>
      </c>
      <c r="L40" s="99" t="n">
        <f aca="false">J40+K40</f>
        <v>4026065.92256174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223093.261129087</v>
      </c>
      <c r="O40" s="99" t="n">
        <f aca="false">IF(D40&gt;$B$4,0,IF(D40&lt;$B$3,0,$B$8*(1+$B$10)^(C40-1)))</f>
        <v>176461.06825196</v>
      </c>
      <c r="P40" s="99" t="n">
        <f aca="false">MAX(N40,O40)</f>
        <v>223093.261129087</v>
      </c>
      <c r="Q40" s="99" t="n">
        <f aca="false">MAX(0,L40-P40)</f>
        <v>3802972.66143265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3802972.66143265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3802972.66143265</v>
      </c>
      <c r="K41" s="99" t="n">
        <f aca="false">J41*E41</f>
        <v>247193.222993122</v>
      </c>
      <c r="L41" s="99" t="n">
        <f aca="false">J41+K41</f>
        <v>4050165.88442577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237685.791339541</v>
      </c>
      <c r="O41" s="99" t="n">
        <f aca="false">IF(D41&gt;$B$4,0,IF(D41&lt;$B$3,0,$B$8*(1+$B$10)^(C41-1)))</f>
        <v>180872.594958259</v>
      </c>
      <c r="P41" s="99" t="n">
        <f aca="false">MAX(N41,O41)</f>
        <v>237685.791339541</v>
      </c>
      <c r="Q41" s="99" t="n">
        <f aca="false">MAX(0,L41-P41)</f>
        <v>3812480.09308623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3812480.09308623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3812480.09308623</v>
      </c>
      <c r="K42" s="99" t="n">
        <f aca="false">J42*E42</f>
        <v>-133436.803258018</v>
      </c>
      <c r="L42" s="99" t="n">
        <f aca="false">J42+K42</f>
        <v>3679043.28982821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250821.058755673</v>
      </c>
      <c r="O42" s="99" t="n">
        <f aca="false">IF(D42&gt;$B$4,0,IF(D42&lt;$B$3,0,$B$8*(1+$B$10)^(C42-1)))</f>
        <v>185394.409832215</v>
      </c>
      <c r="P42" s="99" t="n">
        <f aca="false">MAX(N42,O42)</f>
        <v>250821.058755673</v>
      </c>
      <c r="Q42" s="99" t="n">
        <f aca="false">MAX(0,L42-P42)</f>
        <v>3428222.23107254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3428222.23107254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3428222.23107254</v>
      </c>
      <c r="K43" s="99" t="n">
        <f aca="false">J43*E43</f>
        <v>274257.778485803</v>
      </c>
      <c r="L43" s="99" t="n">
        <f aca="false">J43+K43</f>
        <v>3702480.00955834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238070.988268926</v>
      </c>
      <c r="O43" s="99" t="n">
        <f aca="false">IF(D43&gt;$B$4,0,IF(D43&lt;$B$3,0,$B$8*(1+$B$10)^(C43-1)))</f>
        <v>190029.270078021</v>
      </c>
      <c r="P43" s="99" t="n">
        <f aca="false">MAX(N43,O43)</f>
        <v>238070.988268926</v>
      </c>
      <c r="Q43" s="99" t="n">
        <f aca="false">MAX(0,L43-P43)</f>
        <v>3464409.02128942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3464409.02128942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3464409.02128942</v>
      </c>
      <c r="K44" s="99" t="n">
        <f aca="false">J44*E44</f>
        <v>187770.968953886</v>
      </c>
      <c r="L44" s="99" t="n">
        <f aca="false">J44+K44</f>
        <v>3652179.9902433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252876.570897038</v>
      </c>
      <c r="O44" s="99" t="n">
        <f aca="false">IF(D44&gt;$B$4,0,IF(D44&lt;$B$3,0,$B$8*(1+$B$10)^(C44-1)))</f>
        <v>194780.001829971</v>
      </c>
      <c r="P44" s="99" t="n">
        <f aca="false">MAX(N44,O44)</f>
        <v>252876.570897038</v>
      </c>
      <c r="Q44" s="99" t="n">
        <f aca="false">MAX(0,L44-P44)</f>
        <v>3399303.41934627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3399303.41934627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3399303.41934627</v>
      </c>
      <c r="K45" s="99" t="n">
        <f aca="false">J45*E45</f>
        <v>268884.90047029</v>
      </c>
      <c r="L45" s="99" t="n">
        <f aca="false">J45+K45</f>
        <v>3668188.31981656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263511.892972579</v>
      </c>
      <c r="O45" s="99" t="n">
        <f aca="false">IF(D45&gt;$B$4,0,IF(D45&lt;$B$3,0,$B$8*(1+$B$10)^(C45-1)))</f>
        <v>199649.50187572</v>
      </c>
      <c r="P45" s="99" t="n">
        <f aca="false">MAX(N45,O45)</f>
        <v>263511.892972579</v>
      </c>
      <c r="Q45" s="99" t="n">
        <f aca="false">MAX(0,L45-P45)</f>
        <v>3404676.42684398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3404676.42684398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3404676.42684398</v>
      </c>
      <c r="K46" s="99" t="n">
        <f aca="false">J46*E46</f>
        <v>128356.301292018</v>
      </c>
      <c r="L46" s="99" t="n">
        <f aca="false">J46+K46</f>
        <v>3533032.728136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279071.8382659</v>
      </c>
      <c r="O46" s="99" t="n">
        <f aca="false">IF(D46&gt;$B$4,0,IF(D46&lt;$B$3,0,$B$8*(1+$B$10)^(C46-1)))</f>
        <v>204640.739422613</v>
      </c>
      <c r="P46" s="99" t="n">
        <f aca="false">MAX(N46,O46)</f>
        <v>279071.8382659</v>
      </c>
      <c r="Q46" s="99" t="n">
        <f aca="false">MAX(0,L46-P46)</f>
        <v>3253960.8898701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3253960.8898701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3253960.8898701</v>
      </c>
      <c r="K47" s="99" t="n">
        <f aca="false">J47*E47</f>
        <v>299039.005779062</v>
      </c>
      <c r="L47" s="99" t="n">
        <f aca="false">J47+K47</f>
        <v>3552999.89564916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3552999.89564916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3552999.89564916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3552999.89564916</v>
      </c>
      <c r="K48" s="99" t="n">
        <f aca="false">J48*E48</f>
        <v>119736.096483377</v>
      </c>
      <c r="L48" s="99" t="n">
        <f aca="false">J48+K48</f>
        <v>3672735.99213253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3672735.99213253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3672735.99213253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3672735.99213253</v>
      </c>
      <c r="K49" s="99" t="n">
        <f aca="false">J49*E49</f>
        <v>165273.119645964</v>
      </c>
      <c r="L49" s="99" t="n">
        <f aca="false">J49+K49</f>
        <v>3838009.1117785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3838009.1117785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3838009.1117785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3838009.1117785</v>
      </c>
      <c r="K50" s="99" t="n">
        <f aca="false">J50*E50</f>
        <v>422181.002295635</v>
      </c>
      <c r="L50" s="99" t="n">
        <f aca="false">J50+K50</f>
        <v>4260190.11407413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4260190.11407413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4260190.11407413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4260190.11407413</v>
      </c>
      <c r="K51" s="99" t="n">
        <f aca="false">J51*E51</f>
        <v>372766.634981487</v>
      </c>
      <c r="L51" s="99" t="n">
        <f aca="false">J51+K51</f>
        <v>4632956.74905562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4632956.74905562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4632956.74905562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4632956.74905562</v>
      </c>
      <c r="K52" s="99" t="n">
        <f aca="false">J52*E52</f>
        <v>-216359.080180897</v>
      </c>
      <c r="L52" s="99" t="n">
        <f aca="false">J52+K52</f>
        <v>4416597.66887472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4416597.66887472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4416597.66887472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4416597.66887472</v>
      </c>
      <c r="K53" s="99" t="n">
        <f aca="false">J53*E53</f>
        <v>-312695.11495633</v>
      </c>
      <c r="L53" s="99" t="n">
        <f aca="false">J53+K53</f>
        <v>4103902.55391839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4103902.55391839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4103902.55391839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4103902.55391839</v>
      </c>
      <c r="K54" s="99" t="n">
        <f aca="false">J54*E54</f>
        <v>-553206.064268199</v>
      </c>
      <c r="L54" s="99" t="n">
        <f aca="false">J54+K54</f>
        <v>3550696.48965019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3550696.48965019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3550696.48965019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44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% of Salary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ORP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ORP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0.05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195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ORP with % of Salary / % of Salary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99994999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5000</v>
      </c>
      <c r="Z17" s="99" t="n">
        <f aca="false">W17+X17+Y17</f>
        <v>10000</v>
      </c>
      <c r="AA17" s="100" t="n">
        <f aca="false">Q17+Z17</f>
        <v>2192400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2192400</v>
      </c>
      <c r="K18" s="99" t="n">
        <f aca="false">J18*E18</f>
        <v>105015.96</v>
      </c>
      <c r="L18" s="99" t="n">
        <f aca="false">J18+K18</f>
        <v>2297415.96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2297415.96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102494898.975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5100</v>
      </c>
      <c r="Z18" s="99" t="n">
        <f aca="false">W18+X18+Y18</f>
        <v>10200</v>
      </c>
      <c r="AA18" s="100" t="n">
        <f aca="false">Q18+W18+X18+Y18</f>
        <v>2307615.96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2307615.96</v>
      </c>
      <c r="K19" s="99" t="n">
        <f aca="false">J19*E19</f>
        <v>49152.219948</v>
      </c>
      <c r="L19" s="99" t="n">
        <f aca="false">J19+K19</f>
        <v>2356768.179948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2356768.179948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105057296.949375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5202</v>
      </c>
      <c r="Z19" s="99" t="n">
        <f aca="false">W19+X19+Y19</f>
        <v>10404</v>
      </c>
      <c r="AA19" s="100" t="n">
        <f aca="false">Q19+W19+X19+Y19</f>
        <v>2367172.179948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2367172.179948</v>
      </c>
      <c r="K20" s="99" t="n">
        <f aca="false">J20*E20</f>
        <v>260388.93979428</v>
      </c>
      <c r="L20" s="99" t="n">
        <f aca="false">J20+K20</f>
        <v>2627561.11974228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2627561.11974228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107683755.383109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5306.04</v>
      </c>
      <c r="Z20" s="99" t="n">
        <f aca="false">W20+X20+Y20</f>
        <v>10612.08</v>
      </c>
      <c r="AA20" s="100" t="n">
        <f aca="false">Q20+W20+X20+Y20</f>
        <v>2638173.19974228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2638173.19974228</v>
      </c>
      <c r="K21" s="99" t="n">
        <f aca="false">J21*E21</f>
        <v>211581.490619331</v>
      </c>
      <c r="L21" s="99" t="n">
        <f aca="false">J21+K21</f>
        <v>2849754.69036161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2739373.40129911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2739373.40129911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2739373.40129911</v>
      </c>
      <c r="K22" s="99" t="n">
        <f aca="false">J22*E22</f>
        <v>224080.744226267</v>
      </c>
      <c r="L22" s="99" t="n">
        <f aca="false">J22+K22</f>
        <v>2963454.14552538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2850313.32423631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2850313.32423631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2850313.32423631</v>
      </c>
      <c r="K23" s="99" t="n">
        <f aca="false">J23*E23</f>
        <v>287311.583083021</v>
      </c>
      <c r="L23" s="99" t="n">
        <f aca="false">J23+K23</f>
        <v>3137624.90731934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3021655.56549805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3021655.56549805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3021655.56549805</v>
      </c>
      <c r="K24" s="99" t="n">
        <f aca="false">J24*E24</f>
        <v>-148665.453822504</v>
      </c>
      <c r="L24" s="99" t="n">
        <f aca="false">J24+K24</f>
        <v>2872990.11167554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2754121.53630872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2754121.53630872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2754121.53630872</v>
      </c>
      <c r="K25" s="99" t="n">
        <f aca="false">J25*E25</f>
        <v>33875.6948965973</v>
      </c>
      <c r="L25" s="99" t="n">
        <f aca="false">J25+K25</f>
        <v>2787997.23120532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2666156.94145433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2666156.94145433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2666156.94145433</v>
      </c>
      <c r="K26" s="99" t="n">
        <f aca="false">J26*E26</f>
        <v>170900.659947222</v>
      </c>
      <c r="L26" s="99" t="n">
        <f aca="false">J26+K26</f>
        <v>2837057.60140155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2712171.30440678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2712171.30440678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2712171.30440678</v>
      </c>
      <c r="K27" s="99" t="n">
        <f aca="false">J27*E27</f>
        <v>290473.546701966</v>
      </c>
      <c r="L27" s="99" t="n">
        <f aca="false">J27+K27</f>
        <v>3002644.85110875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2874636.39668911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2874636.39668911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2874636.39668911</v>
      </c>
      <c r="K28" s="99" t="n">
        <f aca="false">J28*E28</f>
        <v>187138.829424461</v>
      </c>
      <c r="L28" s="99" t="n">
        <f aca="false">J28+K28</f>
        <v>3061775.22611357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2930566.56033345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2930566.56033345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2930566.56033345</v>
      </c>
      <c r="K29" s="99" t="n">
        <f aca="false">J29*E29</f>
        <v>234445.324826676</v>
      </c>
      <c r="L29" s="99" t="n">
        <f aca="false">J29+K29</f>
        <v>3165011.88516012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3030523.00273549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3030523.00273549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3030523.00273549</v>
      </c>
      <c r="K30" s="99" t="n">
        <f aca="false">J30*E30</f>
        <v>94249.2653850739</v>
      </c>
      <c r="L30" s="99" t="n">
        <f aca="false">J30+K30</f>
        <v>3124772.26812057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2986921.16363532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2986921.16363532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2986921.16363532</v>
      </c>
      <c r="K31" s="99" t="n">
        <f aca="false">J31*E31</f>
        <v>168163.661512669</v>
      </c>
      <c r="L31" s="99" t="n">
        <f aca="false">J31+K31</f>
        <v>3155084.82514799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121419.559497371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3013787.44305062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3013787.44305062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3013787.44305062</v>
      </c>
      <c r="K32" s="99" t="n">
        <f aca="false">J32*E32</f>
        <v>81975.0184509767</v>
      </c>
      <c r="L32" s="99" t="n">
        <f aca="false">J32+K32</f>
        <v>3095762.46150159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127164.027132937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2950932.64485178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2950932.64485178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2950932.64485178</v>
      </c>
      <c r="K33" s="99" t="n">
        <f aca="false">J33*E33</f>
        <v>486313.699871574</v>
      </c>
      <c r="L33" s="99" t="n">
        <f aca="false">J33+K33</f>
        <v>3437246.34472336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128861.687548113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3288795.7826573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3288795.7826573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3288795.7826573</v>
      </c>
      <c r="K34" s="99" t="n">
        <f aca="false">J34*E34</f>
        <v>-221993.715329368</v>
      </c>
      <c r="L34" s="99" t="n">
        <f aca="false">J34+K34</f>
        <v>3066802.06732793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149490.717393514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2914640.24121022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2914640.24121022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2914640.24121022</v>
      </c>
      <c r="K35" s="99" t="n">
        <f aca="false">J35*E35</f>
        <v>387064.224032718</v>
      </c>
      <c r="L35" s="99" t="n">
        <f aca="false">J35+K35</f>
        <v>3301704.46524294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138134.608588162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3145738.59347229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3145738.59347229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3145738.59347229</v>
      </c>
      <c r="K36" s="99" t="n">
        <f aca="false">J36*E36</f>
        <v>144074.827581031</v>
      </c>
      <c r="L36" s="99" t="n">
        <f aca="false">J36+K36</f>
        <v>3289813.42105332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155729.633340212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3129948.40248841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3129948.40248841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3129948.40248841</v>
      </c>
      <c r="K37" s="99" t="n">
        <f aca="false">J37*E37</f>
        <v>282947.335584952</v>
      </c>
      <c r="L37" s="99" t="n">
        <f aca="false">J37+K37</f>
        <v>3412895.73807336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161337.546520021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3249034.09404432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3249034.09404432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3249034.09404432</v>
      </c>
      <c r="K38" s="99" t="n">
        <f aca="false">J38*E38</f>
        <v>220284.511576205</v>
      </c>
      <c r="L38" s="99" t="n">
        <f aca="false">J38+K38</f>
        <v>3469318.60562052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175623.464542936</v>
      </c>
      <c r="O38" s="99" t="n">
        <f aca="false">IF(D38&gt;$B$4,0,IF(D38&lt;$B$3,0,$B$8*(1+$B$10)^(C38-1)))</f>
        <v>167958.185129765</v>
      </c>
      <c r="P38" s="99" t="n">
        <f aca="false">MAX(N38,O38)</f>
        <v>175623.464542936</v>
      </c>
      <c r="Q38" s="99" t="n">
        <f aca="false">MAX(0,L38-P38)</f>
        <v>3293695.14107759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3293695.14107759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3293695.14107759</v>
      </c>
      <c r="K39" s="99" t="n">
        <f aca="false">J39*E39</f>
        <v>175553.951019435</v>
      </c>
      <c r="L39" s="99" t="n">
        <f aca="false">J39+K39</f>
        <v>3469249.09209702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186084.471247321</v>
      </c>
      <c r="O39" s="99" t="n">
        <f aca="false">IF(D39&gt;$B$4,0,IF(D39&lt;$B$3,0,$B$8*(1+$B$10)^(C39-1)))</f>
        <v>172157.13975801</v>
      </c>
      <c r="P39" s="99" t="n">
        <f aca="false">MAX(N39,O39)</f>
        <v>186084.471247321</v>
      </c>
      <c r="Q39" s="99" t="n">
        <f aca="false">MAX(0,L39-P39)</f>
        <v>3283164.6208497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3283164.6208497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3283164.6208497</v>
      </c>
      <c r="K40" s="99" t="n">
        <f aca="false">J40*E40</f>
        <v>243610.814867048</v>
      </c>
      <c r="L40" s="99" t="n">
        <f aca="false">J40+K40</f>
        <v>3526775.43571675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195426.465526768</v>
      </c>
      <c r="O40" s="99" t="n">
        <f aca="false">IF(D40&gt;$B$4,0,IF(D40&lt;$B$3,0,$B$8*(1+$B$10)^(C40-1)))</f>
        <v>176461.06825196</v>
      </c>
      <c r="P40" s="99" t="n">
        <f aca="false">MAX(N40,O40)</f>
        <v>195426.465526768</v>
      </c>
      <c r="Q40" s="99" t="n">
        <f aca="false">MAX(0,L40-P40)</f>
        <v>3331348.97018998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3331348.97018998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3331348.97018998</v>
      </c>
      <c r="K41" s="99" t="n">
        <f aca="false">J41*E41</f>
        <v>216537.683062349</v>
      </c>
      <c r="L41" s="99" t="n">
        <f aca="false">J41+K41</f>
        <v>3547886.65325233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208209.310636874</v>
      </c>
      <c r="O41" s="99" t="n">
        <f aca="false">IF(D41&gt;$B$4,0,IF(D41&lt;$B$3,0,$B$8*(1+$B$10)^(C41-1)))</f>
        <v>180872.594958259</v>
      </c>
      <c r="P41" s="99" t="n">
        <f aca="false">MAX(N41,O41)</f>
        <v>208209.310636874</v>
      </c>
      <c r="Q41" s="99" t="n">
        <f aca="false">MAX(0,L41-P41)</f>
        <v>3339677.34261545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3339677.34261545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3339677.34261545</v>
      </c>
      <c r="K42" s="99" t="n">
        <f aca="false">J42*E42</f>
        <v>-116888.706991541</v>
      </c>
      <c r="L42" s="99" t="n">
        <f aca="false">J42+K42</f>
        <v>3222788.63562391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219715.614645754</v>
      </c>
      <c r="O42" s="99" t="n">
        <f aca="false">IF(D42&gt;$B$4,0,IF(D42&lt;$B$3,0,$B$8*(1+$B$10)^(C42-1)))</f>
        <v>185394.409832215</v>
      </c>
      <c r="P42" s="99" t="n">
        <f aca="false">MAX(N42,O42)</f>
        <v>219715.614645754</v>
      </c>
      <c r="Q42" s="99" t="n">
        <f aca="false">MAX(0,L42-P42)</f>
        <v>3003073.02097816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3003073.02097816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3003073.02097816</v>
      </c>
      <c r="K43" s="99" t="n">
        <f aca="false">J43*E43</f>
        <v>240245.841678253</v>
      </c>
      <c r="L43" s="99" t="n">
        <f aca="false">J43+K43</f>
        <v>3243318.86265641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208546.737567928</v>
      </c>
      <c r="O43" s="99" t="n">
        <f aca="false">IF(D43&gt;$B$4,0,IF(D43&lt;$B$3,0,$B$8*(1+$B$10)^(C43-1)))</f>
        <v>190029.270078021</v>
      </c>
      <c r="P43" s="99" t="n">
        <f aca="false">MAX(N43,O43)</f>
        <v>208546.737567928</v>
      </c>
      <c r="Q43" s="99" t="n">
        <f aca="false">MAX(0,L43-P43)</f>
        <v>3034772.12508849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3034772.12508849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3034772.12508849</v>
      </c>
      <c r="K44" s="99" t="n">
        <f aca="false">J44*E44</f>
        <v>164484.649179796</v>
      </c>
      <c r="L44" s="99" t="n">
        <f aca="false">J44+K44</f>
        <v>3199256.77426828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221516.213510108</v>
      </c>
      <c r="O44" s="99" t="n">
        <f aca="false">IF(D44&gt;$B$4,0,IF(D44&lt;$B$3,0,$B$8*(1+$B$10)^(C44-1)))</f>
        <v>194780.001829971</v>
      </c>
      <c r="P44" s="99" t="n">
        <f aca="false">MAX(N44,O44)</f>
        <v>221516.213510108</v>
      </c>
      <c r="Q44" s="99" t="n">
        <f aca="false">MAX(0,L44-P44)</f>
        <v>2977740.56075817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2977740.56075817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2977740.56075817</v>
      </c>
      <c r="K45" s="99" t="n">
        <f aca="false">J45*E45</f>
        <v>235539.278355971</v>
      </c>
      <c r="L45" s="99" t="n">
        <f aca="false">J45+K45</f>
        <v>3213279.83911414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230832.601609161</v>
      </c>
      <c r="O45" s="99" t="n">
        <f aca="false">IF(D45&gt;$B$4,0,IF(D45&lt;$B$3,0,$B$8*(1+$B$10)^(C45-1)))</f>
        <v>199649.50187572</v>
      </c>
      <c r="P45" s="99" t="n">
        <f aca="false">MAX(N45,O45)</f>
        <v>230832.601609161</v>
      </c>
      <c r="Q45" s="99" t="n">
        <f aca="false">MAX(0,L45-P45)</f>
        <v>2982447.23750498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2982447.23750498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2982447.23750498</v>
      </c>
      <c r="K46" s="99" t="n">
        <f aca="false">J46*E46</f>
        <v>112438.260853938</v>
      </c>
      <c r="L46" s="99" t="n">
        <f aca="false">J46+K46</f>
        <v>3094885.49835892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244462.888320081</v>
      </c>
      <c r="O46" s="99" t="n">
        <f aca="false">IF(D46&gt;$B$4,0,IF(D46&lt;$B$3,0,$B$8*(1+$B$10)^(C46-1)))</f>
        <v>204640.739422613</v>
      </c>
      <c r="P46" s="99" t="n">
        <f aca="false">MAX(N46,O46)</f>
        <v>244462.888320081</v>
      </c>
      <c r="Q46" s="99" t="n">
        <f aca="false">MAX(0,L46-P46)</f>
        <v>2850422.61003884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2850422.61003884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2850422.61003884</v>
      </c>
      <c r="K47" s="99" t="n">
        <f aca="false">J47*E47</f>
        <v>261953.837862569</v>
      </c>
      <c r="L47" s="99" t="n">
        <f aca="false">J47+K47</f>
        <v>3112376.44790141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3112376.44790141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3112376.44790141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3112376.44790141</v>
      </c>
      <c r="K48" s="99" t="n">
        <f aca="false">J48*E48</f>
        <v>104887.086294278</v>
      </c>
      <c r="L48" s="99" t="n">
        <f aca="false">J48+K48</f>
        <v>3217263.53419569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3217263.53419569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3217263.53419569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3217263.53419569</v>
      </c>
      <c r="K49" s="99" t="n">
        <f aca="false">J49*E49</f>
        <v>144776.859038806</v>
      </c>
      <c r="L49" s="99" t="n">
        <f aca="false">J49+K49</f>
        <v>3362040.39323449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3362040.39323449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3362040.39323449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3362040.39323449</v>
      </c>
      <c r="K50" s="99" t="n">
        <f aca="false">J50*E50</f>
        <v>369824.443255794</v>
      </c>
      <c r="L50" s="99" t="n">
        <f aca="false">J50+K50</f>
        <v>3731864.83649029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3731864.83649029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3731864.83649029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3731864.83649029</v>
      </c>
      <c r="K51" s="99" t="n">
        <f aca="false">J51*E51</f>
        <v>326538.1731929</v>
      </c>
      <c r="L51" s="99" t="n">
        <f aca="false">J51+K51</f>
        <v>4058403.00968319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4058403.00968319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4058403.00968319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4058403.00968319</v>
      </c>
      <c r="K52" s="99" t="n">
        <f aca="false">J52*E52</f>
        <v>-189527.420552205</v>
      </c>
      <c r="L52" s="99" t="n">
        <f aca="false">J52+K52</f>
        <v>3868875.58913098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3868875.58913098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3868875.58913098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3868875.58913098</v>
      </c>
      <c r="K53" s="99" t="n">
        <f aca="false">J53*E53</f>
        <v>-273916.391710474</v>
      </c>
      <c r="L53" s="99" t="n">
        <f aca="false">J53+K53</f>
        <v>3594959.19742051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3594959.19742051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3594959.19742051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3594959.19742051</v>
      </c>
      <c r="K54" s="99" t="n">
        <f aca="false">J54*E54</f>
        <v>-484600.499812285</v>
      </c>
      <c r="L54" s="99" t="n">
        <f aca="false">J54+K54</f>
        <v>3110358.69760823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3110358.69760823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3110358.69760823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45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Match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ORP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ORP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0.5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0.08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196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ORP with % of Salary / Match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2500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99994999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2500</v>
      </c>
      <c r="Z17" s="99" t="n">
        <f aca="false">W17+X17+Y17</f>
        <v>7500</v>
      </c>
      <c r="AA17" s="100" t="n">
        <f aca="false">Q17+Z17</f>
        <v>2189900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2189900</v>
      </c>
      <c r="K18" s="99" t="n">
        <f aca="false">J18*E18</f>
        <v>104896.21</v>
      </c>
      <c r="L18" s="99" t="n">
        <f aca="false">J18+K18</f>
        <v>2294796.21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2294796.21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2550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102494898.975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2550</v>
      </c>
      <c r="Z18" s="99" t="n">
        <f aca="false">W18+X18+Y18</f>
        <v>7650</v>
      </c>
      <c r="AA18" s="100" t="n">
        <f aca="false">Q18+W18+X18+Y18</f>
        <v>2302446.21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2302446.21</v>
      </c>
      <c r="K19" s="99" t="n">
        <f aca="false">J19*E19</f>
        <v>49042.104273</v>
      </c>
      <c r="L19" s="99" t="n">
        <f aca="false">J19+K19</f>
        <v>2351488.314273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2351488.314273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2601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105057296.949375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2601</v>
      </c>
      <c r="Z19" s="99" t="n">
        <f aca="false">W19+X19+Y19</f>
        <v>7803</v>
      </c>
      <c r="AA19" s="100" t="n">
        <f aca="false">Q19+W19+X19+Y19</f>
        <v>2359291.314273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2359291.314273</v>
      </c>
      <c r="K20" s="99" t="n">
        <f aca="false">J20*E20</f>
        <v>259522.04457003</v>
      </c>
      <c r="L20" s="99" t="n">
        <f aca="false">J20+K20</f>
        <v>2618813.35884303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2618813.35884303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2653.02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107683755.383109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2653.02</v>
      </c>
      <c r="Z20" s="99" t="n">
        <f aca="false">W20+X20+Y20</f>
        <v>7959.06</v>
      </c>
      <c r="AA20" s="100" t="n">
        <f aca="false">Q20+W20+X20+Y20</f>
        <v>2626772.41884303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2626772.41884303</v>
      </c>
      <c r="K21" s="99" t="n">
        <f aca="false">J21*E21</f>
        <v>210667.147991211</v>
      </c>
      <c r="L21" s="99" t="n">
        <f aca="false">J21+K21</f>
        <v>2837439.56683424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2727058.27777174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2727058.27777174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2727058.27777174</v>
      </c>
      <c r="K22" s="99" t="n">
        <f aca="false">J22*E22</f>
        <v>223073.367121728</v>
      </c>
      <c r="L22" s="99" t="n">
        <f aca="false">J22+K22</f>
        <v>2950131.64489347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2836990.82360441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2836990.82360441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2836990.82360441</v>
      </c>
      <c r="K23" s="99" t="n">
        <f aca="false">J23*E23</f>
        <v>285968.675019324</v>
      </c>
      <c r="L23" s="99" t="n">
        <f aca="false">J23+K23</f>
        <v>3122959.49862373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3006990.15680244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3006990.15680244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3006990.15680244</v>
      </c>
      <c r="K24" s="99" t="n">
        <f aca="false">J24*E24</f>
        <v>-147943.91571468</v>
      </c>
      <c r="L24" s="99" t="n">
        <f aca="false">J24+K24</f>
        <v>2859046.24108776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2740177.66572094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2740177.66572094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2740177.66572094</v>
      </c>
      <c r="K25" s="99" t="n">
        <f aca="false">J25*E25</f>
        <v>33704.1852883676</v>
      </c>
      <c r="L25" s="99" t="n">
        <f aca="false">J25+K25</f>
        <v>2773881.85100931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2652041.56125832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2652041.56125832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2652041.56125832</v>
      </c>
      <c r="K26" s="99" t="n">
        <f aca="false">J26*E26</f>
        <v>169995.864076658</v>
      </c>
      <c r="L26" s="99" t="n">
        <f aca="false">J26+K26</f>
        <v>2822037.42533497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2697151.12834021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2697151.12834021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2697151.12834021</v>
      </c>
      <c r="K27" s="99" t="n">
        <f aca="false">J27*E27</f>
        <v>288864.885845236</v>
      </c>
      <c r="L27" s="99" t="n">
        <f aca="false">J27+K27</f>
        <v>2986016.01418545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2858007.55976581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2858007.55976581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2858007.55976581</v>
      </c>
      <c r="K28" s="99" t="n">
        <f aca="false">J28*E28</f>
        <v>186056.292140754</v>
      </c>
      <c r="L28" s="99" t="n">
        <f aca="false">J28+K28</f>
        <v>3044063.85190656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2912855.18612644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2912855.18612644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2912855.18612644</v>
      </c>
      <c r="K29" s="99" t="n">
        <f aca="false">J29*E29</f>
        <v>233028.414890115</v>
      </c>
      <c r="L29" s="99" t="n">
        <f aca="false">J29+K29</f>
        <v>3145883.60101655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3011394.71859192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3011394.71859192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3011394.71859192</v>
      </c>
      <c r="K30" s="99" t="n">
        <f aca="false">J30*E30</f>
        <v>93654.3757482088</v>
      </c>
      <c r="L30" s="99" t="n">
        <f aca="false">J30+K30</f>
        <v>3105049.09434013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2967197.98985489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2967197.98985489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2967197.98985489</v>
      </c>
      <c r="K31" s="99" t="n">
        <f aca="false">J31*E31</f>
        <v>167053.24682883</v>
      </c>
      <c r="L31" s="99" t="n">
        <f aca="false">J31+K31</f>
        <v>3134251.23668372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120617.804465646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2992953.85458634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2992953.85458634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2992953.85458634</v>
      </c>
      <c r="K32" s="99" t="n">
        <f aca="false">J32*E32</f>
        <v>81408.3448447484</v>
      </c>
      <c r="L32" s="99" t="n">
        <f aca="false">J32+K32</f>
        <v>3074362.19943109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126284.972767356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2929532.38278128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2929532.38278128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2929532.38278128</v>
      </c>
      <c r="K33" s="99" t="n">
        <f aca="false">J33*E33</f>
        <v>482786.936682354</v>
      </c>
      <c r="L33" s="99" t="n">
        <f aca="false">J33+K33</f>
        <v>3412319.31946363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127927.178287392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3263868.75739757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3263868.75739757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3263868.75739757</v>
      </c>
      <c r="K34" s="99" t="n">
        <f aca="false">J34*E34</f>
        <v>-220311.141124336</v>
      </c>
      <c r="L34" s="99" t="n">
        <f aca="false">J34+K34</f>
        <v>3043557.61627324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148357.670790799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2891395.79015553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2891395.79015553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2891395.79015553</v>
      </c>
      <c r="K35" s="99" t="n">
        <f aca="false">J35*E35</f>
        <v>383977.360932655</v>
      </c>
      <c r="L35" s="99" t="n">
        <f aca="false">J35+K35</f>
        <v>3275373.15108819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137032.975836755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3119407.27931754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3119407.27931754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3119407.27931754</v>
      </c>
      <c r="K36" s="99" t="n">
        <f aca="false">J36*E36</f>
        <v>142868.853392743</v>
      </c>
      <c r="L36" s="99" t="n">
        <f aca="false">J36+K36</f>
        <v>3262276.13271028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154426.102936512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3102411.11414536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3102411.11414536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3102411.11414536</v>
      </c>
      <c r="K37" s="99" t="n">
        <f aca="false">J37*E37</f>
        <v>280457.964718741</v>
      </c>
      <c r="L37" s="99" t="n">
        <f aca="false">J37+K37</f>
        <v>3382869.0788641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159918.098667287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3219007.43483506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3219007.43483506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3219007.43483506</v>
      </c>
      <c r="K38" s="99" t="n">
        <f aca="false">J38*E38</f>
        <v>218248.704081817</v>
      </c>
      <c r="L38" s="99" t="n">
        <f aca="false">J38+K38</f>
        <v>3437256.13891688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174000.401882976</v>
      </c>
      <c r="O38" s="99" t="n">
        <f aca="false">IF(D38&gt;$B$4,0,IF(D38&lt;$B$3,0,$B$8*(1+$B$10)^(C38-1)))</f>
        <v>167958.185129765</v>
      </c>
      <c r="P38" s="99" t="n">
        <f aca="false">MAX(N38,O38)</f>
        <v>174000.401882976</v>
      </c>
      <c r="Q38" s="99" t="n">
        <f aca="false">MAX(0,L38-P38)</f>
        <v>3263255.7370339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3263255.7370339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3263255.7370339</v>
      </c>
      <c r="K39" s="99" t="n">
        <f aca="false">J39*E39</f>
        <v>173931.530783907</v>
      </c>
      <c r="L39" s="99" t="n">
        <f aca="false">J39+K39</f>
        <v>3437187.26781781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184364.73090587</v>
      </c>
      <c r="O39" s="99" t="n">
        <f aca="false">IF(D39&gt;$B$4,0,IF(D39&lt;$B$3,0,$B$8*(1+$B$10)^(C39-1)))</f>
        <v>172157.13975801</v>
      </c>
      <c r="P39" s="99" t="n">
        <f aca="false">MAX(N39,O39)</f>
        <v>184364.73090587</v>
      </c>
      <c r="Q39" s="99" t="n">
        <f aca="false">MAX(0,L39-P39)</f>
        <v>3252822.53691194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3252822.53691194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3252822.53691194</v>
      </c>
      <c r="K40" s="99" t="n">
        <f aca="false">J40*E40</f>
        <v>241359.432238866</v>
      </c>
      <c r="L40" s="99" t="n">
        <f aca="false">J40+K40</f>
        <v>3494181.96915081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193620.389101901</v>
      </c>
      <c r="O40" s="99" t="n">
        <f aca="false">IF(D40&gt;$B$4,0,IF(D40&lt;$B$3,0,$B$8*(1+$B$10)^(C40-1)))</f>
        <v>176461.06825196</v>
      </c>
      <c r="P40" s="99" t="n">
        <f aca="false">MAX(N40,O40)</f>
        <v>193620.389101901</v>
      </c>
      <c r="Q40" s="99" t="n">
        <f aca="false">MAX(0,L40-P40)</f>
        <v>3300561.58004891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3300561.58004891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3300561.58004891</v>
      </c>
      <c r="K41" s="99" t="n">
        <f aca="false">J41*E41</f>
        <v>214536.502703179</v>
      </c>
      <c r="L41" s="99" t="n">
        <f aca="false">J41+K41</f>
        <v>3515098.08275208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206285.098753057</v>
      </c>
      <c r="O41" s="99" t="n">
        <f aca="false">IF(D41&gt;$B$4,0,IF(D41&lt;$B$3,0,$B$8*(1+$B$10)^(C41-1)))</f>
        <v>180872.594958259</v>
      </c>
      <c r="P41" s="99" t="n">
        <f aca="false">MAX(N41,O41)</f>
        <v>206285.098753057</v>
      </c>
      <c r="Q41" s="99" t="n">
        <f aca="false">MAX(0,L41-P41)</f>
        <v>3308812.98399903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3308812.98399903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3308812.98399903</v>
      </c>
      <c r="K42" s="99" t="n">
        <f aca="false">J42*E42</f>
        <v>-115808.454439966</v>
      </c>
      <c r="L42" s="99" t="n">
        <f aca="false">J42+K42</f>
        <v>3193004.52955906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217685.064736778</v>
      </c>
      <c r="O42" s="99" t="n">
        <f aca="false">IF(D42&gt;$B$4,0,IF(D42&lt;$B$3,0,$B$8*(1+$B$10)^(C42-1)))</f>
        <v>185394.409832215</v>
      </c>
      <c r="P42" s="99" t="n">
        <f aca="false">MAX(N42,O42)</f>
        <v>217685.064736778</v>
      </c>
      <c r="Q42" s="99" t="n">
        <f aca="false">MAX(0,L42-P42)</f>
        <v>2975319.46482228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2975319.46482228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2975319.46482228</v>
      </c>
      <c r="K43" s="99" t="n">
        <f aca="false">J43*E43</f>
        <v>238025.557185783</v>
      </c>
      <c r="L43" s="99" t="n">
        <f aca="false">J43+K43</f>
        <v>3213345.02200807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206619.407279325</v>
      </c>
      <c r="O43" s="99" t="n">
        <f aca="false">IF(D43&gt;$B$4,0,IF(D43&lt;$B$3,0,$B$8*(1+$B$10)^(C43-1)))</f>
        <v>190029.270078021</v>
      </c>
      <c r="P43" s="99" t="n">
        <f aca="false">MAX(N43,O43)</f>
        <v>206619.407279325</v>
      </c>
      <c r="Q43" s="99" t="n">
        <f aca="false">MAX(0,L43-P43)</f>
        <v>3006725.61472874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3006725.61472874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3006725.61472874</v>
      </c>
      <c r="K44" s="99" t="n">
        <f aca="false">J44*E44</f>
        <v>162964.528318298</v>
      </c>
      <c r="L44" s="99" t="n">
        <f aca="false">J44+K44</f>
        <v>3169690.14304704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219469.022972901</v>
      </c>
      <c r="O44" s="99" t="n">
        <f aca="false">IF(D44&gt;$B$4,0,IF(D44&lt;$B$3,0,$B$8*(1+$B$10)^(C44-1)))</f>
        <v>194780.001829971</v>
      </c>
      <c r="P44" s="99" t="n">
        <f aca="false">MAX(N44,O44)</f>
        <v>219469.022972901</v>
      </c>
      <c r="Q44" s="99" t="n">
        <f aca="false">MAX(0,L44-P44)</f>
        <v>2950221.12007414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2950221.12007414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2950221.12007414</v>
      </c>
      <c r="K45" s="99" t="n">
        <f aca="false">J45*E45</f>
        <v>233362.490597864</v>
      </c>
      <c r="L45" s="99" t="n">
        <f aca="false">J45+K45</f>
        <v>3183583.610672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228699.311633654</v>
      </c>
      <c r="O45" s="99" t="n">
        <f aca="false">IF(D45&gt;$B$4,0,IF(D45&lt;$B$3,0,$B$8*(1+$B$10)^(C45-1)))</f>
        <v>199649.50187572</v>
      </c>
      <c r="P45" s="99" t="n">
        <f aca="false">MAX(N45,O45)</f>
        <v>228699.311633654</v>
      </c>
      <c r="Q45" s="99" t="n">
        <f aca="false">MAX(0,L45-P45)</f>
        <v>2954884.29903835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2954884.29903835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2954884.29903835</v>
      </c>
      <c r="K46" s="99" t="n">
        <f aca="false">J46*E46</f>
        <v>111399.138073746</v>
      </c>
      <c r="L46" s="99" t="n">
        <f aca="false">J46+K46</f>
        <v>3066283.43711209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242203.631068717</v>
      </c>
      <c r="O46" s="99" t="n">
        <f aca="false">IF(D46&gt;$B$4,0,IF(D46&lt;$B$3,0,$B$8*(1+$B$10)^(C46-1)))</f>
        <v>204640.739422613</v>
      </c>
      <c r="P46" s="99" t="n">
        <f aca="false">MAX(N46,O46)</f>
        <v>242203.631068717</v>
      </c>
      <c r="Q46" s="99" t="n">
        <f aca="false">MAX(0,L46-P46)</f>
        <v>2824079.80604338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2824079.80604338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2824079.80604338</v>
      </c>
      <c r="K47" s="99" t="n">
        <f aca="false">J47*E47</f>
        <v>259532.934175386</v>
      </c>
      <c r="L47" s="99" t="n">
        <f aca="false">J47+K47</f>
        <v>3083612.74021876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3083612.74021876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3083612.74021876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3083612.74021876</v>
      </c>
      <c r="K48" s="99" t="n">
        <f aca="false">J48*E48</f>
        <v>103917.749345372</v>
      </c>
      <c r="L48" s="99" t="n">
        <f aca="false">J48+K48</f>
        <v>3187530.48956413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3187530.48956413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3187530.48956413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3187530.48956413</v>
      </c>
      <c r="K49" s="99" t="n">
        <f aca="false">J49*E49</f>
        <v>143438.872030386</v>
      </c>
      <c r="L49" s="99" t="n">
        <f aca="false">J49+K49</f>
        <v>3330969.36159452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3330969.36159452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3330969.36159452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3330969.36159452</v>
      </c>
      <c r="K50" s="99" t="n">
        <f aca="false">J50*E50</f>
        <v>366406.629775397</v>
      </c>
      <c r="L50" s="99" t="n">
        <f aca="false">J50+K50</f>
        <v>3697375.99136992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3697375.99136992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3697375.99136992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3697375.99136992</v>
      </c>
      <c r="K51" s="99" t="n">
        <f aca="false">J51*E51</f>
        <v>323520.399244868</v>
      </c>
      <c r="L51" s="99" t="n">
        <f aca="false">J51+K51</f>
        <v>4020896.39061479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4020896.39061479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4020896.39061479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4020896.39061479</v>
      </c>
      <c r="K52" s="99" t="n">
        <f aca="false">J52*E52</f>
        <v>-187775.861441711</v>
      </c>
      <c r="L52" s="99" t="n">
        <f aca="false">J52+K52</f>
        <v>3833120.52917308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3833120.52917308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3833120.52917308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3833120.52917308</v>
      </c>
      <c r="K53" s="99" t="n">
        <f aca="false">J53*E53</f>
        <v>-271384.933465454</v>
      </c>
      <c r="L53" s="99" t="n">
        <f aca="false">J53+K53</f>
        <v>3561735.59570762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3561735.59570762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3561735.59570762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3561735.59570762</v>
      </c>
      <c r="K54" s="99" t="n">
        <f aca="false">J54*E54</f>
        <v>-480121.958301387</v>
      </c>
      <c r="L54" s="99" t="n">
        <f aca="false">J54+K54</f>
        <v>3081613.63740623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3081613.63740623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3081613.63740623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46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Other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Other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1000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197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Other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1000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99998999</v>
      </c>
      <c r="W17" s="99" t="n">
        <f aca="false">MIN(R17,T17)</f>
        <v>1000</v>
      </c>
      <c r="X17" s="99" t="n">
        <f aca="false">MIN(U17,R17-W17)</f>
        <v>0</v>
      </c>
      <c r="Y17" s="99" t="n">
        <f aca="false">MIN(S17,V17)</f>
        <v>1000</v>
      </c>
      <c r="Z17" s="99" t="n">
        <f aca="false">W17+X17+Y17</f>
        <v>2000</v>
      </c>
      <c r="AA17" s="100" t="n">
        <f aca="false">Q17+Z17</f>
        <v>2184400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2184400</v>
      </c>
      <c r="K18" s="99" t="n">
        <f aca="false">J18*E18</f>
        <v>104632.76</v>
      </c>
      <c r="L18" s="99" t="n">
        <f aca="false">J18+K18</f>
        <v>2289032.76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2289032.76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1000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1000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102498998.975</v>
      </c>
      <c r="W18" s="99" t="n">
        <f aca="false">MIN(R18,T18)</f>
        <v>1000</v>
      </c>
      <c r="X18" s="99" t="n">
        <f aca="false">MIN(U18,R18-W18)</f>
        <v>0</v>
      </c>
      <c r="Y18" s="99" t="n">
        <f aca="false">MIN(S18,V18)</f>
        <v>1000</v>
      </c>
      <c r="Z18" s="99" t="n">
        <f aca="false">W18+X18+Y18</f>
        <v>2000</v>
      </c>
      <c r="AA18" s="100" t="n">
        <f aca="false">Q18+W18+X18+Y18</f>
        <v>2291032.76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2291032.76</v>
      </c>
      <c r="K19" s="99" t="n">
        <f aca="false">J19*E19</f>
        <v>48798.997788</v>
      </c>
      <c r="L19" s="99" t="n">
        <f aca="false">J19+K19</f>
        <v>2339831.757788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2339831.757788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1000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1000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105061498.949375</v>
      </c>
      <c r="W19" s="99" t="n">
        <f aca="false">MIN(R19,T19)</f>
        <v>1000</v>
      </c>
      <c r="X19" s="99" t="n">
        <f aca="false">MIN(U19,R19-W19)</f>
        <v>0</v>
      </c>
      <c r="Y19" s="99" t="n">
        <f aca="false">MIN(S19,V19)</f>
        <v>1000</v>
      </c>
      <c r="Z19" s="99" t="n">
        <f aca="false">W19+X19+Y19</f>
        <v>2000</v>
      </c>
      <c r="AA19" s="100" t="n">
        <f aca="false">Q19+W19+X19+Y19</f>
        <v>2341831.757788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2341831.757788</v>
      </c>
      <c r="K20" s="99" t="n">
        <f aca="false">J20*E20</f>
        <v>257601.49335668</v>
      </c>
      <c r="L20" s="99" t="n">
        <f aca="false">J20+K20</f>
        <v>2599433.25114468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2599433.25114468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1000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1000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107688061.423109</v>
      </c>
      <c r="W20" s="99" t="n">
        <f aca="false">MIN(R20,T20)</f>
        <v>1000</v>
      </c>
      <c r="X20" s="99" t="n">
        <f aca="false">MIN(U20,R20-W20)</f>
        <v>0</v>
      </c>
      <c r="Y20" s="99" t="n">
        <f aca="false">MIN(S20,V20)</f>
        <v>1000</v>
      </c>
      <c r="Z20" s="99" t="n">
        <f aca="false">W20+X20+Y20</f>
        <v>2000</v>
      </c>
      <c r="AA20" s="100" t="n">
        <f aca="false">Q20+W20+X20+Y20</f>
        <v>2601433.25114468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2601433.25114468</v>
      </c>
      <c r="K21" s="99" t="n">
        <f aca="false">J21*E21</f>
        <v>208634.946741803</v>
      </c>
      <c r="L21" s="99" t="n">
        <f aca="false">J21+K21</f>
        <v>2810068.19788648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2699686.90882398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2699686.90882398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2699686.90882398</v>
      </c>
      <c r="K22" s="99" t="n">
        <f aca="false">J22*E22</f>
        <v>220834.389141802</v>
      </c>
      <c r="L22" s="99" t="n">
        <f aca="false">J22+K22</f>
        <v>2920521.29796578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2807380.47667672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2807380.47667672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2807380.47667672</v>
      </c>
      <c r="K23" s="99" t="n">
        <f aca="false">J23*E23</f>
        <v>282983.952049014</v>
      </c>
      <c r="L23" s="99" t="n">
        <f aca="false">J23+K23</f>
        <v>3090364.42872574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2974395.08690445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2974395.08690445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2974395.08690445</v>
      </c>
      <c r="K24" s="99" t="n">
        <f aca="false">J24*E24</f>
        <v>-146340.238275699</v>
      </c>
      <c r="L24" s="99" t="n">
        <f aca="false">J24+K24</f>
        <v>2828054.84862875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2709186.27326193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2709186.27326193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2709186.27326193</v>
      </c>
      <c r="K25" s="99" t="n">
        <f aca="false">J25*E25</f>
        <v>33322.9911611217</v>
      </c>
      <c r="L25" s="99" t="n">
        <f aca="false">J25+K25</f>
        <v>2742509.26442305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2620668.97467206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2620668.97467206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2620668.97467206</v>
      </c>
      <c r="K26" s="99" t="n">
        <f aca="false">J26*E26</f>
        <v>167984.881276479</v>
      </c>
      <c r="L26" s="99" t="n">
        <f aca="false">J26+K26</f>
        <v>2788653.85594854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2663767.55895377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2663767.55895377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2663767.55895377</v>
      </c>
      <c r="K27" s="99" t="n">
        <f aca="false">J27*E27</f>
        <v>285289.505563949</v>
      </c>
      <c r="L27" s="99" t="n">
        <f aca="false">J27+K27</f>
        <v>2949057.06451772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2821048.61009808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2821048.61009808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2821048.61009808</v>
      </c>
      <c r="K28" s="99" t="n">
        <f aca="false">J28*E28</f>
        <v>183650.264517385</v>
      </c>
      <c r="L28" s="99" t="n">
        <f aca="false">J28+K28</f>
        <v>3004698.87461547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2873490.20883534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2873490.20883534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2873490.20883534</v>
      </c>
      <c r="K29" s="99" t="n">
        <f aca="false">J29*E29</f>
        <v>229879.216706827</v>
      </c>
      <c r="L29" s="99" t="n">
        <f aca="false">J29+K29</f>
        <v>3103369.42554217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2968880.54311754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2968880.54311754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2968880.54311754</v>
      </c>
      <c r="K30" s="99" t="n">
        <f aca="false">J30*E30</f>
        <v>92332.1848909554</v>
      </c>
      <c r="L30" s="99" t="n">
        <f aca="false">J30+K30</f>
        <v>3061212.72800849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2923361.62352325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2923361.62352325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2923361.62352325</v>
      </c>
      <c r="K31" s="99" t="n">
        <f aca="false">J31*E31</f>
        <v>164585.259404359</v>
      </c>
      <c r="L31" s="99" t="n">
        <f aca="false">J31+K31</f>
        <v>3087946.88292761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118835.838354604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2946649.50083023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2946649.50083023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2946649.50083023</v>
      </c>
      <c r="K32" s="99" t="n">
        <f aca="false">J32*E32</f>
        <v>80148.8664225822</v>
      </c>
      <c r="L32" s="99" t="n">
        <f aca="false">J32+K32</f>
        <v>3026798.36725281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124331.202566676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2881968.550603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2881968.550603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2881968.550603</v>
      </c>
      <c r="K33" s="99" t="n">
        <f aca="false">J33*E33</f>
        <v>474948.417139375</v>
      </c>
      <c r="L33" s="99" t="n">
        <f aca="false">J33+K33</f>
        <v>3356916.96774238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125850.155048166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3208466.40567632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3208466.40567632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3208466.40567632</v>
      </c>
      <c r="K34" s="99" t="n">
        <f aca="false">J34*E34</f>
        <v>-216571.482383152</v>
      </c>
      <c r="L34" s="99" t="n">
        <f aca="false">J34+K34</f>
        <v>2991894.92329317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145839.382076196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2839733.09717546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2839733.09717546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2839733.09717546</v>
      </c>
      <c r="K35" s="99" t="n">
        <f aca="false">J35*E35</f>
        <v>377116.555304901</v>
      </c>
      <c r="L35" s="99" t="n">
        <f aca="false">J35+K35</f>
        <v>3216849.65248036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134584.50697514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3060883.78070971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3060883.78070971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3060883.78070971</v>
      </c>
      <c r="K36" s="99" t="n">
        <f aca="false">J36*E36</f>
        <v>140188.477156505</v>
      </c>
      <c r="L36" s="99" t="n">
        <f aca="false">J36+K36</f>
        <v>3201072.25786622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151528.900035134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3041207.2393013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3041207.2393013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3041207.2393013</v>
      </c>
      <c r="K37" s="99" t="n">
        <f aca="false">J37*E37</f>
        <v>274925.134432838</v>
      </c>
      <c r="L37" s="99" t="n">
        <f aca="false">J37+K37</f>
        <v>3316132.37373414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156763.259757799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3152270.7297051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3152270.7297051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3152270.7297051</v>
      </c>
      <c r="K38" s="99" t="n">
        <f aca="false">J38*E38</f>
        <v>213723.955474006</v>
      </c>
      <c r="L38" s="99" t="n">
        <f aca="false">J38+K38</f>
        <v>3365994.6851791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170393.012416492</v>
      </c>
      <c r="O38" s="99" t="n">
        <f aca="false">IF(D38&gt;$B$4,0,IF(D38&lt;$B$3,0,$B$8*(1+$B$10)^(C38-1)))</f>
        <v>167958.185129765</v>
      </c>
      <c r="P38" s="99" t="n">
        <f aca="false">MAX(N38,O38)</f>
        <v>170393.012416492</v>
      </c>
      <c r="Q38" s="99" t="n">
        <f aca="false">MAX(0,L38-P38)</f>
        <v>3195601.67276261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3195601.67276261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3195601.67276261</v>
      </c>
      <c r="K39" s="99" t="n">
        <f aca="false">J39*E39</f>
        <v>170325.569158247</v>
      </c>
      <c r="L39" s="99" t="n">
        <f aca="false">J39+K39</f>
        <v>3365927.24192086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180542.467387718</v>
      </c>
      <c r="O39" s="99" t="n">
        <f aca="false">IF(D39&gt;$B$4,0,IF(D39&lt;$B$3,0,$B$8*(1+$B$10)^(C39-1)))</f>
        <v>172157.13975801</v>
      </c>
      <c r="P39" s="99" t="n">
        <f aca="false">MAX(N39,O39)</f>
        <v>180542.467387718</v>
      </c>
      <c r="Q39" s="99" t="n">
        <f aca="false">MAX(0,L39-P39)</f>
        <v>3185384.77453314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3185384.77453314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3185384.77453314</v>
      </c>
      <c r="K40" s="99" t="n">
        <f aca="false">J40*E40</f>
        <v>236355.550270359</v>
      </c>
      <c r="L40" s="99" t="n">
        <f aca="false">J40+K40</f>
        <v>3421740.3248035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189606.236579354</v>
      </c>
      <c r="O40" s="99" t="n">
        <f aca="false">IF(D40&gt;$B$4,0,IF(D40&lt;$B$3,0,$B$8*(1+$B$10)^(C40-1)))</f>
        <v>176461.06825196</v>
      </c>
      <c r="P40" s="99" t="n">
        <f aca="false">MAX(N40,O40)</f>
        <v>189606.236579354</v>
      </c>
      <c r="Q40" s="99" t="n">
        <f aca="false">MAX(0,L40-P40)</f>
        <v>3232134.08822415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3232134.08822415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3232134.08822415</v>
      </c>
      <c r="K41" s="99" t="n">
        <f aca="false">J41*E41</f>
        <v>210088.71573457</v>
      </c>
      <c r="L41" s="99" t="n">
        <f aca="false">J41+K41</f>
        <v>3442222.80395872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202008.380514009</v>
      </c>
      <c r="O41" s="99" t="n">
        <f aca="false">IF(D41&gt;$B$4,0,IF(D41&lt;$B$3,0,$B$8*(1+$B$10)^(C41-1)))</f>
        <v>180872.594958259</v>
      </c>
      <c r="P41" s="99" t="n">
        <f aca="false">MAX(N41,O41)</f>
        <v>202008.380514009</v>
      </c>
      <c r="Q41" s="99" t="n">
        <f aca="false">MAX(0,L41-P41)</f>
        <v>3240214.42344471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3240214.42344471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3240214.42344471</v>
      </c>
      <c r="K42" s="99" t="n">
        <f aca="false">J42*E42</f>
        <v>-113407.504820565</v>
      </c>
      <c r="L42" s="99" t="n">
        <f aca="false">J42+K42</f>
        <v>3126806.91862414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213172.001542415</v>
      </c>
      <c r="O42" s="99" t="n">
        <f aca="false">IF(D42&gt;$B$4,0,IF(D42&lt;$B$3,0,$B$8*(1+$B$10)^(C42-1)))</f>
        <v>185394.409832215</v>
      </c>
      <c r="P42" s="99" t="n">
        <f aca="false">MAX(N42,O42)</f>
        <v>213172.001542415</v>
      </c>
      <c r="Q42" s="99" t="n">
        <f aca="false">MAX(0,L42-P42)</f>
        <v>2913634.91708173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2913634.91708173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2913634.91708173</v>
      </c>
      <c r="K43" s="99" t="n">
        <f aca="false">J43*E43</f>
        <v>233090.793366538</v>
      </c>
      <c r="L43" s="99" t="n">
        <f aca="false">J43+K43</f>
        <v>3146725.71044827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202335.758130675</v>
      </c>
      <c r="O43" s="99" t="n">
        <f aca="false">IF(D43&gt;$B$4,0,IF(D43&lt;$B$3,0,$B$8*(1+$B$10)^(C43-1)))</f>
        <v>190029.270078021</v>
      </c>
      <c r="P43" s="99" t="n">
        <f aca="false">MAX(N43,O43)</f>
        <v>202335.758130675</v>
      </c>
      <c r="Q43" s="99" t="n">
        <f aca="false">MAX(0,L43-P43)</f>
        <v>2944389.95231759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2944389.95231759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2944389.95231759</v>
      </c>
      <c r="K44" s="99" t="n">
        <f aca="false">J44*E44</f>
        <v>159585.935415613</v>
      </c>
      <c r="L44" s="99" t="n">
        <f aca="false">J44+K44</f>
        <v>3103975.8877332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214918.974621722</v>
      </c>
      <c r="O44" s="99" t="n">
        <f aca="false">IF(D44&gt;$B$4,0,IF(D44&lt;$B$3,0,$B$8*(1+$B$10)^(C44-1)))</f>
        <v>194780.001829971</v>
      </c>
      <c r="P44" s="99" t="n">
        <f aca="false">MAX(N44,O44)</f>
        <v>214918.974621722</v>
      </c>
      <c r="Q44" s="99" t="n">
        <f aca="false">MAX(0,L44-P44)</f>
        <v>2889056.91311148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2889056.91311148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2889056.91311148</v>
      </c>
      <c r="K45" s="99" t="n">
        <f aca="false">J45*E45</f>
        <v>228524.401827118</v>
      </c>
      <c r="L45" s="99" t="n">
        <f aca="false">J45+K45</f>
        <v>3117581.3149386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223957.9002412</v>
      </c>
      <c r="O45" s="99" t="n">
        <f aca="false">IF(D45&gt;$B$4,0,IF(D45&lt;$B$3,0,$B$8*(1+$B$10)^(C45-1)))</f>
        <v>199649.50187572</v>
      </c>
      <c r="P45" s="99" t="n">
        <f aca="false">MAX(N45,O45)</f>
        <v>223957.9002412</v>
      </c>
      <c r="Q45" s="99" t="n">
        <f aca="false">MAX(0,L45-P45)</f>
        <v>2893623.4146974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2893623.4146974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2893623.4146974</v>
      </c>
      <c r="K46" s="99" t="n">
        <f aca="false">J46*E46</f>
        <v>109089.602734092</v>
      </c>
      <c r="L46" s="99" t="n">
        <f aca="false">J46+K46</f>
        <v>3002713.01743149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237182.247106344</v>
      </c>
      <c r="O46" s="99" t="n">
        <f aca="false">IF(D46&gt;$B$4,0,IF(D46&lt;$B$3,0,$B$8*(1+$B$10)^(C46-1)))</f>
        <v>204640.739422613</v>
      </c>
      <c r="P46" s="99" t="n">
        <f aca="false">MAX(N46,O46)</f>
        <v>237182.247106344</v>
      </c>
      <c r="Q46" s="99" t="n">
        <f aca="false">MAX(0,L46-P46)</f>
        <v>2765530.77032515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2765530.77032515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2765530.77032515</v>
      </c>
      <c r="K47" s="99" t="n">
        <f aca="false">J47*E47</f>
        <v>254152.277792881</v>
      </c>
      <c r="L47" s="99" t="n">
        <f aca="false">J47+K47</f>
        <v>3019683.04811803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3019683.04811803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3019683.04811803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3019683.04811803</v>
      </c>
      <c r="K48" s="99" t="n">
        <f aca="false">J48*E48</f>
        <v>101763.318721578</v>
      </c>
      <c r="L48" s="99" t="n">
        <f aca="false">J48+K48</f>
        <v>3121446.36683961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3121446.36683961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3121446.36683961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3121446.36683961</v>
      </c>
      <c r="K49" s="99" t="n">
        <f aca="false">J49*E49</f>
        <v>140465.086507782</v>
      </c>
      <c r="L49" s="99" t="n">
        <f aca="false">J49+K49</f>
        <v>3261911.45334739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3261911.45334739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3261911.45334739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3261911.45334739</v>
      </c>
      <c r="K50" s="99" t="n">
        <f aca="false">J50*E50</f>
        <v>358810.259868213</v>
      </c>
      <c r="L50" s="99" t="n">
        <f aca="false">J50+K50</f>
        <v>3620721.7132156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3620721.7132156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3620721.7132156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3620721.7132156</v>
      </c>
      <c r="K51" s="99" t="n">
        <f aca="false">J51*E51</f>
        <v>316813.149906365</v>
      </c>
      <c r="L51" s="99" t="n">
        <f aca="false">J51+K51</f>
        <v>3937534.86312197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3937534.86312197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3937534.86312197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3937534.86312197</v>
      </c>
      <c r="K52" s="99" t="n">
        <f aca="false">J52*E52</f>
        <v>-183882.878107796</v>
      </c>
      <c r="L52" s="99" t="n">
        <f aca="false">J52+K52</f>
        <v>3753651.98501417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3753651.98501417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3753651.98501417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3753651.98501417</v>
      </c>
      <c r="K53" s="99" t="n">
        <f aca="false">J53*E53</f>
        <v>-265758.560539003</v>
      </c>
      <c r="L53" s="99" t="n">
        <f aca="false">J53+K53</f>
        <v>3487893.42447517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3487893.42447517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3487893.42447517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3487893.42447517</v>
      </c>
      <c r="K54" s="99" t="n">
        <f aca="false">J54*E54</f>
        <v>-470168.033619253</v>
      </c>
      <c r="L54" s="99" t="n">
        <f aca="false">J54+K54</f>
        <v>3017725.39085591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3017725.39085591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3017725.39085591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47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Monthly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Other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Other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198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Other with Monthly / Monthly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24000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12000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99975999</v>
      </c>
      <c r="W17" s="99" t="n">
        <f aca="false">MIN(R17,T17)</f>
        <v>24000</v>
      </c>
      <c r="X17" s="99" t="n">
        <f aca="false">MIN(U17,R17-W17)</f>
        <v>0</v>
      </c>
      <c r="Y17" s="99" t="n">
        <f aca="false">MIN(S17,V17)</f>
        <v>12000</v>
      </c>
      <c r="Z17" s="99" t="n">
        <f aca="false">W17+X17+Y17</f>
        <v>36000</v>
      </c>
      <c r="AA17" s="100" t="n">
        <f aca="false">Q17+Z17</f>
        <v>2218400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2218400</v>
      </c>
      <c r="K18" s="99" t="n">
        <f aca="false">J18*E18</f>
        <v>106261.36</v>
      </c>
      <c r="L18" s="99" t="n">
        <f aca="false">J18+K18</f>
        <v>2324661.36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2324661.36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24000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12000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102475998.975</v>
      </c>
      <c r="W18" s="99" t="n">
        <f aca="false">MIN(R18,T18)</f>
        <v>24000</v>
      </c>
      <c r="X18" s="99" t="n">
        <f aca="false">MIN(U18,R18-W18)</f>
        <v>0</v>
      </c>
      <c r="Y18" s="99" t="n">
        <f aca="false">MIN(S18,V18)</f>
        <v>12000</v>
      </c>
      <c r="Z18" s="99" t="n">
        <f aca="false">W18+X18+Y18</f>
        <v>36000</v>
      </c>
      <c r="AA18" s="100" t="n">
        <f aca="false">Q18+W18+X18+Y18</f>
        <v>2360661.36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2360661.36</v>
      </c>
      <c r="K19" s="99" t="n">
        <f aca="false">J19*E19</f>
        <v>50282.086968</v>
      </c>
      <c r="L19" s="99" t="n">
        <f aca="false">J19+K19</f>
        <v>2410943.446968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2410943.446968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24000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12000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105038498.949375</v>
      </c>
      <c r="W19" s="99" t="n">
        <f aca="false">MIN(R19,T19)</f>
        <v>24000</v>
      </c>
      <c r="X19" s="99" t="n">
        <f aca="false">MIN(U19,R19-W19)</f>
        <v>0</v>
      </c>
      <c r="Y19" s="99" t="n">
        <f aca="false">MIN(S19,V19)</f>
        <v>12000</v>
      </c>
      <c r="Z19" s="99" t="n">
        <f aca="false">W19+X19+Y19</f>
        <v>36000</v>
      </c>
      <c r="AA19" s="100" t="n">
        <f aca="false">Q19+W19+X19+Y19</f>
        <v>2446943.446968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2446943.446968</v>
      </c>
      <c r="K20" s="99" t="n">
        <f aca="false">J20*E20</f>
        <v>269163.77916648</v>
      </c>
      <c r="L20" s="99" t="n">
        <f aca="false">J20+K20</f>
        <v>2716107.22613448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2716107.22613448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24000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12000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107665061.423109</v>
      </c>
      <c r="W20" s="99" t="n">
        <f aca="false">MIN(R20,T20)</f>
        <v>24000</v>
      </c>
      <c r="X20" s="99" t="n">
        <f aca="false">MIN(U20,R20-W20)</f>
        <v>0</v>
      </c>
      <c r="Y20" s="99" t="n">
        <f aca="false">MIN(S20,V20)</f>
        <v>12000</v>
      </c>
      <c r="Z20" s="99" t="n">
        <f aca="false">W20+X20+Y20</f>
        <v>36000</v>
      </c>
      <c r="AA20" s="100" t="n">
        <f aca="false">Q20+W20+X20+Y20</f>
        <v>2752107.22613448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2752107.22613448</v>
      </c>
      <c r="K21" s="99" t="n">
        <f aca="false">J21*E21</f>
        <v>220718.999535985</v>
      </c>
      <c r="L21" s="99" t="n">
        <f aca="false">J21+K21</f>
        <v>2972826.22567047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2862444.93660797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2862444.93660797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2862444.93660797</v>
      </c>
      <c r="K22" s="99" t="n">
        <f aca="false">J22*E22</f>
        <v>234147.995814532</v>
      </c>
      <c r="L22" s="99" t="n">
        <f aca="false">J22+K22</f>
        <v>3096592.9324225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2983452.11113343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2983452.11113343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2983452.11113343</v>
      </c>
      <c r="K23" s="99" t="n">
        <f aca="false">J23*E23</f>
        <v>300731.97280225</v>
      </c>
      <c r="L23" s="99" t="n">
        <f aca="false">J23+K23</f>
        <v>3284184.08393568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3168214.7421144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3168214.7421144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3168214.7421144</v>
      </c>
      <c r="K24" s="99" t="n">
        <f aca="false">J24*E24</f>
        <v>-155876.165312028</v>
      </c>
      <c r="L24" s="99" t="n">
        <f aca="false">J24+K24</f>
        <v>3012338.57680237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2893470.00143555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2893470.00143555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2893470.00143555</v>
      </c>
      <c r="K25" s="99" t="n">
        <f aca="false">J25*E25</f>
        <v>35589.6810176572</v>
      </c>
      <c r="L25" s="99" t="n">
        <f aca="false">J25+K25</f>
        <v>2929059.6824532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2807219.39270221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2807219.39270221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2807219.39270221</v>
      </c>
      <c r="K26" s="99" t="n">
        <f aca="false">J26*E26</f>
        <v>179942.763072212</v>
      </c>
      <c r="L26" s="99" t="n">
        <f aca="false">J26+K26</f>
        <v>2987162.15577442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2862275.85877966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2862275.85877966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2862275.85877966</v>
      </c>
      <c r="K27" s="99" t="n">
        <f aca="false">J27*E27</f>
        <v>306549.744475301</v>
      </c>
      <c r="L27" s="99" t="n">
        <f aca="false">J27+K27</f>
        <v>3168825.60325496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3040817.14883532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3040817.14883532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3040817.14883532</v>
      </c>
      <c r="K28" s="99" t="n">
        <f aca="false">J28*E28</f>
        <v>197957.19638918</v>
      </c>
      <c r="L28" s="99" t="n">
        <f aca="false">J28+K28</f>
        <v>3238774.3452245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3107565.67944438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3107565.67944438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3107565.67944438</v>
      </c>
      <c r="K29" s="99" t="n">
        <f aca="false">J29*E29</f>
        <v>248605.25435555</v>
      </c>
      <c r="L29" s="99" t="n">
        <f aca="false">J29+K29</f>
        <v>3356170.93379993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3221682.0513753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3221682.0513753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3221682.0513753</v>
      </c>
      <c r="K30" s="99" t="n">
        <f aca="false">J30*E30</f>
        <v>100194.311797772</v>
      </c>
      <c r="L30" s="99" t="n">
        <f aca="false">J30+K30</f>
        <v>3321876.36317307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3184025.25868782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3184025.25868782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3184025.25868782</v>
      </c>
      <c r="K31" s="99" t="n">
        <f aca="false">J31*E31</f>
        <v>179260.622064124</v>
      </c>
      <c r="L31" s="99" t="n">
        <f aca="false">J31+K31</f>
        <v>3363285.88075195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129431.921084871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3221988.49865457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3221988.49865457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3221988.49865457</v>
      </c>
      <c r="K32" s="99" t="n">
        <f aca="false">J32*E32</f>
        <v>87638.0871634043</v>
      </c>
      <c r="L32" s="99" t="n">
        <f aca="false">J32+K32</f>
        <v>3309626.58581797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135948.881799771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3164796.76916816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3164796.76916816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3164796.76916816</v>
      </c>
      <c r="K33" s="99" t="n">
        <f aca="false">J33*E33</f>
        <v>521558.507558913</v>
      </c>
      <c r="L33" s="99" t="n">
        <f aca="false">J33+K33</f>
        <v>3686355.27672708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138200.732278086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3537904.71466102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3537904.71466102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3537904.71466102</v>
      </c>
      <c r="K34" s="99" t="n">
        <f aca="false">J34*E34</f>
        <v>-238808.568239619</v>
      </c>
      <c r="L34" s="99" t="n">
        <f aca="false">J34+K34</f>
        <v>3299096.1464214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160813.85066641</v>
      </c>
      <c r="O34" s="99" t="n">
        <f aca="false">IF(D34&gt;$B$4,0,IF(D34&lt;$B$3,0,$B$8*(1+$B$10)^(C34-1)))</f>
        <v>152161.826117708</v>
      </c>
      <c r="P34" s="99" t="n">
        <f aca="false">MAX(N34,O34)</f>
        <v>160813.85066641</v>
      </c>
      <c r="Q34" s="99" t="n">
        <f aca="false">MAX(0,L34-P34)</f>
        <v>3138282.29575499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3138282.29575499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3138282.29575499</v>
      </c>
      <c r="K35" s="99" t="n">
        <f aca="false">J35*E35</f>
        <v>416763.888876263</v>
      </c>
      <c r="L35" s="99" t="n">
        <f aca="false">J35+K35</f>
        <v>3555046.18463125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148733.758092654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3399080.3128606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3399080.3128606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3399080.3128606</v>
      </c>
      <c r="K36" s="99" t="n">
        <f aca="false">J36*E36</f>
        <v>155677.878329016</v>
      </c>
      <c r="L36" s="99" t="n">
        <f aca="false">J36+K36</f>
        <v>3554758.19118962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168271.302616862</v>
      </c>
      <c r="O36" s="99" t="n">
        <f aca="false">IF(D36&gt;$B$4,0,IF(D36&lt;$B$3,0,$B$8*(1+$B$10)^(C36-1)))</f>
        <v>159865.018564917</v>
      </c>
      <c r="P36" s="99" t="n">
        <f aca="false">MAX(N36,O36)</f>
        <v>168271.302616862</v>
      </c>
      <c r="Q36" s="99" t="n">
        <f aca="false">MAX(0,L36-P36)</f>
        <v>3386486.88857276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3386486.88857276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3386486.88857276</v>
      </c>
      <c r="K37" s="99" t="n">
        <f aca="false">J37*E37</f>
        <v>306138.414726977</v>
      </c>
      <c r="L37" s="99" t="n">
        <f aca="false">J37+K37</f>
        <v>3692625.30329973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174561.179823338</v>
      </c>
      <c r="O37" s="99" t="n">
        <f aca="false">IF(D37&gt;$B$4,0,IF(D37&lt;$B$3,0,$B$8*(1+$B$10)^(C37-1)))</f>
        <v>163861.644029039</v>
      </c>
      <c r="P37" s="99" t="n">
        <f aca="false">MAX(N37,O37)</f>
        <v>174561.179823338</v>
      </c>
      <c r="Q37" s="99" t="n">
        <f aca="false">MAX(0,L37-P37)</f>
        <v>3518064.1234764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3518064.1234764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3518064.1234764</v>
      </c>
      <c r="K38" s="99" t="n">
        <f aca="false">J38*E38</f>
        <v>238524.7475717</v>
      </c>
      <c r="L38" s="99" t="n">
        <f aca="false">J38+K38</f>
        <v>3756588.8710481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190165.628296021</v>
      </c>
      <c r="O38" s="99" t="n">
        <f aca="false">IF(D38&gt;$B$4,0,IF(D38&lt;$B$3,0,$B$8*(1+$B$10)^(C38-1)))</f>
        <v>167958.185129765</v>
      </c>
      <c r="P38" s="99" t="n">
        <f aca="false">MAX(N38,O38)</f>
        <v>190165.628296021</v>
      </c>
      <c r="Q38" s="99" t="n">
        <f aca="false">MAX(0,L38-P38)</f>
        <v>3566423.24275207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3566423.24275207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3566423.24275207</v>
      </c>
      <c r="K39" s="99" t="n">
        <f aca="false">J39*E39</f>
        <v>190090.358838686</v>
      </c>
      <c r="L39" s="99" t="n">
        <f aca="false">J39+K39</f>
        <v>3756513.60159076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201492.838573564</v>
      </c>
      <c r="O39" s="99" t="n">
        <f aca="false">IF(D39&gt;$B$4,0,IF(D39&lt;$B$3,0,$B$8*(1+$B$10)^(C39-1)))</f>
        <v>172157.13975801</v>
      </c>
      <c r="P39" s="99" t="n">
        <f aca="false">MAX(N39,O39)</f>
        <v>201492.838573564</v>
      </c>
      <c r="Q39" s="99" t="n">
        <f aca="false">MAX(0,L39-P39)</f>
        <v>3555020.7630172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3555020.7630172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3555020.7630172</v>
      </c>
      <c r="K40" s="99" t="n">
        <f aca="false">J40*E40</f>
        <v>263782.540615876</v>
      </c>
      <c r="L40" s="99" t="n">
        <f aca="false">J40+K40</f>
        <v>3818803.30363307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211608.378751024</v>
      </c>
      <c r="O40" s="99" t="n">
        <f aca="false">IF(D40&gt;$B$4,0,IF(D40&lt;$B$3,0,$B$8*(1+$B$10)^(C40-1)))</f>
        <v>176461.06825196</v>
      </c>
      <c r="P40" s="99" t="n">
        <f aca="false">MAX(N40,O40)</f>
        <v>211608.378751024</v>
      </c>
      <c r="Q40" s="99" t="n">
        <f aca="false">MAX(0,L40-P40)</f>
        <v>3607194.92488205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3607194.92488205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3607194.92488205</v>
      </c>
      <c r="K41" s="99" t="n">
        <f aca="false">J41*E41</f>
        <v>234467.670117333</v>
      </c>
      <c r="L41" s="99" t="n">
        <f aca="false">J41+K41</f>
        <v>3841662.59499938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225449.682805128</v>
      </c>
      <c r="O41" s="99" t="n">
        <f aca="false">IF(D41&gt;$B$4,0,IF(D41&lt;$B$3,0,$B$8*(1+$B$10)^(C41-1)))</f>
        <v>180872.594958259</v>
      </c>
      <c r="P41" s="99" t="n">
        <f aca="false">MAX(N41,O41)</f>
        <v>225449.682805128</v>
      </c>
      <c r="Q41" s="99" t="n">
        <f aca="false">MAX(0,L41-P41)</f>
        <v>3616212.91219425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3616212.91219425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3616212.91219425</v>
      </c>
      <c r="K42" s="99" t="n">
        <f aca="false">J42*E42</f>
        <v>-126567.451926799</v>
      </c>
      <c r="L42" s="99" t="n">
        <f aca="false">J42+K42</f>
        <v>3489645.46026746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237908.744223306</v>
      </c>
      <c r="O42" s="99" t="n">
        <f aca="false">IF(D42&gt;$B$4,0,IF(D42&lt;$B$3,0,$B$8*(1+$B$10)^(C42-1)))</f>
        <v>185394.409832215</v>
      </c>
      <c r="P42" s="99" t="n">
        <f aca="false">MAX(N42,O42)</f>
        <v>237908.744223306</v>
      </c>
      <c r="Q42" s="99" t="n">
        <f aca="false">MAX(0,L42-P42)</f>
        <v>3251736.71604415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3251736.71604415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3251736.71604415</v>
      </c>
      <c r="K43" s="99" t="n">
        <f aca="false">J43*E43</f>
        <v>260138.937283532</v>
      </c>
      <c r="L43" s="99" t="n">
        <f aca="false">J43+K43</f>
        <v>3511875.65332768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225815.049725288</v>
      </c>
      <c r="O43" s="99" t="n">
        <f aca="false">IF(D43&gt;$B$4,0,IF(D43&lt;$B$3,0,$B$8*(1+$B$10)^(C43-1)))</f>
        <v>190029.270078021</v>
      </c>
      <c r="P43" s="99" t="n">
        <f aca="false">MAX(N43,O43)</f>
        <v>225815.049725288</v>
      </c>
      <c r="Q43" s="99" t="n">
        <f aca="false">MAX(0,L43-P43)</f>
        <v>3286060.60360239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3286060.60360239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3286060.60360239</v>
      </c>
      <c r="K44" s="99" t="n">
        <f aca="false">J44*E44</f>
        <v>178104.48471525</v>
      </c>
      <c r="L44" s="99" t="n">
        <f aca="false">J44+K44</f>
        <v>3464165.08831764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239858.438219153</v>
      </c>
      <c r="O44" s="99" t="n">
        <f aca="false">IF(D44&gt;$B$4,0,IF(D44&lt;$B$3,0,$B$8*(1+$B$10)^(C44-1)))</f>
        <v>194780.001829971</v>
      </c>
      <c r="P44" s="99" t="n">
        <f aca="false">MAX(N44,O44)</f>
        <v>239858.438219153</v>
      </c>
      <c r="Q44" s="99" t="n">
        <f aca="false">MAX(0,L44-P44)</f>
        <v>3224306.65009849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3224306.65009849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3224306.65009849</v>
      </c>
      <c r="K45" s="99" t="n">
        <f aca="false">J45*E45</f>
        <v>255042.656022791</v>
      </c>
      <c r="L45" s="99" t="n">
        <f aca="false">J45+K45</f>
        <v>3479349.30612128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249946.251945619</v>
      </c>
      <c r="O45" s="99" t="n">
        <f aca="false">IF(D45&gt;$B$4,0,IF(D45&lt;$B$3,0,$B$8*(1+$B$10)^(C45-1)))</f>
        <v>199649.50187572</v>
      </c>
      <c r="P45" s="99" t="n">
        <f aca="false">MAX(N45,O45)</f>
        <v>249946.251945619</v>
      </c>
      <c r="Q45" s="99" t="n">
        <f aca="false">MAX(0,L45-P45)</f>
        <v>3229403.05417566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3229403.05417566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3229403.05417566</v>
      </c>
      <c r="K46" s="99" t="n">
        <f aca="false">J46*E46</f>
        <v>121748.495142422</v>
      </c>
      <c r="L46" s="99" t="n">
        <f aca="false">J46+K46</f>
        <v>3351151.54931808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264705.168375054</v>
      </c>
      <c r="O46" s="99" t="n">
        <f aca="false">IF(D46&gt;$B$4,0,IF(D46&lt;$B$3,0,$B$8*(1+$B$10)^(C46-1)))</f>
        <v>204640.739422613</v>
      </c>
      <c r="P46" s="99" t="n">
        <f aca="false">MAX(N46,O46)</f>
        <v>264705.168375054</v>
      </c>
      <c r="Q46" s="99" t="n">
        <f aca="false">MAX(0,L46-P46)</f>
        <v>3086446.38094303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3086446.38094303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3086446.38094303</v>
      </c>
      <c r="K47" s="99" t="n">
        <f aca="false">J47*E47</f>
        <v>283644.422408664</v>
      </c>
      <c r="L47" s="99" t="n">
        <f aca="false">J47+K47</f>
        <v>3370090.80335169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3370090.80335169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3370090.80335169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3370090.80335169</v>
      </c>
      <c r="K48" s="99" t="n">
        <f aca="false">J48*E48</f>
        <v>113572.060072952</v>
      </c>
      <c r="L48" s="99" t="n">
        <f aca="false">J48+K48</f>
        <v>3483662.86342465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3483662.86342465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3483662.86342465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3483662.86342465</v>
      </c>
      <c r="K49" s="99" t="n">
        <f aca="false">J49*E49</f>
        <v>156764.828854109</v>
      </c>
      <c r="L49" s="99" t="n">
        <f aca="false">J49+K49</f>
        <v>3640427.69227875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3640427.69227875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3640427.69227875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3640427.69227875</v>
      </c>
      <c r="K50" s="99" t="n">
        <f aca="false">J50*E50</f>
        <v>400447.046150663</v>
      </c>
      <c r="L50" s="99" t="n">
        <f aca="false">J50+K50</f>
        <v>4040874.73842942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4040874.73842942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4040874.73842942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4040874.73842942</v>
      </c>
      <c r="K51" s="99" t="n">
        <f aca="false">J51*E51</f>
        <v>353576.539612574</v>
      </c>
      <c r="L51" s="99" t="n">
        <f aca="false">J51+K51</f>
        <v>4394451.27804199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4394451.27804199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4394451.27804199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4394451.27804199</v>
      </c>
      <c r="K52" s="99" t="n">
        <f aca="false">J52*E52</f>
        <v>-205220.874684561</v>
      </c>
      <c r="L52" s="99" t="n">
        <f aca="false">J52+K52</f>
        <v>4189230.40335743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4189230.40335743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4189230.40335743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4189230.40335743</v>
      </c>
      <c r="K53" s="99" t="n">
        <f aca="false">J53*E53</f>
        <v>-296597.512557706</v>
      </c>
      <c r="L53" s="99" t="n">
        <f aca="false">J53+K53</f>
        <v>3892632.89079972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3892632.89079972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3892632.89079972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3892632.89079972</v>
      </c>
      <c r="K54" s="99" t="n">
        <f aca="false">J54*E54</f>
        <v>-524726.913679803</v>
      </c>
      <c r="L54" s="99" t="n">
        <f aca="false">J54+K54</f>
        <v>3367905.97711992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3367905.97711992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3367905.97711992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48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Other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Other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30000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199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Other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30000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99974999</v>
      </c>
      <c r="W17" s="99" t="n">
        <f aca="false">MIN(R17,T17)</f>
        <v>25000</v>
      </c>
      <c r="X17" s="99" t="n">
        <f aca="false">MIN(U17,R17-W17)</f>
        <v>0</v>
      </c>
      <c r="Y17" s="99" t="n">
        <f aca="false">MIN(S17,V17)</f>
        <v>30000</v>
      </c>
      <c r="Z17" s="99" t="n">
        <f aca="false">W17+X17+Y17</f>
        <v>55000</v>
      </c>
      <c r="AA17" s="100" t="n">
        <f aca="false">Q17+Z17</f>
        <v>2237400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2237400</v>
      </c>
      <c r="K18" s="99" t="n">
        <f aca="false">J18*E18</f>
        <v>107171.46</v>
      </c>
      <c r="L18" s="99" t="n">
        <f aca="false">J18+K18</f>
        <v>2344571.46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2344571.46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30000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102474998.975</v>
      </c>
      <c r="W18" s="99" t="n">
        <f aca="false">MIN(R18,T18)</f>
        <v>25000</v>
      </c>
      <c r="X18" s="99" t="n">
        <f aca="false">MIN(U18,R18-W18)</f>
        <v>0</v>
      </c>
      <c r="Y18" s="99" t="n">
        <f aca="false">MIN(S18,V18)</f>
        <v>30000</v>
      </c>
      <c r="Z18" s="99" t="n">
        <f aca="false">W18+X18+Y18</f>
        <v>55000</v>
      </c>
      <c r="AA18" s="100" t="n">
        <f aca="false">Q18+W18+X18+Y18</f>
        <v>2399571.46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2399571.46</v>
      </c>
      <c r="K19" s="99" t="n">
        <f aca="false">J19*E19</f>
        <v>51110.872098</v>
      </c>
      <c r="L19" s="99" t="n">
        <f aca="false">J19+K19</f>
        <v>2450682.332098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2450682.332098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30000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105037498.949375</v>
      </c>
      <c r="W19" s="99" t="n">
        <f aca="false">MIN(R19,T19)</f>
        <v>25000</v>
      </c>
      <c r="X19" s="99" t="n">
        <f aca="false">MIN(U19,R19-W19)</f>
        <v>0</v>
      </c>
      <c r="Y19" s="99" t="n">
        <f aca="false">MIN(S19,V19)</f>
        <v>30000</v>
      </c>
      <c r="Z19" s="99" t="n">
        <f aca="false">W19+X19+Y19</f>
        <v>55000</v>
      </c>
      <c r="AA19" s="100" t="n">
        <f aca="false">Q19+W19+X19+Y19</f>
        <v>2505682.332098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2505682.332098</v>
      </c>
      <c r="K20" s="99" t="n">
        <f aca="false">J20*E20</f>
        <v>275625.05653078</v>
      </c>
      <c r="L20" s="99" t="n">
        <f aca="false">J20+K20</f>
        <v>2781307.38862878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2781307.38862878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30000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107664061.423109</v>
      </c>
      <c r="W20" s="99" t="n">
        <f aca="false">MIN(R20,T20)</f>
        <v>25000</v>
      </c>
      <c r="X20" s="99" t="n">
        <f aca="false">MIN(U20,R20-W20)</f>
        <v>0</v>
      </c>
      <c r="Y20" s="99" t="n">
        <f aca="false">MIN(S20,V20)</f>
        <v>30000</v>
      </c>
      <c r="Z20" s="99" t="n">
        <f aca="false">W20+X20+Y20</f>
        <v>55000</v>
      </c>
      <c r="AA20" s="100" t="n">
        <f aca="false">Q20+W20+X20+Y20</f>
        <v>2836307.38862878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2836307.38862878</v>
      </c>
      <c r="K21" s="99" t="n">
        <f aca="false">J21*E21</f>
        <v>227471.852568028</v>
      </c>
      <c r="L21" s="99" t="n">
        <f aca="false">J21+K21</f>
        <v>3063779.24119681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2953397.95213431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2953397.95213431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2953397.95213431</v>
      </c>
      <c r="K22" s="99" t="n">
        <f aca="false">J22*E22</f>
        <v>241587.952484586</v>
      </c>
      <c r="L22" s="99" t="n">
        <f aca="false">J22+K22</f>
        <v>3194985.90461889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3081845.08332983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3081845.08332983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3081845.08332983</v>
      </c>
      <c r="K23" s="99" t="n">
        <f aca="false">J23*E23</f>
        <v>310649.984399647</v>
      </c>
      <c r="L23" s="99" t="n">
        <f aca="false">J23+K23</f>
        <v>3392495.06772948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3276525.72590819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3276525.72590819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3276525.72590819</v>
      </c>
      <c r="K24" s="99" t="n">
        <f aca="false">J24*E24</f>
        <v>-161205.065714683</v>
      </c>
      <c r="L24" s="99" t="n">
        <f aca="false">J24+K24</f>
        <v>3115320.66019351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2996452.08482669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2996452.08482669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2996452.08482669</v>
      </c>
      <c r="K25" s="99" t="n">
        <f aca="false">J25*E25</f>
        <v>36856.3606433682</v>
      </c>
      <c r="L25" s="99" t="n">
        <f aca="false">J25+K25</f>
        <v>3033308.44547005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2911468.15571906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2911468.15571906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2911468.15571906</v>
      </c>
      <c r="K26" s="99" t="n">
        <f aca="false">J26*E26</f>
        <v>186625.108781592</v>
      </c>
      <c r="L26" s="99" t="n">
        <f aca="false">J26+K26</f>
        <v>3098093.26450065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2973206.96750589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2973206.96750589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2973206.96750589</v>
      </c>
      <c r="K27" s="99" t="n">
        <f aca="false">J27*E27</f>
        <v>318430.466219881</v>
      </c>
      <c r="L27" s="99" t="n">
        <f aca="false">J27+K27</f>
        <v>3291637.43372577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3163628.97930613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3163628.97930613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3163628.97930613</v>
      </c>
      <c r="K28" s="99" t="n">
        <f aca="false">J28*E28</f>
        <v>205952.246552829</v>
      </c>
      <c r="L28" s="99" t="n">
        <f aca="false">J28+K28</f>
        <v>3369581.22585896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3238372.56007883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3238372.56007883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3238372.56007883</v>
      </c>
      <c r="K29" s="99" t="n">
        <f aca="false">J29*E29</f>
        <v>259069.804806307</v>
      </c>
      <c r="L29" s="99" t="n">
        <f aca="false">J29+K29</f>
        <v>3497442.36488514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3362953.48246051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3362953.48246051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3362953.48246051</v>
      </c>
      <c r="K30" s="99" t="n">
        <f aca="false">J30*E30</f>
        <v>104587.853304522</v>
      </c>
      <c r="L30" s="99" t="n">
        <f aca="false">J30+K30</f>
        <v>3467541.33576503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3329690.23127979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3329690.23127979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3329690.23127979</v>
      </c>
      <c r="K31" s="99" t="n">
        <f aca="false">J31*E31</f>
        <v>187461.560021052</v>
      </c>
      <c r="L31" s="99" t="n">
        <f aca="false">J31+K31</f>
        <v>3517151.79130084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135353.261434138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3375854.40920346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3375854.40920346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3375854.40920346</v>
      </c>
      <c r="K32" s="99" t="n">
        <f aca="false">J32*E32</f>
        <v>91823.2399303342</v>
      </c>
      <c r="L32" s="99" t="n">
        <f aca="false">J32+K32</f>
        <v>3467677.6491338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142441.114312382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3322847.83248399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3322847.83248399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3322847.83248399</v>
      </c>
      <c r="K33" s="99" t="n">
        <f aca="false">J33*E33</f>
        <v>547605.322793361</v>
      </c>
      <c r="L33" s="99" t="n">
        <f aca="false">J33+K33</f>
        <v>3870453.15527735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145102.525435982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3722002.59321129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3722002.59321129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3722002.59321129</v>
      </c>
      <c r="K34" s="99" t="n">
        <f aca="false">J34*E34</f>
        <v>-251235.175041762</v>
      </c>
      <c r="L34" s="99" t="n">
        <f aca="false">J34+K34</f>
        <v>3470767.41816953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169181.936055059</v>
      </c>
      <c r="O34" s="99" t="n">
        <f aca="false">IF(D34&gt;$B$4,0,IF(D34&lt;$B$3,0,$B$8*(1+$B$10)^(C34-1)))</f>
        <v>152161.826117708</v>
      </c>
      <c r="P34" s="99" t="n">
        <f aca="false">MAX(N34,O34)</f>
        <v>169181.936055059</v>
      </c>
      <c r="Q34" s="99" t="n">
        <f aca="false">MAX(0,L34-P34)</f>
        <v>3301585.48211447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3301585.48211447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3301585.48211447</v>
      </c>
      <c r="K35" s="99" t="n">
        <f aca="false">J35*E35</f>
        <v>438450.552024802</v>
      </c>
      <c r="L35" s="99" t="n">
        <f aca="false">J35+K35</f>
        <v>3740036.03413927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156473.245597842</v>
      </c>
      <c r="O35" s="99" t="n">
        <f aca="false">IF(D35&gt;$B$4,0,IF(D35&lt;$B$3,0,$B$8*(1+$B$10)^(C35-1)))</f>
        <v>155965.87177065</v>
      </c>
      <c r="P35" s="99" t="n">
        <f aca="false">MAX(N35,O35)</f>
        <v>156473.245597842</v>
      </c>
      <c r="Q35" s="99" t="n">
        <f aca="false">MAX(0,L35-P35)</f>
        <v>3583562.78854143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3583562.78854143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3583562.78854143</v>
      </c>
      <c r="K36" s="99" t="n">
        <f aca="false">J36*E36</f>
        <v>164127.175715198</v>
      </c>
      <c r="L36" s="99" t="n">
        <f aca="false">J36+K36</f>
        <v>3747689.96425663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177404.098442645</v>
      </c>
      <c r="O36" s="99" t="n">
        <f aca="false">IF(D36&gt;$B$4,0,IF(D36&lt;$B$3,0,$B$8*(1+$B$10)^(C36-1)))</f>
        <v>159865.018564917</v>
      </c>
      <c r="P36" s="99" t="n">
        <f aca="false">MAX(N36,O36)</f>
        <v>177404.098442645</v>
      </c>
      <c r="Q36" s="99" t="n">
        <f aca="false">MAX(0,L36-P36)</f>
        <v>3570285.86581398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3570285.86581398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3570285.86581398</v>
      </c>
      <c r="K37" s="99" t="n">
        <f aca="false">J37*E37</f>
        <v>322753.842269584</v>
      </c>
      <c r="L37" s="99" t="n">
        <f aca="false">J37+K37</f>
        <v>3893039.70808357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184035.353907937</v>
      </c>
      <c r="O37" s="99" t="n">
        <f aca="false">IF(D37&gt;$B$4,0,IF(D37&lt;$B$3,0,$B$8*(1+$B$10)^(C37-1)))</f>
        <v>163861.644029039</v>
      </c>
      <c r="P37" s="99" t="n">
        <f aca="false">MAX(N37,O37)</f>
        <v>184035.353907937</v>
      </c>
      <c r="Q37" s="99" t="n">
        <f aca="false">MAX(0,L37-P37)</f>
        <v>3709004.35417563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3709004.35417563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3709004.35417563</v>
      </c>
      <c r="K38" s="99" t="n">
        <f aca="false">J38*E38</f>
        <v>251470.495213108</v>
      </c>
      <c r="L38" s="99" t="n">
        <f aca="false">J38+K38</f>
        <v>3960474.84938874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200486.721847331</v>
      </c>
      <c r="O38" s="99" t="n">
        <f aca="false">IF(D38&gt;$B$4,0,IF(D38&lt;$B$3,0,$B$8*(1+$B$10)^(C38-1)))</f>
        <v>167958.185129765</v>
      </c>
      <c r="P38" s="99" t="n">
        <f aca="false">MAX(N38,O38)</f>
        <v>200486.721847331</v>
      </c>
      <c r="Q38" s="99" t="n">
        <f aca="false">MAX(0,L38-P38)</f>
        <v>3759988.12754141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3759988.12754141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3759988.12754141</v>
      </c>
      <c r="K39" s="99" t="n">
        <f aca="false">J39*E39</f>
        <v>200407.367197957</v>
      </c>
      <c r="L39" s="99" t="n">
        <f aca="false">J39+K39</f>
        <v>3960395.49473936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212428.707770701</v>
      </c>
      <c r="O39" s="99" t="n">
        <f aca="false">IF(D39&gt;$B$4,0,IF(D39&lt;$B$3,0,$B$8*(1+$B$10)^(C39-1)))</f>
        <v>172157.13975801</v>
      </c>
      <c r="P39" s="99" t="n">
        <f aca="false">MAX(N39,O39)</f>
        <v>212428.707770701</v>
      </c>
      <c r="Q39" s="99" t="n">
        <f aca="false">MAX(0,L39-P39)</f>
        <v>3747966.78696866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3747966.78696866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3747966.78696866</v>
      </c>
      <c r="K40" s="99" t="n">
        <f aca="false">J40*E40</f>
        <v>278099.135593075</v>
      </c>
      <c r="L40" s="99" t="n">
        <f aca="false">J40+K40</f>
        <v>4026065.92256174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223093.261129087</v>
      </c>
      <c r="O40" s="99" t="n">
        <f aca="false">IF(D40&gt;$B$4,0,IF(D40&lt;$B$3,0,$B$8*(1+$B$10)^(C40-1)))</f>
        <v>176461.06825196</v>
      </c>
      <c r="P40" s="99" t="n">
        <f aca="false">MAX(N40,O40)</f>
        <v>223093.261129087</v>
      </c>
      <c r="Q40" s="99" t="n">
        <f aca="false">MAX(0,L40-P40)</f>
        <v>3802972.66143265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3802972.66143265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3802972.66143265</v>
      </c>
      <c r="K41" s="99" t="n">
        <f aca="false">J41*E41</f>
        <v>247193.222993122</v>
      </c>
      <c r="L41" s="99" t="n">
        <f aca="false">J41+K41</f>
        <v>4050165.88442577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237685.791339541</v>
      </c>
      <c r="O41" s="99" t="n">
        <f aca="false">IF(D41&gt;$B$4,0,IF(D41&lt;$B$3,0,$B$8*(1+$B$10)^(C41-1)))</f>
        <v>180872.594958259</v>
      </c>
      <c r="P41" s="99" t="n">
        <f aca="false">MAX(N41,O41)</f>
        <v>237685.791339541</v>
      </c>
      <c r="Q41" s="99" t="n">
        <f aca="false">MAX(0,L41-P41)</f>
        <v>3812480.09308623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3812480.09308623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3812480.09308623</v>
      </c>
      <c r="K42" s="99" t="n">
        <f aca="false">J42*E42</f>
        <v>-133436.803258018</v>
      </c>
      <c r="L42" s="99" t="n">
        <f aca="false">J42+K42</f>
        <v>3679043.28982821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250821.058755673</v>
      </c>
      <c r="O42" s="99" t="n">
        <f aca="false">IF(D42&gt;$B$4,0,IF(D42&lt;$B$3,0,$B$8*(1+$B$10)^(C42-1)))</f>
        <v>185394.409832215</v>
      </c>
      <c r="P42" s="99" t="n">
        <f aca="false">MAX(N42,O42)</f>
        <v>250821.058755673</v>
      </c>
      <c r="Q42" s="99" t="n">
        <f aca="false">MAX(0,L42-P42)</f>
        <v>3428222.23107254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3428222.23107254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3428222.23107254</v>
      </c>
      <c r="K43" s="99" t="n">
        <f aca="false">J43*E43</f>
        <v>274257.778485803</v>
      </c>
      <c r="L43" s="99" t="n">
        <f aca="false">J43+K43</f>
        <v>3702480.00955834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238070.988268926</v>
      </c>
      <c r="O43" s="99" t="n">
        <f aca="false">IF(D43&gt;$B$4,0,IF(D43&lt;$B$3,0,$B$8*(1+$B$10)^(C43-1)))</f>
        <v>190029.270078021</v>
      </c>
      <c r="P43" s="99" t="n">
        <f aca="false">MAX(N43,O43)</f>
        <v>238070.988268926</v>
      </c>
      <c r="Q43" s="99" t="n">
        <f aca="false">MAX(0,L43-P43)</f>
        <v>3464409.02128942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3464409.02128942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3464409.02128942</v>
      </c>
      <c r="K44" s="99" t="n">
        <f aca="false">J44*E44</f>
        <v>187770.968953886</v>
      </c>
      <c r="L44" s="99" t="n">
        <f aca="false">J44+K44</f>
        <v>3652179.9902433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252876.570897038</v>
      </c>
      <c r="O44" s="99" t="n">
        <f aca="false">IF(D44&gt;$B$4,0,IF(D44&lt;$B$3,0,$B$8*(1+$B$10)^(C44-1)))</f>
        <v>194780.001829971</v>
      </c>
      <c r="P44" s="99" t="n">
        <f aca="false">MAX(N44,O44)</f>
        <v>252876.570897038</v>
      </c>
      <c r="Q44" s="99" t="n">
        <f aca="false">MAX(0,L44-P44)</f>
        <v>3399303.41934627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3399303.41934627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3399303.41934627</v>
      </c>
      <c r="K45" s="99" t="n">
        <f aca="false">J45*E45</f>
        <v>268884.90047029</v>
      </c>
      <c r="L45" s="99" t="n">
        <f aca="false">J45+K45</f>
        <v>3668188.31981656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263511.892972579</v>
      </c>
      <c r="O45" s="99" t="n">
        <f aca="false">IF(D45&gt;$B$4,0,IF(D45&lt;$B$3,0,$B$8*(1+$B$10)^(C45-1)))</f>
        <v>199649.50187572</v>
      </c>
      <c r="P45" s="99" t="n">
        <f aca="false">MAX(N45,O45)</f>
        <v>263511.892972579</v>
      </c>
      <c r="Q45" s="99" t="n">
        <f aca="false">MAX(0,L45-P45)</f>
        <v>3404676.42684398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3404676.42684398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3404676.42684398</v>
      </c>
      <c r="K46" s="99" t="n">
        <f aca="false">J46*E46</f>
        <v>128356.301292018</v>
      </c>
      <c r="L46" s="99" t="n">
        <f aca="false">J46+K46</f>
        <v>3533032.728136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279071.8382659</v>
      </c>
      <c r="O46" s="99" t="n">
        <f aca="false">IF(D46&gt;$B$4,0,IF(D46&lt;$B$3,0,$B$8*(1+$B$10)^(C46-1)))</f>
        <v>204640.739422613</v>
      </c>
      <c r="P46" s="99" t="n">
        <f aca="false">MAX(N46,O46)</f>
        <v>279071.8382659</v>
      </c>
      <c r="Q46" s="99" t="n">
        <f aca="false">MAX(0,L46-P46)</f>
        <v>3253960.8898701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3253960.8898701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3253960.8898701</v>
      </c>
      <c r="K47" s="99" t="n">
        <f aca="false">J47*E47</f>
        <v>299039.005779062</v>
      </c>
      <c r="L47" s="99" t="n">
        <f aca="false">J47+K47</f>
        <v>3552999.89564916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3552999.89564916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3552999.89564916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3552999.89564916</v>
      </c>
      <c r="K48" s="99" t="n">
        <f aca="false">J48*E48</f>
        <v>119736.096483377</v>
      </c>
      <c r="L48" s="99" t="n">
        <f aca="false">J48+K48</f>
        <v>3672735.99213253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3672735.99213253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3672735.99213253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3672735.99213253</v>
      </c>
      <c r="K49" s="99" t="n">
        <f aca="false">J49*E49</f>
        <v>165273.119645964</v>
      </c>
      <c r="L49" s="99" t="n">
        <f aca="false">J49+K49</f>
        <v>3838009.1117785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3838009.1117785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3838009.1117785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3838009.1117785</v>
      </c>
      <c r="K50" s="99" t="n">
        <f aca="false">J50*E50</f>
        <v>422181.002295635</v>
      </c>
      <c r="L50" s="99" t="n">
        <f aca="false">J50+K50</f>
        <v>4260190.11407413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4260190.11407413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4260190.11407413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4260190.11407413</v>
      </c>
      <c r="K51" s="99" t="n">
        <f aca="false">J51*E51</f>
        <v>372766.634981487</v>
      </c>
      <c r="L51" s="99" t="n">
        <f aca="false">J51+K51</f>
        <v>4632956.74905562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4632956.74905562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4632956.74905562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4632956.74905562</v>
      </c>
      <c r="K52" s="99" t="n">
        <f aca="false">J52*E52</f>
        <v>-216359.080180897</v>
      </c>
      <c r="L52" s="99" t="n">
        <f aca="false">J52+K52</f>
        <v>4416597.66887472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4416597.66887472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4416597.66887472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4416597.66887472</v>
      </c>
      <c r="K53" s="99" t="n">
        <f aca="false">J53*E53</f>
        <v>-312695.11495633</v>
      </c>
      <c r="L53" s="99" t="n">
        <f aca="false">J53+K53</f>
        <v>4103902.55391839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4103902.55391839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4103902.55391839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4103902.55391839</v>
      </c>
      <c r="K54" s="99" t="n">
        <f aca="false">J54*E54</f>
        <v>-553206.064268199</v>
      </c>
      <c r="L54" s="99" t="n">
        <f aca="false">J54+K54</f>
        <v>3550696.48965019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3550696.48965019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3550696.48965019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49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45.16"/>
    <col collapsed="false" customWidth="true" hidden="false" outlineLevel="0" max="3" min="3" style="0" width="10.67"/>
    <col collapsed="false" customWidth="true" hidden="false" outlineLevel="0" max="9" min="9" style="0" width="10.5"/>
    <col collapsed="false" customWidth="true" hidden="true" outlineLevel="0" max="11" min="11" style="0" width="10.5"/>
    <col collapsed="false" customWidth="true" hidden="false" outlineLevel="0" max="12" min="12" style="0" width="11.67"/>
  </cols>
  <sheetData>
    <row r="1" customFormat="false" ht="25.5" hidden="false" customHeight="false" outlineLevel="0" collapsed="false">
      <c r="A1" s="129" t="s">
        <v>124</v>
      </c>
      <c r="C1" s="130" t="s">
        <v>125</v>
      </c>
      <c r="D1" s="131" t="s">
        <v>126</v>
      </c>
      <c r="E1" s="132" t="s">
        <v>127</v>
      </c>
    </row>
    <row r="2" customFormat="false" ht="15.75" hidden="false" customHeight="false" outlineLevel="0" collapsed="false">
      <c r="J2" s="10" t="s">
        <v>118</v>
      </c>
    </row>
    <row r="3" customFormat="false" ht="15.75" hidden="false" customHeight="false" outlineLevel="0" collapsed="false">
      <c r="A3" s="10" t="s">
        <v>128</v>
      </c>
      <c r="B3" s="10"/>
      <c r="C3" s="10"/>
      <c r="D3" s="121" t="n">
        <v>2021</v>
      </c>
      <c r="E3" s="121" t="n">
        <v>2022</v>
      </c>
      <c r="F3" s="121" t="n">
        <v>2023</v>
      </c>
      <c r="G3" s="121"/>
      <c r="H3" s="121"/>
      <c r="J3" s="121" t="s">
        <v>119</v>
      </c>
      <c r="K3" s="121" t="n">
        <v>2021</v>
      </c>
      <c r="L3" s="121" t="n">
        <v>2022</v>
      </c>
      <c r="M3" s="121" t="n">
        <v>2023</v>
      </c>
    </row>
    <row r="4" customFormat="false" ht="15.75" hidden="false" customHeight="false" outlineLevel="0" collapsed="false">
      <c r="B4" s="0" t="s">
        <v>60</v>
      </c>
      <c r="D4" s="133" t="n">
        <v>19500</v>
      </c>
      <c r="E4" s="133" t="n">
        <v>20500</v>
      </c>
      <c r="F4" s="133" t="n">
        <v>22500</v>
      </c>
      <c r="G4" s="54"/>
      <c r="H4" s="54"/>
      <c r="J4" s="1" t="n">
        <v>72</v>
      </c>
      <c r="K4" s="134" t="n">
        <v>25.6</v>
      </c>
      <c r="L4" s="134" t="n">
        <v>27.4</v>
      </c>
      <c r="M4" s="134" t="s">
        <v>121</v>
      </c>
      <c r="N4" s="0" t="s">
        <v>129</v>
      </c>
    </row>
    <row r="5" customFormat="false" ht="15.75" hidden="false" customHeight="false" outlineLevel="0" collapsed="false">
      <c r="B5" s="0" t="s">
        <v>61</v>
      </c>
      <c r="D5" s="135" t="n">
        <v>6500</v>
      </c>
      <c r="E5" s="135" t="n">
        <v>6500</v>
      </c>
      <c r="F5" s="133" t="n">
        <v>7500</v>
      </c>
      <c r="G5" s="54"/>
      <c r="H5" s="54"/>
      <c r="J5" s="1" t="n">
        <v>73</v>
      </c>
      <c r="K5" s="134" t="n">
        <v>24.7</v>
      </c>
      <c r="L5" s="134" t="n">
        <v>26.5</v>
      </c>
      <c r="M5" s="136" t="n">
        <v>26.5</v>
      </c>
    </row>
    <row r="6" customFormat="false" ht="15.75" hidden="false" customHeight="false" outlineLevel="0" collapsed="false">
      <c r="B6" s="0" t="s">
        <v>130</v>
      </c>
      <c r="D6" s="133" t="n">
        <v>58000</v>
      </c>
      <c r="E6" s="133" t="n">
        <v>61000</v>
      </c>
      <c r="F6" s="133" t="n">
        <v>66000</v>
      </c>
      <c r="G6" s="54"/>
      <c r="H6" s="54"/>
      <c r="J6" s="1" t="n">
        <v>74</v>
      </c>
      <c r="K6" s="134" t="n">
        <v>23.8</v>
      </c>
      <c r="L6" s="134" t="n">
        <v>25.5</v>
      </c>
      <c r="M6" s="136" t="n">
        <v>25.5</v>
      </c>
    </row>
    <row r="7" customFormat="false" ht="15.75" hidden="false" customHeight="false" outlineLevel="0" collapsed="false">
      <c r="B7" s="0" t="s">
        <v>67</v>
      </c>
      <c r="D7" s="133" t="n">
        <v>13500</v>
      </c>
      <c r="E7" s="133" t="n">
        <v>14000</v>
      </c>
      <c r="F7" s="133" t="n">
        <v>15500</v>
      </c>
      <c r="G7" s="54"/>
      <c r="H7" s="54"/>
      <c r="J7" s="1" t="n">
        <v>75</v>
      </c>
      <c r="K7" s="134" t="n">
        <v>22.9</v>
      </c>
      <c r="L7" s="134" t="n">
        <v>24.6</v>
      </c>
      <c r="M7" s="136" t="n">
        <v>24.6</v>
      </c>
    </row>
    <row r="8" customFormat="false" ht="15.75" hidden="false" customHeight="false" outlineLevel="0" collapsed="false">
      <c r="B8" s="0" t="s">
        <v>69</v>
      </c>
      <c r="D8" s="135" t="n">
        <v>3000</v>
      </c>
      <c r="E8" s="135" t="n">
        <v>3000</v>
      </c>
      <c r="F8" s="133" t="n">
        <v>3500</v>
      </c>
      <c r="G8" s="54"/>
      <c r="H8" s="54"/>
      <c r="J8" s="1" t="n">
        <v>76</v>
      </c>
      <c r="K8" s="134" t="n">
        <v>22</v>
      </c>
      <c r="L8" s="134" t="n">
        <v>23.7</v>
      </c>
      <c r="M8" s="136" t="n">
        <v>23.7</v>
      </c>
    </row>
    <row r="9" customFormat="false" ht="15.75" hidden="false" customHeight="false" outlineLevel="0" collapsed="false">
      <c r="B9" s="0" t="s">
        <v>70</v>
      </c>
      <c r="D9" s="135" t="n">
        <v>6000</v>
      </c>
      <c r="E9" s="135" t="n">
        <v>6000</v>
      </c>
      <c r="F9" s="133" t="n">
        <v>6500</v>
      </c>
      <c r="G9" s="54"/>
      <c r="H9" s="54"/>
      <c r="J9" s="1" t="n">
        <v>77</v>
      </c>
      <c r="K9" s="134" t="n">
        <v>21.2</v>
      </c>
      <c r="L9" s="134" t="n">
        <v>22.9</v>
      </c>
      <c r="M9" s="136" t="n">
        <v>22.9</v>
      </c>
    </row>
    <row r="10" customFormat="false" ht="15.75" hidden="false" customHeight="false" outlineLevel="0" collapsed="false">
      <c r="B10" s="0" t="s">
        <v>72</v>
      </c>
      <c r="D10" s="135" t="n">
        <v>1000</v>
      </c>
      <c r="E10" s="135" t="n">
        <v>1000</v>
      </c>
      <c r="F10" s="135" t="n">
        <v>1000</v>
      </c>
      <c r="G10" s="54"/>
      <c r="H10" s="54"/>
      <c r="J10" s="1" t="n">
        <v>78</v>
      </c>
      <c r="K10" s="134" t="n">
        <v>20.3</v>
      </c>
      <c r="L10" s="134" t="n">
        <v>22</v>
      </c>
      <c r="M10" s="136" t="n">
        <v>22</v>
      </c>
    </row>
    <row r="11" customFormat="false" ht="15.75" hidden="false" customHeight="false" outlineLevel="0" collapsed="false">
      <c r="A11" s="10" t="s">
        <v>131</v>
      </c>
      <c r="J11" s="1" t="n">
        <v>79</v>
      </c>
      <c r="K11" s="134" t="n">
        <v>19.5</v>
      </c>
      <c r="L11" s="134" t="n">
        <v>21.1</v>
      </c>
      <c r="M11" s="136" t="n">
        <v>21.1</v>
      </c>
    </row>
    <row r="12" customFormat="false" ht="15.75" hidden="false" customHeight="false" outlineLevel="0" collapsed="false">
      <c r="J12" s="1" t="n">
        <v>80</v>
      </c>
      <c r="K12" s="134" t="n">
        <v>18.7</v>
      </c>
      <c r="L12" s="134" t="n">
        <v>20.2</v>
      </c>
      <c r="M12" s="136" t="n">
        <v>20.2</v>
      </c>
    </row>
    <row r="13" customFormat="false" ht="15.75" hidden="false" customHeight="false" outlineLevel="0" collapsed="false">
      <c r="B13" s="0" t="s">
        <v>132</v>
      </c>
      <c r="J13" s="1" t="n">
        <v>81</v>
      </c>
      <c r="K13" s="134" t="n">
        <v>17.9</v>
      </c>
      <c r="L13" s="134" t="n">
        <v>19.4</v>
      </c>
      <c r="M13" s="136" t="n">
        <v>19.4</v>
      </c>
    </row>
    <row r="14" customFormat="false" ht="15.75" hidden="false" customHeight="false" outlineLevel="0" collapsed="false">
      <c r="B14" s="0" t="s">
        <v>28</v>
      </c>
      <c r="D14" s="133" t="n">
        <v>3600</v>
      </c>
      <c r="E14" s="133" t="n">
        <v>3650</v>
      </c>
      <c r="F14" s="133" t="n">
        <v>3850</v>
      </c>
      <c r="G14" s="54"/>
      <c r="H14" s="54"/>
      <c r="J14" s="1" t="n">
        <v>82</v>
      </c>
      <c r="K14" s="134" t="n">
        <v>17.1</v>
      </c>
      <c r="L14" s="134" t="n">
        <v>18.5</v>
      </c>
      <c r="M14" s="136" t="n">
        <v>18.5</v>
      </c>
    </row>
    <row r="15" customFormat="false" ht="15.75" hidden="false" customHeight="false" outlineLevel="0" collapsed="false">
      <c r="B15" s="0" t="s">
        <v>133</v>
      </c>
      <c r="D15" s="133" t="n">
        <v>7200</v>
      </c>
      <c r="E15" s="133" t="n">
        <v>7300</v>
      </c>
      <c r="F15" s="133" t="n">
        <v>7750</v>
      </c>
      <c r="G15" s="54"/>
      <c r="H15" s="54"/>
      <c r="J15" s="1" t="n">
        <v>83</v>
      </c>
      <c r="K15" s="134" t="n">
        <v>16.3</v>
      </c>
      <c r="L15" s="134" t="n">
        <v>17.7</v>
      </c>
      <c r="M15" s="136" t="n">
        <v>17.7</v>
      </c>
    </row>
    <row r="16" customFormat="false" ht="15.75" hidden="false" customHeight="false" outlineLevel="0" collapsed="false">
      <c r="B16" s="0" t="s">
        <v>134</v>
      </c>
      <c r="D16" s="135" t="n">
        <v>1000</v>
      </c>
      <c r="E16" s="135" t="n">
        <v>1000</v>
      </c>
      <c r="F16" s="135" t="n">
        <v>1000</v>
      </c>
      <c r="G16" s="54"/>
      <c r="H16" s="54"/>
      <c r="J16" s="1" t="n">
        <v>84</v>
      </c>
      <c r="K16" s="134" t="n">
        <v>15.5</v>
      </c>
      <c r="L16" s="134" t="n">
        <v>16.8</v>
      </c>
      <c r="M16" s="136" t="n">
        <v>16.8</v>
      </c>
    </row>
    <row r="17" customFormat="false" ht="15.75" hidden="false" customHeight="false" outlineLevel="0" collapsed="false">
      <c r="A17" s="10" t="s">
        <v>135</v>
      </c>
      <c r="J17" s="1" t="n">
        <v>85</v>
      </c>
      <c r="K17" s="134" t="n">
        <v>14.8</v>
      </c>
      <c r="L17" s="134" t="n">
        <v>16</v>
      </c>
      <c r="M17" s="136" t="n">
        <v>16</v>
      </c>
    </row>
    <row r="18" customFormat="false" ht="15.75" hidden="false" customHeight="false" outlineLevel="0" collapsed="false">
      <c r="C18" s="121" t="s">
        <v>136</v>
      </c>
      <c r="D18" s="121" t="n">
        <v>2021</v>
      </c>
      <c r="E18" s="10" t="n">
        <v>2022</v>
      </c>
      <c r="F18" s="10" t="n">
        <v>2023</v>
      </c>
      <c r="G18" s="10"/>
      <c r="H18" s="10"/>
      <c r="J18" s="1" t="n">
        <v>86</v>
      </c>
      <c r="K18" s="134" t="n">
        <v>14.1</v>
      </c>
      <c r="L18" s="134" t="n">
        <v>15.2</v>
      </c>
      <c r="M18" s="136" t="n">
        <v>15.2</v>
      </c>
    </row>
    <row r="19" customFormat="false" ht="15.75" hidden="false" customHeight="false" outlineLevel="0" collapsed="false">
      <c r="B19" s="0" t="s">
        <v>28</v>
      </c>
      <c r="C19" s="137" t="n">
        <v>0.1</v>
      </c>
      <c r="D19" s="133" t="n">
        <v>9950</v>
      </c>
      <c r="E19" s="133" t="n">
        <v>10275</v>
      </c>
      <c r="F19" s="133" t="n">
        <v>11000</v>
      </c>
      <c r="G19" s="54"/>
      <c r="H19" s="54"/>
      <c r="J19" s="1" t="n">
        <v>87</v>
      </c>
      <c r="K19" s="134" t="n">
        <v>13.4</v>
      </c>
      <c r="L19" s="134" t="n">
        <v>14.4</v>
      </c>
      <c r="M19" s="136" t="n">
        <v>14.4</v>
      </c>
    </row>
    <row r="20" customFormat="false" ht="15.75" hidden="false" customHeight="false" outlineLevel="0" collapsed="false">
      <c r="C20" s="137" t="n">
        <v>0.12</v>
      </c>
      <c r="D20" s="133" t="n">
        <v>40525</v>
      </c>
      <c r="E20" s="133" t="n">
        <v>41775</v>
      </c>
      <c r="F20" s="133" t="n">
        <v>44725</v>
      </c>
      <c r="G20" s="54"/>
      <c r="H20" s="54"/>
      <c r="J20" s="1" t="n">
        <v>88</v>
      </c>
      <c r="K20" s="134" t="n">
        <v>12.7</v>
      </c>
      <c r="L20" s="134" t="n">
        <v>13.7</v>
      </c>
      <c r="M20" s="136" t="n">
        <v>13.7</v>
      </c>
    </row>
    <row r="21" customFormat="false" ht="15.75" hidden="false" customHeight="false" outlineLevel="0" collapsed="false">
      <c r="C21" s="137" t="n">
        <v>0.22</v>
      </c>
      <c r="D21" s="133" t="n">
        <v>86375</v>
      </c>
      <c r="E21" s="133" t="n">
        <v>89075</v>
      </c>
      <c r="F21" s="133" t="n">
        <v>95375</v>
      </c>
      <c r="G21" s="54"/>
      <c r="H21" s="54"/>
      <c r="J21" s="1" t="n">
        <v>89</v>
      </c>
      <c r="K21" s="134" t="n">
        <v>12</v>
      </c>
      <c r="L21" s="134" t="n">
        <v>12.9</v>
      </c>
      <c r="M21" s="136" t="n">
        <v>12.9</v>
      </c>
    </row>
    <row r="22" customFormat="false" ht="15.75" hidden="false" customHeight="false" outlineLevel="0" collapsed="false">
      <c r="C22" s="137" t="n">
        <v>0.24</v>
      </c>
      <c r="D22" s="133" t="n">
        <v>164925</v>
      </c>
      <c r="E22" s="133" t="n">
        <v>170050</v>
      </c>
      <c r="F22" s="133" t="n">
        <v>182100</v>
      </c>
      <c r="G22" s="54"/>
      <c r="H22" s="54"/>
      <c r="J22" s="1" t="n">
        <v>90</v>
      </c>
      <c r="K22" s="134" t="n">
        <v>11.4</v>
      </c>
      <c r="L22" s="134" t="n">
        <v>12.2</v>
      </c>
      <c r="M22" s="136" t="n">
        <v>12.2</v>
      </c>
    </row>
    <row r="23" customFormat="false" ht="15.75" hidden="false" customHeight="false" outlineLevel="0" collapsed="false">
      <c r="C23" s="137" t="n">
        <v>0.32</v>
      </c>
      <c r="D23" s="133" t="n">
        <v>209425</v>
      </c>
      <c r="E23" s="133" t="n">
        <v>215950</v>
      </c>
      <c r="F23" s="133" t="n">
        <v>231250</v>
      </c>
      <c r="G23" s="54"/>
      <c r="H23" s="54"/>
      <c r="J23" s="1" t="n">
        <v>91</v>
      </c>
      <c r="K23" s="134" t="n">
        <v>10.8</v>
      </c>
      <c r="L23" s="134" t="n">
        <v>11.5</v>
      </c>
      <c r="M23" s="136" t="n">
        <v>11.5</v>
      </c>
    </row>
    <row r="24" customFormat="false" ht="15.75" hidden="false" customHeight="false" outlineLevel="0" collapsed="false">
      <c r="C24" s="137" t="n">
        <v>0.35</v>
      </c>
      <c r="D24" s="133" t="n">
        <v>523600</v>
      </c>
      <c r="E24" s="133" t="n">
        <v>539900</v>
      </c>
      <c r="F24" s="133" t="n">
        <v>578125</v>
      </c>
      <c r="G24" s="54"/>
      <c r="H24" s="54"/>
      <c r="J24" s="1" t="n">
        <v>92</v>
      </c>
      <c r="K24" s="134" t="n">
        <v>10.2</v>
      </c>
      <c r="L24" s="134" t="n">
        <v>10.8</v>
      </c>
      <c r="M24" s="136" t="n">
        <v>10.8</v>
      </c>
    </row>
    <row r="25" customFormat="false" ht="15.75" hidden="false" customHeight="false" outlineLevel="0" collapsed="false">
      <c r="C25" s="137" t="n">
        <v>0.37</v>
      </c>
      <c r="D25" s="54"/>
      <c r="E25" s="54"/>
      <c r="F25" s="54"/>
      <c r="G25" s="54"/>
      <c r="H25" s="54"/>
      <c r="J25" s="1" t="n">
        <v>93</v>
      </c>
      <c r="K25" s="134" t="n">
        <v>9.6</v>
      </c>
      <c r="L25" s="134" t="n">
        <v>10.1</v>
      </c>
      <c r="M25" s="136" t="n">
        <v>10.1</v>
      </c>
    </row>
    <row r="26" customFormat="false" ht="15.75" hidden="false" customHeight="false" outlineLevel="0" collapsed="false">
      <c r="C26" s="137"/>
      <c r="D26" s="54"/>
      <c r="E26" s="54"/>
      <c r="F26" s="54"/>
      <c r="G26" s="54"/>
      <c r="H26" s="54"/>
      <c r="I26" s="138"/>
      <c r="J26" s="1" t="n">
        <v>94</v>
      </c>
      <c r="K26" s="134" t="n">
        <v>9.1</v>
      </c>
      <c r="L26" s="134" t="n">
        <v>9.5</v>
      </c>
      <c r="M26" s="136" t="n">
        <v>9.5</v>
      </c>
    </row>
    <row r="27" customFormat="false" ht="15.75" hidden="false" customHeight="false" outlineLevel="0" collapsed="false">
      <c r="B27" s="0" t="s">
        <v>137</v>
      </c>
      <c r="C27" s="137" t="n">
        <v>0.1</v>
      </c>
      <c r="D27" s="133" t="n">
        <v>19900</v>
      </c>
      <c r="E27" s="133" t="n">
        <v>20550</v>
      </c>
      <c r="F27" s="133" t="n">
        <v>22000</v>
      </c>
      <c r="G27" s="54"/>
      <c r="H27" s="54"/>
      <c r="I27" s="54"/>
      <c r="J27" s="1" t="n">
        <v>95</v>
      </c>
      <c r="K27" s="134" t="n">
        <v>8.6</v>
      </c>
      <c r="L27" s="134" t="n">
        <v>8.9</v>
      </c>
      <c r="M27" s="136" t="n">
        <v>8.9</v>
      </c>
    </row>
    <row r="28" customFormat="false" ht="15.75" hidden="false" customHeight="false" outlineLevel="0" collapsed="false">
      <c r="C28" s="137" t="n">
        <v>0.12</v>
      </c>
      <c r="D28" s="133" t="n">
        <v>81050</v>
      </c>
      <c r="E28" s="133" t="n">
        <v>83550</v>
      </c>
      <c r="F28" s="133" t="n">
        <v>89450</v>
      </c>
      <c r="G28" s="54"/>
      <c r="H28" s="54"/>
      <c r="I28" s="54"/>
      <c r="J28" s="1" t="n">
        <v>96</v>
      </c>
      <c r="K28" s="134" t="n">
        <v>8.1</v>
      </c>
      <c r="L28" s="134" t="n">
        <v>8.4</v>
      </c>
      <c r="M28" s="136" t="n">
        <v>8.4</v>
      </c>
    </row>
    <row r="29" customFormat="false" ht="15.75" hidden="false" customHeight="false" outlineLevel="0" collapsed="false">
      <c r="C29" s="137" t="n">
        <v>0.22</v>
      </c>
      <c r="D29" s="133" t="n">
        <v>172750</v>
      </c>
      <c r="E29" s="133" t="n">
        <v>178150</v>
      </c>
      <c r="F29" s="133" t="n">
        <v>190750</v>
      </c>
      <c r="G29" s="54"/>
      <c r="H29" s="54"/>
      <c r="I29" s="54"/>
      <c r="J29" s="1" t="n">
        <v>97</v>
      </c>
      <c r="K29" s="134" t="n">
        <v>7.6</v>
      </c>
      <c r="L29" s="134" t="n">
        <v>7.8</v>
      </c>
      <c r="M29" s="136" t="n">
        <v>7.8</v>
      </c>
    </row>
    <row r="30" customFormat="false" ht="15.75" hidden="false" customHeight="false" outlineLevel="0" collapsed="false">
      <c r="C30" s="137" t="n">
        <v>0.24</v>
      </c>
      <c r="D30" s="133" t="n">
        <v>329850</v>
      </c>
      <c r="E30" s="133" t="n">
        <v>340100</v>
      </c>
      <c r="F30" s="133" t="n">
        <v>364200</v>
      </c>
      <c r="G30" s="54"/>
      <c r="H30" s="54"/>
      <c r="I30" s="54"/>
      <c r="J30" s="1" t="n">
        <v>98</v>
      </c>
      <c r="K30" s="134" t="n">
        <v>7.1</v>
      </c>
      <c r="L30" s="134" t="n">
        <v>7.3</v>
      </c>
      <c r="M30" s="136" t="n">
        <v>7.3</v>
      </c>
    </row>
    <row r="31" customFormat="false" ht="15.75" hidden="false" customHeight="false" outlineLevel="0" collapsed="false">
      <c r="C31" s="137" t="n">
        <v>0.32</v>
      </c>
      <c r="D31" s="133" t="n">
        <v>418850</v>
      </c>
      <c r="E31" s="133" t="n">
        <v>431900</v>
      </c>
      <c r="F31" s="133" t="n">
        <v>462500</v>
      </c>
      <c r="G31" s="54"/>
      <c r="H31" s="54"/>
      <c r="I31" s="54"/>
      <c r="J31" s="1" t="n">
        <v>99</v>
      </c>
      <c r="K31" s="134" t="n">
        <v>6.7</v>
      </c>
      <c r="L31" s="134" t="n">
        <v>6.8</v>
      </c>
      <c r="M31" s="136" t="n">
        <v>6.8</v>
      </c>
    </row>
    <row r="32" customFormat="false" ht="15.75" hidden="false" customHeight="false" outlineLevel="0" collapsed="false">
      <c r="C32" s="137" t="n">
        <v>0.35</v>
      </c>
      <c r="D32" s="133" t="n">
        <v>628300</v>
      </c>
      <c r="E32" s="133" t="n">
        <v>647850</v>
      </c>
      <c r="F32" s="133" t="n">
        <v>693750</v>
      </c>
      <c r="G32" s="54"/>
      <c r="H32" s="54"/>
      <c r="I32" s="54"/>
      <c r="J32" s="1" t="n">
        <v>100</v>
      </c>
      <c r="K32" s="134" t="n">
        <v>6.3</v>
      </c>
      <c r="L32" s="134" t="n">
        <v>6.4</v>
      </c>
      <c r="M32" s="136" t="n">
        <v>6.4</v>
      </c>
    </row>
    <row r="33" customFormat="false" ht="15.75" hidden="false" customHeight="false" outlineLevel="0" collapsed="false">
      <c r="C33" s="137" t="n">
        <v>0.37</v>
      </c>
      <c r="D33" s="54"/>
      <c r="E33" s="54"/>
      <c r="F33" s="54"/>
      <c r="G33" s="54"/>
      <c r="H33" s="54"/>
      <c r="I33" s="54"/>
      <c r="J33" s="1" t="n">
        <v>101</v>
      </c>
      <c r="K33" s="134" t="n">
        <v>5.9</v>
      </c>
      <c r="L33" s="134" t="n">
        <v>6</v>
      </c>
      <c r="M33" s="136" t="n">
        <v>6</v>
      </c>
    </row>
    <row r="34" customFormat="false" ht="15.75" hidden="false" customHeight="false" outlineLevel="0" collapsed="false">
      <c r="A34" s="10" t="s">
        <v>138</v>
      </c>
      <c r="C34" s="137"/>
      <c r="D34" s="54"/>
      <c r="E34" s="54"/>
      <c r="F34" s="54"/>
      <c r="G34" s="54"/>
      <c r="H34" s="54"/>
      <c r="I34" s="54"/>
      <c r="J34" s="1" t="n">
        <v>102</v>
      </c>
      <c r="K34" s="134" t="n">
        <v>5.5</v>
      </c>
      <c r="L34" s="134" t="n">
        <v>5.6</v>
      </c>
      <c r="M34" s="136" t="n">
        <v>5.6</v>
      </c>
    </row>
    <row r="35" customFormat="false" ht="15.75" hidden="false" customHeight="false" outlineLevel="0" collapsed="false">
      <c r="D35" s="54"/>
      <c r="E35" s="54"/>
      <c r="F35" s="54"/>
      <c r="G35" s="54"/>
      <c r="H35" s="54"/>
      <c r="I35" s="54"/>
      <c r="J35" s="1" t="n">
        <v>103</v>
      </c>
      <c r="K35" s="134" t="n">
        <v>5.2</v>
      </c>
      <c r="L35" s="134" t="n">
        <v>5.2</v>
      </c>
      <c r="M35" s="136" t="n">
        <v>5.2</v>
      </c>
    </row>
    <row r="36" customFormat="false" ht="15.75" hidden="false" customHeight="false" outlineLevel="0" collapsed="false">
      <c r="B36" s="0" t="s">
        <v>28</v>
      </c>
      <c r="D36" s="133" t="n">
        <v>12550</v>
      </c>
      <c r="E36" s="133" t="n">
        <v>12950</v>
      </c>
      <c r="F36" s="139" t="n">
        <v>13850</v>
      </c>
      <c r="G36" s="140"/>
      <c r="H36" s="140"/>
      <c r="J36" s="1" t="n">
        <v>104</v>
      </c>
      <c r="K36" s="134" t="n">
        <v>4.9</v>
      </c>
      <c r="L36" s="134" t="n">
        <v>4.9</v>
      </c>
      <c r="M36" s="136" t="n">
        <v>4.9</v>
      </c>
    </row>
    <row r="37" customFormat="false" ht="15.75" hidden="false" customHeight="false" outlineLevel="0" collapsed="false">
      <c r="B37" s="0" t="s">
        <v>139</v>
      </c>
      <c r="D37" s="133" t="n">
        <v>25100</v>
      </c>
      <c r="E37" s="133" t="n">
        <v>25900</v>
      </c>
      <c r="F37" s="141" t="n">
        <v>27700</v>
      </c>
      <c r="J37" s="1" t="n">
        <v>105</v>
      </c>
      <c r="K37" s="134" t="n">
        <v>4.5</v>
      </c>
      <c r="L37" s="134" t="n">
        <v>4.6</v>
      </c>
      <c r="M37" s="136" t="n">
        <v>4.6</v>
      </c>
    </row>
    <row r="38" customFormat="false" ht="15.75" hidden="false" customHeight="false" outlineLevel="0" collapsed="false">
      <c r="A38" s="10" t="s">
        <v>140</v>
      </c>
      <c r="J38" s="1" t="n">
        <v>106</v>
      </c>
      <c r="K38" s="134" t="n">
        <v>4.2</v>
      </c>
      <c r="L38" s="134" t="n">
        <v>4.3</v>
      </c>
      <c r="M38" s="136" t="n">
        <v>4.3</v>
      </c>
    </row>
    <row r="39" customFormat="false" ht="15.75" hidden="false" customHeight="false" outlineLevel="0" collapsed="false">
      <c r="E39" s="54"/>
      <c r="F39" s="54"/>
      <c r="G39" s="54"/>
      <c r="H39" s="54"/>
      <c r="J39" s="1" t="n">
        <v>107</v>
      </c>
      <c r="K39" s="134" t="n">
        <v>3.9</v>
      </c>
      <c r="L39" s="134" t="n">
        <v>4.1</v>
      </c>
      <c r="M39" s="136" t="n">
        <v>4.1</v>
      </c>
    </row>
    <row r="40" customFormat="false" ht="15.75" hidden="false" customHeight="false" outlineLevel="0" collapsed="false">
      <c r="B40" s="0" t="s">
        <v>141</v>
      </c>
      <c r="D40" s="133" t="n">
        <v>15000</v>
      </c>
      <c r="E40" s="133" t="n">
        <v>16000</v>
      </c>
      <c r="F40" s="133" t="n">
        <v>17000</v>
      </c>
      <c r="G40" s="54"/>
      <c r="H40" s="54"/>
      <c r="J40" s="1" t="n">
        <v>108</v>
      </c>
      <c r="K40" s="134" t="n">
        <v>3.7</v>
      </c>
      <c r="L40" s="134" t="n">
        <v>3.9</v>
      </c>
      <c r="M40" s="136" t="n">
        <v>3.9</v>
      </c>
    </row>
    <row r="41" customFormat="false" ht="15.75" hidden="false" customHeight="false" outlineLevel="0" collapsed="false">
      <c r="B41" s="0" t="s">
        <v>142</v>
      </c>
      <c r="D41" s="133" t="n">
        <v>11700000</v>
      </c>
      <c r="E41" s="133" t="n">
        <v>12060000</v>
      </c>
      <c r="F41" s="133" t="n">
        <v>12920000</v>
      </c>
      <c r="G41" s="54"/>
      <c r="H41" s="54"/>
      <c r="J41" s="1" t="n">
        <v>109</v>
      </c>
      <c r="K41" s="134" t="n">
        <v>3.4</v>
      </c>
      <c r="L41" s="134" t="n">
        <v>3.7</v>
      </c>
      <c r="M41" s="136" t="n">
        <v>3.7</v>
      </c>
    </row>
    <row r="42" customFormat="false" ht="15.75" hidden="false" customHeight="false" outlineLevel="0" collapsed="false">
      <c r="B42" s="0" t="s">
        <v>143</v>
      </c>
      <c r="D42" s="133" t="n">
        <v>11700000</v>
      </c>
      <c r="E42" s="133" t="n">
        <v>12060800</v>
      </c>
      <c r="F42" s="133" t="n">
        <v>12920000</v>
      </c>
      <c r="G42" s="54"/>
      <c r="H42" s="54"/>
      <c r="J42" s="1" t="n">
        <v>110</v>
      </c>
      <c r="K42" s="134" t="n">
        <v>3.1</v>
      </c>
      <c r="L42" s="134" t="n">
        <v>3.5</v>
      </c>
      <c r="M42" s="136" t="n">
        <v>3.5</v>
      </c>
    </row>
    <row r="43" customFormat="false" ht="15.75" hidden="false" customHeight="false" outlineLevel="0" collapsed="false">
      <c r="B43" s="0" t="s">
        <v>144</v>
      </c>
      <c r="D43" s="142" t="n">
        <v>0.4</v>
      </c>
      <c r="E43" s="143" t="n">
        <v>0.4</v>
      </c>
      <c r="F43" s="143" t="n">
        <v>0.4</v>
      </c>
      <c r="G43" s="144"/>
      <c r="H43" s="144"/>
      <c r="J43" s="1" t="n">
        <v>111</v>
      </c>
      <c r="K43" s="134" t="n">
        <v>2.9</v>
      </c>
      <c r="L43" s="134" t="n">
        <v>3.4</v>
      </c>
      <c r="M43" s="136" t="n">
        <v>3.4</v>
      </c>
    </row>
    <row r="44" customFormat="false" ht="15.75" hidden="false" customHeight="false" outlineLevel="0" collapsed="false">
      <c r="A44" s="10" t="s">
        <v>145</v>
      </c>
      <c r="J44" s="1" t="n">
        <v>112</v>
      </c>
      <c r="K44" s="134" t="n">
        <v>2.6</v>
      </c>
      <c r="L44" s="134" t="n">
        <v>3.3</v>
      </c>
      <c r="M44" s="136" t="n">
        <v>3.3</v>
      </c>
    </row>
    <row r="45" customFormat="false" ht="15.75" hidden="false" customHeight="false" outlineLevel="0" collapsed="false">
      <c r="J45" s="1" t="n">
        <v>113</v>
      </c>
      <c r="K45" s="134" t="n">
        <v>2.4</v>
      </c>
      <c r="L45" s="134" t="n">
        <v>3.1</v>
      </c>
      <c r="M45" s="136" t="n">
        <v>3.1</v>
      </c>
    </row>
    <row r="46" customFormat="false" ht="15.75" hidden="false" customHeight="false" outlineLevel="0" collapsed="false">
      <c r="B46" s="0" t="s">
        <v>28</v>
      </c>
      <c r="C46" s="145" t="n">
        <v>0</v>
      </c>
      <c r="D46" s="141" t="n">
        <v>40400</v>
      </c>
      <c r="E46" s="141" t="n">
        <v>41675</v>
      </c>
      <c r="F46" s="141" t="n">
        <v>44625</v>
      </c>
      <c r="J46" s="1" t="n">
        <v>114</v>
      </c>
      <c r="K46" s="134" t="n">
        <v>2.1</v>
      </c>
      <c r="L46" s="134" t="n">
        <v>3</v>
      </c>
      <c r="M46" s="136" t="n">
        <v>3</v>
      </c>
    </row>
    <row r="47" customFormat="false" ht="15.75" hidden="false" customHeight="false" outlineLevel="0" collapsed="false">
      <c r="C47" s="145" t="n">
        <v>0.15</v>
      </c>
      <c r="D47" s="139" t="n">
        <v>445850</v>
      </c>
      <c r="E47" s="141" t="n">
        <v>459750</v>
      </c>
      <c r="F47" s="141" t="n">
        <v>492300</v>
      </c>
      <c r="J47" s="1" t="n">
        <v>115</v>
      </c>
      <c r="K47" s="134" t="n">
        <v>1.9</v>
      </c>
      <c r="L47" s="134" t="n">
        <v>2.9</v>
      </c>
      <c r="M47" s="136" t="n">
        <v>2.9</v>
      </c>
    </row>
    <row r="48" customFormat="false" ht="15.75" hidden="false" customHeight="false" outlineLevel="0" collapsed="false">
      <c r="C48" s="145" t="n">
        <v>0.2</v>
      </c>
      <c r="J48" s="1" t="n">
        <v>116</v>
      </c>
      <c r="K48" s="134"/>
      <c r="L48" s="134" t="n">
        <v>2.8</v>
      </c>
      <c r="M48" s="136" t="n">
        <v>2.8</v>
      </c>
    </row>
    <row r="49" customFormat="false" ht="15.75" hidden="false" customHeight="false" outlineLevel="0" collapsed="false">
      <c r="J49" s="1" t="n">
        <v>117</v>
      </c>
      <c r="K49" s="134"/>
      <c r="L49" s="134" t="n">
        <v>2.7</v>
      </c>
      <c r="M49" s="136" t="n">
        <v>2.7</v>
      </c>
    </row>
    <row r="50" customFormat="false" ht="15.75" hidden="false" customHeight="false" outlineLevel="0" collapsed="false">
      <c r="B50" s="0" t="s">
        <v>139</v>
      </c>
      <c r="C50" s="145" t="n">
        <v>0</v>
      </c>
      <c r="D50" s="141" t="n">
        <v>80800</v>
      </c>
      <c r="E50" s="141" t="n">
        <v>83350</v>
      </c>
      <c r="F50" s="141" t="n">
        <v>89250</v>
      </c>
      <c r="J50" s="1" t="n">
        <v>118</v>
      </c>
      <c r="K50" s="134"/>
      <c r="L50" s="134" t="n">
        <v>2.5</v>
      </c>
      <c r="M50" s="136" t="n">
        <v>2.5</v>
      </c>
    </row>
    <row r="51" customFormat="false" ht="15.75" hidden="false" customHeight="false" outlineLevel="0" collapsed="false">
      <c r="C51" s="145" t="n">
        <v>0.15</v>
      </c>
      <c r="D51" s="141" t="n">
        <v>501600</v>
      </c>
      <c r="E51" s="141" t="n">
        <v>517200</v>
      </c>
      <c r="F51" s="141" t="n">
        <v>553850</v>
      </c>
      <c r="J51" s="1" t="n">
        <v>119</v>
      </c>
      <c r="K51" s="134"/>
      <c r="L51" s="134" t="n">
        <v>2.3</v>
      </c>
      <c r="M51" s="136" t="n">
        <v>2.3</v>
      </c>
    </row>
    <row r="52" customFormat="false" ht="15.75" hidden="false" customHeight="false" outlineLevel="0" collapsed="false">
      <c r="C52" s="145" t="n">
        <v>0.2</v>
      </c>
      <c r="J52" s="1" t="n">
        <v>120</v>
      </c>
      <c r="K52" s="134"/>
      <c r="L52" s="134" t="n">
        <v>2</v>
      </c>
      <c r="M52" s="136" t="n">
        <v>2</v>
      </c>
    </row>
    <row r="53" customFormat="false" ht="15.75" hidden="false" customHeight="false" outlineLevel="0" collapsed="false">
      <c r="J53" s="1" t="n">
        <v>121</v>
      </c>
      <c r="K53" s="134"/>
      <c r="L53" s="134" t="n">
        <v>2</v>
      </c>
      <c r="M53" s="136" t="n">
        <v>2</v>
      </c>
    </row>
    <row r="54" customFormat="false" ht="15.75" hidden="false" customHeight="false" outlineLevel="0" collapsed="false">
      <c r="A54" s="10" t="s">
        <v>146</v>
      </c>
      <c r="J54" s="1" t="n">
        <v>122</v>
      </c>
      <c r="K54" s="134"/>
      <c r="L54" s="134" t="n">
        <v>2</v>
      </c>
      <c r="M54" s="136" t="n">
        <v>2</v>
      </c>
    </row>
    <row r="56" customFormat="false" ht="15.75" hidden="false" customHeight="false" outlineLevel="0" collapsed="false">
      <c r="J56" s="0" t="s">
        <v>147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% of Salary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Other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Other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0.05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200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Other with % of Salary / % of Salary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99994999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5000</v>
      </c>
      <c r="Z17" s="99" t="n">
        <f aca="false">W17+X17+Y17</f>
        <v>10000</v>
      </c>
      <c r="AA17" s="100" t="n">
        <f aca="false">Q17+Z17</f>
        <v>2192400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2192400</v>
      </c>
      <c r="K18" s="99" t="n">
        <f aca="false">J18*E18</f>
        <v>105015.96</v>
      </c>
      <c r="L18" s="99" t="n">
        <f aca="false">J18+K18</f>
        <v>2297415.96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2297415.96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102494898.975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5100</v>
      </c>
      <c r="Z18" s="99" t="n">
        <f aca="false">W18+X18+Y18</f>
        <v>10200</v>
      </c>
      <c r="AA18" s="100" t="n">
        <f aca="false">Q18+W18+X18+Y18</f>
        <v>2307615.96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2307615.96</v>
      </c>
      <c r="K19" s="99" t="n">
        <f aca="false">J19*E19</f>
        <v>49152.219948</v>
      </c>
      <c r="L19" s="99" t="n">
        <f aca="false">J19+K19</f>
        <v>2356768.179948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2356768.179948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105057296.949375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5202</v>
      </c>
      <c r="Z19" s="99" t="n">
        <f aca="false">W19+X19+Y19</f>
        <v>10404</v>
      </c>
      <c r="AA19" s="100" t="n">
        <f aca="false">Q19+W19+X19+Y19</f>
        <v>2367172.179948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2367172.179948</v>
      </c>
      <c r="K20" s="99" t="n">
        <f aca="false">J20*E20</f>
        <v>260388.93979428</v>
      </c>
      <c r="L20" s="99" t="n">
        <f aca="false">J20+K20</f>
        <v>2627561.11974228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2627561.11974228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107683755.383109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5306.04</v>
      </c>
      <c r="Z20" s="99" t="n">
        <f aca="false">W20+X20+Y20</f>
        <v>10612.08</v>
      </c>
      <c r="AA20" s="100" t="n">
        <f aca="false">Q20+W20+X20+Y20</f>
        <v>2638173.19974228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2638173.19974228</v>
      </c>
      <c r="K21" s="99" t="n">
        <f aca="false">J21*E21</f>
        <v>211581.490619331</v>
      </c>
      <c r="L21" s="99" t="n">
        <f aca="false">J21+K21</f>
        <v>2849754.69036161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2739373.40129911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2739373.40129911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2739373.40129911</v>
      </c>
      <c r="K22" s="99" t="n">
        <f aca="false">J22*E22</f>
        <v>224080.744226267</v>
      </c>
      <c r="L22" s="99" t="n">
        <f aca="false">J22+K22</f>
        <v>2963454.14552538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2850313.32423631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2850313.32423631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2850313.32423631</v>
      </c>
      <c r="K23" s="99" t="n">
        <f aca="false">J23*E23</f>
        <v>287311.583083021</v>
      </c>
      <c r="L23" s="99" t="n">
        <f aca="false">J23+K23</f>
        <v>3137624.90731934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3021655.56549805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3021655.56549805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3021655.56549805</v>
      </c>
      <c r="K24" s="99" t="n">
        <f aca="false">J24*E24</f>
        <v>-148665.453822504</v>
      </c>
      <c r="L24" s="99" t="n">
        <f aca="false">J24+K24</f>
        <v>2872990.11167554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2754121.53630872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2754121.53630872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2754121.53630872</v>
      </c>
      <c r="K25" s="99" t="n">
        <f aca="false">J25*E25</f>
        <v>33875.6948965973</v>
      </c>
      <c r="L25" s="99" t="n">
        <f aca="false">J25+K25</f>
        <v>2787997.23120532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2666156.94145433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2666156.94145433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2666156.94145433</v>
      </c>
      <c r="K26" s="99" t="n">
        <f aca="false">J26*E26</f>
        <v>170900.659947222</v>
      </c>
      <c r="L26" s="99" t="n">
        <f aca="false">J26+K26</f>
        <v>2837057.60140155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2712171.30440678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2712171.30440678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2712171.30440678</v>
      </c>
      <c r="K27" s="99" t="n">
        <f aca="false">J27*E27</f>
        <v>290473.546701966</v>
      </c>
      <c r="L27" s="99" t="n">
        <f aca="false">J27+K27</f>
        <v>3002644.85110875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2874636.39668911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2874636.39668911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2874636.39668911</v>
      </c>
      <c r="K28" s="99" t="n">
        <f aca="false">J28*E28</f>
        <v>187138.829424461</v>
      </c>
      <c r="L28" s="99" t="n">
        <f aca="false">J28+K28</f>
        <v>3061775.22611357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2930566.56033345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2930566.56033345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2930566.56033345</v>
      </c>
      <c r="K29" s="99" t="n">
        <f aca="false">J29*E29</f>
        <v>234445.324826676</v>
      </c>
      <c r="L29" s="99" t="n">
        <f aca="false">J29+K29</f>
        <v>3165011.88516012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3030523.00273549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3030523.00273549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3030523.00273549</v>
      </c>
      <c r="K30" s="99" t="n">
        <f aca="false">J30*E30</f>
        <v>94249.2653850739</v>
      </c>
      <c r="L30" s="99" t="n">
        <f aca="false">J30+K30</f>
        <v>3124772.26812057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2986921.16363532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2986921.16363532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2986921.16363532</v>
      </c>
      <c r="K31" s="99" t="n">
        <f aca="false">J31*E31</f>
        <v>168163.661512669</v>
      </c>
      <c r="L31" s="99" t="n">
        <f aca="false">J31+K31</f>
        <v>3155084.82514799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121419.559497371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3013787.44305062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3013787.44305062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3013787.44305062</v>
      </c>
      <c r="K32" s="99" t="n">
        <f aca="false">J32*E32</f>
        <v>81975.0184509767</v>
      </c>
      <c r="L32" s="99" t="n">
        <f aca="false">J32+K32</f>
        <v>3095762.46150159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127164.027132937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2950932.64485178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2950932.64485178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2950932.64485178</v>
      </c>
      <c r="K33" s="99" t="n">
        <f aca="false">J33*E33</f>
        <v>486313.699871574</v>
      </c>
      <c r="L33" s="99" t="n">
        <f aca="false">J33+K33</f>
        <v>3437246.34472336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128861.687548113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3288795.7826573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3288795.7826573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3288795.7826573</v>
      </c>
      <c r="K34" s="99" t="n">
        <f aca="false">J34*E34</f>
        <v>-221993.715329368</v>
      </c>
      <c r="L34" s="99" t="n">
        <f aca="false">J34+K34</f>
        <v>3066802.06732793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149490.717393514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2914640.24121022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2914640.24121022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2914640.24121022</v>
      </c>
      <c r="K35" s="99" t="n">
        <f aca="false">J35*E35</f>
        <v>387064.224032718</v>
      </c>
      <c r="L35" s="99" t="n">
        <f aca="false">J35+K35</f>
        <v>3301704.46524294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138134.608588162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3145738.59347229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3145738.59347229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3145738.59347229</v>
      </c>
      <c r="K36" s="99" t="n">
        <f aca="false">J36*E36</f>
        <v>144074.827581031</v>
      </c>
      <c r="L36" s="99" t="n">
        <f aca="false">J36+K36</f>
        <v>3289813.42105332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155729.633340212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3129948.40248841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3129948.40248841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3129948.40248841</v>
      </c>
      <c r="K37" s="99" t="n">
        <f aca="false">J37*E37</f>
        <v>282947.335584952</v>
      </c>
      <c r="L37" s="99" t="n">
        <f aca="false">J37+K37</f>
        <v>3412895.73807336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161337.546520021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3249034.09404432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3249034.09404432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3249034.09404432</v>
      </c>
      <c r="K38" s="99" t="n">
        <f aca="false">J38*E38</f>
        <v>220284.511576205</v>
      </c>
      <c r="L38" s="99" t="n">
        <f aca="false">J38+K38</f>
        <v>3469318.60562052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175623.464542936</v>
      </c>
      <c r="O38" s="99" t="n">
        <f aca="false">IF(D38&gt;$B$4,0,IF(D38&lt;$B$3,0,$B$8*(1+$B$10)^(C38-1)))</f>
        <v>167958.185129765</v>
      </c>
      <c r="P38" s="99" t="n">
        <f aca="false">MAX(N38,O38)</f>
        <v>175623.464542936</v>
      </c>
      <c r="Q38" s="99" t="n">
        <f aca="false">MAX(0,L38-P38)</f>
        <v>3293695.14107759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3293695.14107759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3293695.14107759</v>
      </c>
      <c r="K39" s="99" t="n">
        <f aca="false">J39*E39</f>
        <v>175553.951019435</v>
      </c>
      <c r="L39" s="99" t="n">
        <f aca="false">J39+K39</f>
        <v>3469249.09209702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186084.471247321</v>
      </c>
      <c r="O39" s="99" t="n">
        <f aca="false">IF(D39&gt;$B$4,0,IF(D39&lt;$B$3,0,$B$8*(1+$B$10)^(C39-1)))</f>
        <v>172157.13975801</v>
      </c>
      <c r="P39" s="99" t="n">
        <f aca="false">MAX(N39,O39)</f>
        <v>186084.471247321</v>
      </c>
      <c r="Q39" s="99" t="n">
        <f aca="false">MAX(0,L39-P39)</f>
        <v>3283164.6208497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3283164.6208497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3283164.6208497</v>
      </c>
      <c r="K40" s="99" t="n">
        <f aca="false">J40*E40</f>
        <v>243610.814867048</v>
      </c>
      <c r="L40" s="99" t="n">
        <f aca="false">J40+K40</f>
        <v>3526775.43571675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195426.465526768</v>
      </c>
      <c r="O40" s="99" t="n">
        <f aca="false">IF(D40&gt;$B$4,0,IF(D40&lt;$B$3,0,$B$8*(1+$B$10)^(C40-1)))</f>
        <v>176461.06825196</v>
      </c>
      <c r="P40" s="99" t="n">
        <f aca="false">MAX(N40,O40)</f>
        <v>195426.465526768</v>
      </c>
      <c r="Q40" s="99" t="n">
        <f aca="false">MAX(0,L40-P40)</f>
        <v>3331348.97018998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3331348.97018998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3331348.97018998</v>
      </c>
      <c r="K41" s="99" t="n">
        <f aca="false">J41*E41</f>
        <v>216537.683062349</v>
      </c>
      <c r="L41" s="99" t="n">
        <f aca="false">J41+K41</f>
        <v>3547886.65325233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208209.310636874</v>
      </c>
      <c r="O41" s="99" t="n">
        <f aca="false">IF(D41&gt;$B$4,0,IF(D41&lt;$B$3,0,$B$8*(1+$B$10)^(C41-1)))</f>
        <v>180872.594958259</v>
      </c>
      <c r="P41" s="99" t="n">
        <f aca="false">MAX(N41,O41)</f>
        <v>208209.310636874</v>
      </c>
      <c r="Q41" s="99" t="n">
        <f aca="false">MAX(0,L41-P41)</f>
        <v>3339677.34261545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3339677.34261545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3339677.34261545</v>
      </c>
      <c r="K42" s="99" t="n">
        <f aca="false">J42*E42</f>
        <v>-116888.706991541</v>
      </c>
      <c r="L42" s="99" t="n">
        <f aca="false">J42+K42</f>
        <v>3222788.63562391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219715.614645754</v>
      </c>
      <c r="O42" s="99" t="n">
        <f aca="false">IF(D42&gt;$B$4,0,IF(D42&lt;$B$3,0,$B$8*(1+$B$10)^(C42-1)))</f>
        <v>185394.409832215</v>
      </c>
      <c r="P42" s="99" t="n">
        <f aca="false">MAX(N42,O42)</f>
        <v>219715.614645754</v>
      </c>
      <c r="Q42" s="99" t="n">
        <f aca="false">MAX(0,L42-P42)</f>
        <v>3003073.02097816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3003073.02097816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3003073.02097816</v>
      </c>
      <c r="K43" s="99" t="n">
        <f aca="false">J43*E43</f>
        <v>240245.841678253</v>
      </c>
      <c r="L43" s="99" t="n">
        <f aca="false">J43+K43</f>
        <v>3243318.86265641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208546.737567928</v>
      </c>
      <c r="O43" s="99" t="n">
        <f aca="false">IF(D43&gt;$B$4,0,IF(D43&lt;$B$3,0,$B$8*(1+$B$10)^(C43-1)))</f>
        <v>190029.270078021</v>
      </c>
      <c r="P43" s="99" t="n">
        <f aca="false">MAX(N43,O43)</f>
        <v>208546.737567928</v>
      </c>
      <c r="Q43" s="99" t="n">
        <f aca="false">MAX(0,L43-P43)</f>
        <v>3034772.12508849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3034772.12508849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3034772.12508849</v>
      </c>
      <c r="K44" s="99" t="n">
        <f aca="false">J44*E44</f>
        <v>164484.649179796</v>
      </c>
      <c r="L44" s="99" t="n">
        <f aca="false">J44+K44</f>
        <v>3199256.77426828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221516.213510108</v>
      </c>
      <c r="O44" s="99" t="n">
        <f aca="false">IF(D44&gt;$B$4,0,IF(D44&lt;$B$3,0,$B$8*(1+$B$10)^(C44-1)))</f>
        <v>194780.001829971</v>
      </c>
      <c r="P44" s="99" t="n">
        <f aca="false">MAX(N44,O44)</f>
        <v>221516.213510108</v>
      </c>
      <c r="Q44" s="99" t="n">
        <f aca="false">MAX(0,L44-P44)</f>
        <v>2977740.56075817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2977740.56075817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2977740.56075817</v>
      </c>
      <c r="K45" s="99" t="n">
        <f aca="false">J45*E45</f>
        <v>235539.278355971</v>
      </c>
      <c r="L45" s="99" t="n">
        <f aca="false">J45+K45</f>
        <v>3213279.83911414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230832.601609161</v>
      </c>
      <c r="O45" s="99" t="n">
        <f aca="false">IF(D45&gt;$B$4,0,IF(D45&lt;$B$3,0,$B$8*(1+$B$10)^(C45-1)))</f>
        <v>199649.50187572</v>
      </c>
      <c r="P45" s="99" t="n">
        <f aca="false">MAX(N45,O45)</f>
        <v>230832.601609161</v>
      </c>
      <c r="Q45" s="99" t="n">
        <f aca="false">MAX(0,L45-P45)</f>
        <v>2982447.23750498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2982447.23750498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2982447.23750498</v>
      </c>
      <c r="K46" s="99" t="n">
        <f aca="false">J46*E46</f>
        <v>112438.260853938</v>
      </c>
      <c r="L46" s="99" t="n">
        <f aca="false">J46+K46</f>
        <v>3094885.49835892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244462.888320081</v>
      </c>
      <c r="O46" s="99" t="n">
        <f aca="false">IF(D46&gt;$B$4,0,IF(D46&lt;$B$3,0,$B$8*(1+$B$10)^(C46-1)))</f>
        <v>204640.739422613</v>
      </c>
      <c r="P46" s="99" t="n">
        <f aca="false">MAX(N46,O46)</f>
        <v>244462.888320081</v>
      </c>
      <c r="Q46" s="99" t="n">
        <f aca="false">MAX(0,L46-P46)</f>
        <v>2850422.61003884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2850422.61003884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2850422.61003884</v>
      </c>
      <c r="K47" s="99" t="n">
        <f aca="false">J47*E47</f>
        <v>261953.837862569</v>
      </c>
      <c r="L47" s="99" t="n">
        <f aca="false">J47+K47</f>
        <v>3112376.44790141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3112376.44790141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3112376.44790141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3112376.44790141</v>
      </c>
      <c r="K48" s="99" t="n">
        <f aca="false">J48*E48</f>
        <v>104887.086294278</v>
      </c>
      <c r="L48" s="99" t="n">
        <f aca="false">J48+K48</f>
        <v>3217263.53419569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3217263.53419569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3217263.53419569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3217263.53419569</v>
      </c>
      <c r="K49" s="99" t="n">
        <f aca="false">J49*E49</f>
        <v>144776.859038806</v>
      </c>
      <c r="L49" s="99" t="n">
        <f aca="false">J49+K49</f>
        <v>3362040.39323449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3362040.39323449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3362040.39323449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3362040.39323449</v>
      </c>
      <c r="K50" s="99" t="n">
        <f aca="false">J50*E50</f>
        <v>369824.443255794</v>
      </c>
      <c r="L50" s="99" t="n">
        <f aca="false">J50+K50</f>
        <v>3731864.83649029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3731864.83649029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3731864.83649029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3731864.83649029</v>
      </c>
      <c r="K51" s="99" t="n">
        <f aca="false">J51*E51</f>
        <v>326538.1731929</v>
      </c>
      <c r="L51" s="99" t="n">
        <f aca="false">J51+K51</f>
        <v>4058403.00968319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4058403.00968319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4058403.00968319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4058403.00968319</v>
      </c>
      <c r="K52" s="99" t="n">
        <f aca="false">J52*E52</f>
        <v>-189527.420552205</v>
      </c>
      <c r="L52" s="99" t="n">
        <f aca="false">J52+K52</f>
        <v>3868875.58913098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3868875.58913098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3868875.58913098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3868875.58913098</v>
      </c>
      <c r="K53" s="99" t="n">
        <f aca="false">J53*E53</f>
        <v>-273916.391710474</v>
      </c>
      <c r="L53" s="99" t="n">
        <f aca="false">J53+K53</f>
        <v>3594959.19742051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3594959.19742051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3594959.19742051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3594959.19742051</v>
      </c>
      <c r="K54" s="99" t="n">
        <f aca="false">J54*E54</f>
        <v>-484600.499812285</v>
      </c>
      <c r="L54" s="99" t="n">
        <f aca="false">J54+K54</f>
        <v>3110358.69760823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3110358.69760823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3110358.69760823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50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Match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Other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Other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0.5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0.08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201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Other with % of Salary / Match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2500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99994999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2500</v>
      </c>
      <c r="Z17" s="99" t="n">
        <f aca="false">W17+X17+Y17</f>
        <v>7500</v>
      </c>
      <c r="AA17" s="100" t="n">
        <f aca="false">Q17+Z17</f>
        <v>2189900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2189900</v>
      </c>
      <c r="K18" s="99" t="n">
        <f aca="false">J18*E18</f>
        <v>104896.21</v>
      </c>
      <c r="L18" s="99" t="n">
        <f aca="false">J18+K18</f>
        <v>2294796.21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2294796.21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2550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102494898.975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2550</v>
      </c>
      <c r="Z18" s="99" t="n">
        <f aca="false">W18+X18+Y18</f>
        <v>7650</v>
      </c>
      <c r="AA18" s="100" t="n">
        <f aca="false">Q18+W18+X18+Y18</f>
        <v>2302446.21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2302446.21</v>
      </c>
      <c r="K19" s="99" t="n">
        <f aca="false">J19*E19</f>
        <v>49042.104273</v>
      </c>
      <c r="L19" s="99" t="n">
        <f aca="false">J19+K19</f>
        <v>2351488.314273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2351488.314273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2601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105057296.949375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2601</v>
      </c>
      <c r="Z19" s="99" t="n">
        <f aca="false">W19+X19+Y19</f>
        <v>7803</v>
      </c>
      <c r="AA19" s="100" t="n">
        <f aca="false">Q19+W19+X19+Y19</f>
        <v>2359291.314273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2359291.314273</v>
      </c>
      <c r="K20" s="99" t="n">
        <f aca="false">J20*E20</f>
        <v>259522.04457003</v>
      </c>
      <c r="L20" s="99" t="n">
        <f aca="false">J20+K20</f>
        <v>2618813.35884303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2618813.35884303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2653.02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107683755.383109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2653.02</v>
      </c>
      <c r="Z20" s="99" t="n">
        <f aca="false">W20+X20+Y20</f>
        <v>7959.06</v>
      </c>
      <c r="AA20" s="100" t="n">
        <f aca="false">Q20+W20+X20+Y20</f>
        <v>2626772.41884303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2626772.41884303</v>
      </c>
      <c r="K21" s="99" t="n">
        <f aca="false">J21*E21</f>
        <v>210667.147991211</v>
      </c>
      <c r="L21" s="99" t="n">
        <f aca="false">J21+K21</f>
        <v>2837439.56683424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2727058.27777174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2727058.27777174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2727058.27777174</v>
      </c>
      <c r="K22" s="99" t="n">
        <f aca="false">J22*E22</f>
        <v>223073.367121728</v>
      </c>
      <c r="L22" s="99" t="n">
        <f aca="false">J22+K22</f>
        <v>2950131.64489347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2836990.82360441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2836990.82360441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2836990.82360441</v>
      </c>
      <c r="K23" s="99" t="n">
        <f aca="false">J23*E23</f>
        <v>285968.675019324</v>
      </c>
      <c r="L23" s="99" t="n">
        <f aca="false">J23+K23</f>
        <v>3122959.49862373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3006990.15680244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3006990.15680244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3006990.15680244</v>
      </c>
      <c r="K24" s="99" t="n">
        <f aca="false">J24*E24</f>
        <v>-147943.91571468</v>
      </c>
      <c r="L24" s="99" t="n">
        <f aca="false">J24+K24</f>
        <v>2859046.24108776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2740177.66572094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2740177.66572094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2740177.66572094</v>
      </c>
      <c r="K25" s="99" t="n">
        <f aca="false">J25*E25</f>
        <v>33704.1852883676</v>
      </c>
      <c r="L25" s="99" t="n">
        <f aca="false">J25+K25</f>
        <v>2773881.85100931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2652041.56125832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2652041.56125832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2652041.56125832</v>
      </c>
      <c r="K26" s="99" t="n">
        <f aca="false">J26*E26</f>
        <v>169995.864076658</v>
      </c>
      <c r="L26" s="99" t="n">
        <f aca="false">J26+K26</f>
        <v>2822037.42533497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2697151.12834021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2697151.12834021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2697151.12834021</v>
      </c>
      <c r="K27" s="99" t="n">
        <f aca="false">J27*E27</f>
        <v>288864.885845236</v>
      </c>
      <c r="L27" s="99" t="n">
        <f aca="false">J27+K27</f>
        <v>2986016.01418545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2858007.55976581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2858007.55976581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2858007.55976581</v>
      </c>
      <c r="K28" s="99" t="n">
        <f aca="false">J28*E28</f>
        <v>186056.292140754</v>
      </c>
      <c r="L28" s="99" t="n">
        <f aca="false">J28+K28</f>
        <v>3044063.85190656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2912855.18612644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2912855.18612644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2912855.18612644</v>
      </c>
      <c r="K29" s="99" t="n">
        <f aca="false">J29*E29</f>
        <v>233028.414890115</v>
      </c>
      <c r="L29" s="99" t="n">
        <f aca="false">J29+K29</f>
        <v>3145883.60101655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3011394.71859192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3011394.71859192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3011394.71859192</v>
      </c>
      <c r="K30" s="99" t="n">
        <f aca="false">J30*E30</f>
        <v>93654.3757482088</v>
      </c>
      <c r="L30" s="99" t="n">
        <f aca="false">J30+K30</f>
        <v>3105049.09434013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2967197.98985489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2967197.98985489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2967197.98985489</v>
      </c>
      <c r="K31" s="99" t="n">
        <f aca="false">J31*E31</f>
        <v>167053.24682883</v>
      </c>
      <c r="L31" s="99" t="n">
        <f aca="false">J31+K31</f>
        <v>3134251.23668372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120617.804465646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2992953.85458634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2992953.85458634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2992953.85458634</v>
      </c>
      <c r="K32" s="99" t="n">
        <f aca="false">J32*E32</f>
        <v>81408.3448447484</v>
      </c>
      <c r="L32" s="99" t="n">
        <f aca="false">J32+K32</f>
        <v>3074362.19943109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126284.972767356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2929532.38278128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2929532.38278128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2929532.38278128</v>
      </c>
      <c r="K33" s="99" t="n">
        <f aca="false">J33*E33</f>
        <v>482786.936682354</v>
      </c>
      <c r="L33" s="99" t="n">
        <f aca="false">J33+K33</f>
        <v>3412319.31946363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127927.178287392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3263868.75739757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3263868.75739757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3263868.75739757</v>
      </c>
      <c r="K34" s="99" t="n">
        <f aca="false">J34*E34</f>
        <v>-220311.141124336</v>
      </c>
      <c r="L34" s="99" t="n">
        <f aca="false">J34+K34</f>
        <v>3043557.61627324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148357.670790799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2891395.79015553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2891395.79015553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2891395.79015553</v>
      </c>
      <c r="K35" s="99" t="n">
        <f aca="false">J35*E35</f>
        <v>383977.360932655</v>
      </c>
      <c r="L35" s="99" t="n">
        <f aca="false">J35+K35</f>
        <v>3275373.15108819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137032.975836755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3119407.27931754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3119407.27931754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3119407.27931754</v>
      </c>
      <c r="K36" s="99" t="n">
        <f aca="false">J36*E36</f>
        <v>142868.853392743</v>
      </c>
      <c r="L36" s="99" t="n">
        <f aca="false">J36+K36</f>
        <v>3262276.13271028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154426.102936512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3102411.11414536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3102411.11414536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3102411.11414536</v>
      </c>
      <c r="K37" s="99" t="n">
        <f aca="false">J37*E37</f>
        <v>280457.964718741</v>
      </c>
      <c r="L37" s="99" t="n">
        <f aca="false">J37+K37</f>
        <v>3382869.0788641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159918.098667287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3219007.43483506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3219007.43483506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3219007.43483506</v>
      </c>
      <c r="K38" s="99" t="n">
        <f aca="false">J38*E38</f>
        <v>218248.704081817</v>
      </c>
      <c r="L38" s="99" t="n">
        <f aca="false">J38+K38</f>
        <v>3437256.13891688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174000.401882976</v>
      </c>
      <c r="O38" s="99" t="n">
        <f aca="false">IF(D38&gt;$B$4,0,IF(D38&lt;$B$3,0,$B$8*(1+$B$10)^(C38-1)))</f>
        <v>167958.185129765</v>
      </c>
      <c r="P38" s="99" t="n">
        <f aca="false">MAX(N38,O38)</f>
        <v>174000.401882976</v>
      </c>
      <c r="Q38" s="99" t="n">
        <f aca="false">MAX(0,L38-P38)</f>
        <v>3263255.7370339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3263255.7370339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3263255.7370339</v>
      </c>
      <c r="K39" s="99" t="n">
        <f aca="false">J39*E39</f>
        <v>173931.530783907</v>
      </c>
      <c r="L39" s="99" t="n">
        <f aca="false">J39+K39</f>
        <v>3437187.26781781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184364.73090587</v>
      </c>
      <c r="O39" s="99" t="n">
        <f aca="false">IF(D39&gt;$B$4,0,IF(D39&lt;$B$3,0,$B$8*(1+$B$10)^(C39-1)))</f>
        <v>172157.13975801</v>
      </c>
      <c r="P39" s="99" t="n">
        <f aca="false">MAX(N39,O39)</f>
        <v>184364.73090587</v>
      </c>
      <c r="Q39" s="99" t="n">
        <f aca="false">MAX(0,L39-P39)</f>
        <v>3252822.53691194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3252822.53691194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3252822.53691194</v>
      </c>
      <c r="K40" s="99" t="n">
        <f aca="false">J40*E40</f>
        <v>241359.432238866</v>
      </c>
      <c r="L40" s="99" t="n">
        <f aca="false">J40+K40</f>
        <v>3494181.96915081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193620.389101901</v>
      </c>
      <c r="O40" s="99" t="n">
        <f aca="false">IF(D40&gt;$B$4,0,IF(D40&lt;$B$3,0,$B$8*(1+$B$10)^(C40-1)))</f>
        <v>176461.06825196</v>
      </c>
      <c r="P40" s="99" t="n">
        <f aca="false">MAX(N40,O40)</f>
        <v>193620.389101901</v>
      </c>
      <c r="Q40" s="99" t="n">
        <f aca="false">MAX(0,L40-P40)</f>
        <v>3300561.58004891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3300561.58004891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3300561.58004891</v>
      </c>
      <c r="K41" s="99" t="n">
        <f aca="false">J41*E41</f>
        <v>214536.502703179</v>
      </c>
      <c r="L41" s="99" t="n">
        <f aca="false">J41+K41</f>
        <v>3515098.08275208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206285.098753057</v>
      </c>
      <c r="O41" s="99" t="n">
        <f aca="false">IF(D41&gt;$B$4,0,IF(D41&lt;$B$3,0,$B$8*(1+$B$10)^(C41-1)))</f>
        <v>180872.594958259</v>
      </c>
      <c r="P41" s="99" t="n">
        <f aca="false">MAX(N41,O41)</f>
        <v>206285.098753057</v>
      </c>
      <c r="Q41" s="99" t="n">
        <f aca="false">MAX(0,L41-P41)</f>
        <v>3308812.98399903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3308812.98399903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3308812.98399903</v>
      </c>
      <c r="K42" s="99" t="n">
        <f aca="false">J42*E42</f>
        <v>-115808.454439966</v>
      </c>
      <c r="L42" s="99" t="n">
        <f aca="false">J42+K42</f>
        <v>3193004.52955906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217685.064736778</v>
      </c>
      <c r="O42" s="99" t="n">
        <f aca="false">IF(D42&gt;$B$4,0,IF(D42&lt;$B$3,0,$B$8*(1+$B$10)^(C42-1)))</f>
        <v>185394.409832215</v>
      </c>
      <c r="P42" s="99" t="n">
        <f aca="false">MAX(N42,O42)</f>
        <v>217685.064736778</v>
      </c>
      <c r="Q42" s="99" t="n">
        <f aca="false">MAX(0,L42-P42)</f>
        <v>2975319.46482228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2975319.46482228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2975319.46482228</v>
      </c>
      <c r="K43" s="99" t="n">
        <f aca="false">J43*E43</f>
        <v>238025.557185783</v>
      </c>
      <c r="L43" s="99" t="n">
        <f aca="false">J43+K43</f>
        <v>3213345.02200807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206619.407279325</v>
      </c>
      <c r="O43" s="99" t="n">
        <f aca="false">IF(D43&gt;$B$4,0,IF(D43&lt;$B$3,0,$B$8*(1+$B$10)^(C43-1)))</f>
        <v>190029.270078021</v>
      </c>
      <c r="P43" s="99" t="n">
        <f aca="false">MAX(N43,O43)</f>
        <v>206619.407279325</v>
      </c>
      <c r="Q43" s="99" t="n">
        <f aca="false">MAX(0,L43-P43)</f>
        <v>3006725.61472874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3006725.61472874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3006725.61472874</v>
      </c>
      <c r="K44" s="99" t="n">
        <f aca="false">J44*E44</f>
        <v>162964.528318298</v>
      </c>
      <c r="L44" s="99" t="n">
        <f aca="false">J44+K44</f>
        <v>3169690.14304704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219469.022972901</v>
      </c>
      <c r="O44" s="99" t="n">
        <f aca="false">IF(D44&gt;$B$4,0,IF(D44&lt;$B$3,0,$B$8*(1+$B$10)^(C44-1)))</f>
        <v>194780.001829971</v>
      </c>
      <c r="P44" s="99" t="n">
        <f aca="false">MAX(N44,O44)</f>
        <v>219469.022972901</v>
      </c>
      <c r="Q44" s="99" t="n">
        <f aca="false">MAX(0,L44-P44)</f>
        <v>2950221.12007414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2950221.12007414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2950221.12007414</v>
      </c>
      <c r="K45" s="99" t="n">
        <f aca="false">J45*E45</f>
        <v>233362.490597864</v>
      </c>
      <c r="L45" s="99" t="n">
        <f aca="false">J45+K45</f>
        <v>3183583.610672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228699.311633654</v>
      </c>
      <c r="O45" s="99" t="n">
        <f aca="false">IF(D45&gt;$B$4,0,IF(D45&lt;$B$3,0,$B$8*(1+$B$10)^(C45-1)))</f>
        <v>199649.50187572</v>
      </c>
      <c r="P45" s="99" t="n">
        <f aca="false">MAX(N45,O45)</f>
        <v>228699.311633654</v>
      </c>
      <c r="Q45" s="99" t="n">
        <f aca="false">MAX(0,L45-P45)</f>
        <v>2954884.29903835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2954884.29903835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2954884.29903835</v>
      </c>
      <c r="K46" s="99" t="n">
        <f aca="false">J46*E46</f>
        <v>111399.138073746</v>
      </c>
      <c r="L46" s="99" t="n">
        <f aca="false">J46+K46</f>
        <v>3066283.43711209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242203.631068717</v>
      </c>
      <c r="O46" s="99" t="n">
        <f aca="false">IF(D46&gt;$B$4,0,IF(D46&lt;$B$3,0,$B$8*(1+$B$10)^(C46-1)))</f>
        <v>204640.739422613</v>
      </c>
      <c r="P46" s="99" t="n">
        <f aca="false">MAX(N46,O46)</f>
        <v>242203.631068717</v>
      </c>
      <c r="Q46" s="99" t="n">
        <f aca="false">MAX(0,L46-P46)</f>
        <v>2824079.80604338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2824079.80604338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2824079.80604338</v>
      </c>
      <c r="K47" s="99" t="n">
        <f aca="false">J47*E47</f>
        <v>259532.934175386</v>
      </c>
      <c r="L47" s="99" t="n">
        <f aca="false">J47+K47</f>
        <v>3083612.74021876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3083612.74021876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3083612.74021876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3083612.74021876</v>
      </c>
      <c r="K48" s="99" t="n">
        <f aca="false">J48*E48</f>
        <v>103917.749345372</v>
      </c>
      <c r="L48" s="99" t="n">
        <f aca="false">J48+K48</f>
        <v>3187530.48956413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3187530.48956413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3187530.48956413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3187530.48956413</v>
      </c>
      <c r="K49" s="99" t="n">
        <f aca="false">J49*E49</f>
        <v>143438.872030386</v>
      </c>
      <c r="L49" s="99" t="n">
        <f aca="false">J49+K49</f>
        <v>3330969.36159452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3330969.36159452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3330969.36159452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3330969.36159452</v>
      </c>
      <c r="K50" s="99" t="n">
        <f aca="false">J50*E50</f>
        <v>366406.629775397</v>
      </c>
      <c r="L50" s="99" t="n">
        <f aca="false">J50+K50</f>
        <v>3697375.99136992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3697375.99136992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3697375.99136992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3697375.99136992</v>
      </c>
      <c r="K51" s="99" t="n">
        <f aca="false">J51*E51</f>
        <v>323520.399244868</v>
      </c>
      <c r="L51" s="99" t="n">
        <f aca="false">J51+K51</f>
        <v>4020896.39061479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4020896.39061479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4020896.39061479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4020896.39061479</v>
      </c>
      <c r="K52" s="99" t="n">
        <f aca="false">J52*E52</f>
        <v>-187775.861441711</v>
      </c>
      <c r="L52" s="99" t="n">
        <f aca="false">J52+K52</f>
        <v>3833120.52917308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3833120.52917308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3833120.52917308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3833120.52917308</v>
      </c>
      <c r="K53" s="99" t="n">
        <f aca="false">J53*E53</f>
        <v>-271384.933465454</v>
      </c>
      <c r="L53" s="99" t="n">
        <f aca="false">J53+K53</f>
        <v>3561735.59570762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3561735.59570762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3561735.59570762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3561735.59570762</v>
      </c>
      <c r="K54" s="99" t="n">
        <f aca="false">J54*E54</f>
        <v>-480121.958301387</v>
      </c>
      <c r="L54" s="99" t="n">
        <f aca="false">J54+K54</f>
        <v>3081613.63740623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3081613.63740623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3081613.63740623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51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Profit Sharing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Profit Sharing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0.06</v>
      </c>
      <c r="C6" s="57"/>
      <c r="D6" s="64" t="s">
        <v>17</v>
      </c>
      <c r="E6" s="79" t="n">
        <f aca="false">VLOOKUP($A$14,Scenarios!$A:$CE,HLOOKUP(D6,Scenarios!$1:$2,2,FALSE()),FALSE())</f>
        <v>1000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202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Profit Sharing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0.1094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218800</v>
      </c>
      <c r="L17" s="99" t="n">
        <f aca="false">J17+K17</f>
        <v>2218800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2218800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1000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99998999</v>
      </c>
      <c r="W17" s="99" t="n">
        <f aca="false">MIN(R17,T17)</f>
        <v>1000</v>
      </c>
      <c r="X17" s="99" t="n">
        <f aca="false">MIN(U17,R17-W17)</f>
        <v>0</v>
      </c>
      <c r="Y17" s="99" t="n">
        <f aca="false">MIN(S17,V17)</f>
        <v>1000</v>
      </c>
      <c r="Z17" s="99" t="n">
        <f aca="false">W17+X17+Y17</f>
        <v>2000</v>
      </c>
      <c r="AA17" s="100" t="n">
        <f aca="false">Q17+Z17</f>
        <v>2220800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0.0575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2220800</v>
      </c>
      <c r="K18" s="99" t="n">
        <f aca="false">J18*E18</f>
        <v>127696</v>
      </c>
      <c r="L18" s="99" t="n">
        <f aca="false">J18+K18</f>
        <v>2348496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2348496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1000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1000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102498998.975</v>
      </c>
      <c r="W18" s="99" t="n">
        <f aca="false">MIN(R18,T18)</f>
        <v>1000</v>
      </c>
      <c r="X18" s="99" t="n">
        <f aca="false">MIN(U18,R18-W18)</f>
        <v>0</v>
      </c>
      <c r="Y18" s="99" t="n">
        <f aca="false">MIN(S18,V18)</f>
        <v>1000</v>
      </c>
      <c r="Z18" s="99" t="n">
        <f aca="false">W18+X18+Y18</f>
        <v>2000</v>
      </c>
      <c r="AA18" s="100" t="n">
        <f aca="false">Q18+W18+X18+Y18</f>
        <v>2350496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0.0256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2350496</v>
      </c>
      <c r="K19" s="99" t="n">
        <f aca="false">J19*E19</f>
        <v>60172.6976</v>
      </c>
      <c r="L19" s="99" t="n">
        <f aca="false">J19+K19</f>
        <v>2410668.6976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2410668.6976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1000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1000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105061498.949375</v>
      </c>
      <c r="W19" s="99" t="n">
        <f aca="false">MIN(R19,T19)</f>
        <v>1000</v>
      </c>
      <c r="X19" s="99" t="n">
        <f aca="false">MIN(U19,R19-W19)</f>
        <v>0</v>
      </c>
      <c r="Y19" s="99" t="n">
        <f aca="false">MIN(S19,V19)</f>
        <v>1000</v>
      </c>
      <c r="Z19" s="99" t="n">
        <f aca="false">W19+X19+Y19</f>
        <v>2000</v>
      </c>
      <c r="AA19" s="100" t="n">
        <f aca="false">Q19+W19+X19+Y19</f>
        <v>2412668.6976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0.132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2412668.6976</v>
      </c>
      <c r="K20" s="99" t="n">
        <f aca="false">J20*E20</f>
        <v>318472.2680832</v>
      </c>
      <c r="L20" s="99" t="n">
        <f aca="false">J20+K20</f>
        <v>2731140.9656832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2731140.9656832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1000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1000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107688061.423109</v>
      </c>
      <c r="W20" s="99" t="n">
        <f aca="false">MIN(R20,T20)</f>
        <v>1000</v>
      </c>
      <c r="X20" s="99" t="n">
        <f aca="false">MIN(U20,R20-W20)</f>
        <v>0</v>
      </c>
      <c r="Y20" s="99" t="n">
        <f aca="false">MIN(S20,V20)</f>
        <v>1000</v>
      </c>
      <c r="Z20" s="99" t="n">
        <f aca="false">W20+X20+Y20</f>
        <v>2000</v>
      </c>
      <c r="AA20" s="100" t="n">
        <f aca="false">Q20+W20+X20+Y20</f>
        <v>2733140.9656832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0.0962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2733140.9656832</v>
      </c>
      <c r="K21" s="99" t="n">
        <f aca="false">J21*E21</f>
        <v>262928.160898724</v>
      </c>
      <c r="L21" s="99" t="n">
        <f aca="false">J21+K21</f>
        <v>2996069.12658192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2885687.83751942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2885687.83751942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0.0981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2885687.83751942</v>
      </c>
      <c r="K22" s="99" t="n">
        <f aca="false">J22*E22</f>
        <v>283085.976860655</v>
      </c>
      <c r="L22" s="99" t="n">
        <f aca="false">J22+K22</f>
        <v>3168773.81438008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3055632.99309102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3055632.99309102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0.121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3055632.99309102</v>
      </c>
      <c r="K23" s="99" t="n">
        <f aca="false">J23*E23</f>
        <v>369731.592164013</v>
      </c>
      <c r="L23" s="99" t="n">
        <f aca="false">J23+K23</f>
        <v>3425364.58525503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3309395.24343374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3309395.24343374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-0.059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3309395.24343374</v>
      </c>
      <c r="K24" s="99" t="n">
        <f aca="false">J24*E24</f>
        <v>-195254.319362591</v>
      </c>
      <c r="L24" s="99" t="n">
        <f aca="false">J24+K24</f>
        <v>3114140.92407115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2995272.34870433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2995272.34870433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0.0147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2995272.34870433</v>
      </c>
      <c r="K25" s="99" t="n">
        <f aca="false">J25*E25</f>
        <v>44030.5035259536</v>
      </c>
      <c r="L25" s="99" t="n">
        <f aca="false">J25+K25</f>
        <v>3039302.85223028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2917462.56247929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2917462.56247929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0.0769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2917462.56247929</v>
      </c>
      <c r="K26" s="99" t="n">
        <f aca="false">J26*E26</f>
        <v>224352.871054657</v>
      </c>
      <c r="L26" s="99" t="n">
        <f aca="false">J26+K26</f>
        <v>3141815.43353395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3016929.13653918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3016929.13653918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0.1285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3016929.13653918</v>
      </c>
      <c r="K27" s="99" t="n">
        <f aca="false">J27*E27</f>
        <v>387675.394045285</v>
      </c>
      <c r="L27" s="99" t="n">
        <f aca="false">J27+K27</f>
        <v>3404604.53058447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3276596.07616483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3276596.07616483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0.0781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3276596.07616483</v>
      </c>
      <c r="K28" s="99" t="n">
        <f aca="false">J28*E28</f>
        <v>255902.153548473</v>
      </c>
      <c r="L28" s="99" t="n">
        <f aca="false">J28+K28</f>
        <v>3532498.2297133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3401289.56393318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3401289.56393318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0.096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3401289.56393318</v>
      </c>
      <c r="K29" s="99" t="n">
        <f aca="false">J29*E29</f>
        <v>326523.798137585</v>
      </c>
      <c r="L29" s="99" t="n">
        <f aca="false">J29+K29</f>
        <v>3727813.36207076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3593324.47964613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3593324.47964613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0.0373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3593324.47964613</v>
      </c>
      <c r="K30" s="99" t="n">
        <f aca="false">J30*E30</f>
        <v>134031.003090801</v>
      </c>
      <c r="L30" s="99" t="n">
        <f aca="false">J30+K30</f>
        <v>3727355.48273693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3589504.37825169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3589504.37825169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0.0676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3589504.37825169</v>
      </c>
      <c r="K31" s="99" t="n">
        <f aca="false">J31*E31</f>
        <v>242650.495969814</v>
      </c>
      <c r="L31" s="99" t="n">
        <f aca="false">J31+K31</f>
        <v>3832154.8742215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145914.812124052</v>
      </c>
      <c r="O31" s="99" t="n">
        <f aca="false">IF(D31&gt;$B$4,0,IF(D31&lt;$B$3,0,$B$8*(1+$B$10)^(C31-1)))</f>
        <v>141297.382097377</v>
      </c>
      <c r="P31" s="99" t="n">
        <f aca="false">MAX(N31,O31)</f>
        <v>145914.812124052</v>
      </c>
      <c r="Q31" s="99" t="n">
        <f aca="false">MAX(0,L31-P31)</f>
        <v>3686240.06209745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3686240.06209745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0.0326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3686240.06209745</v>
      </c>
      <c r="K32" s="99" t="n">
        <f aca="false">J32*E32</f>
        <v>120171.426024377</v>
      </c>
      <c r="L32" s="99" t="n">
        <f aca="false">J32+K32</f>
        <v>3806411.48812183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155537.555362762</v>
      </c>
      <c r="O32" s="99" t="n">
        <f aca="false">IF(D32&gt;$B$4,0,IF(D32&lt;$B$3,0,$B$8*(1+$B$10)^(C32-1)))</f>
        <v>144829.816649811</v>
      </c>
      <c r="P32" s="99" t="n">
        <f aca="false">MAX(N32,O32)</f>
        <v>155537.555362762</v>
      </c>
      <c r="Q32" s="99" t="n">
        <f aca="false">MAX(0,L32-P32)</f>
        <v>3650873.93275907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3650873.93275907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0.1977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3650873.93275907</v>
      </c>
      <c r="K33" s="99" t="n">
        <f aca="false">J33*E33</f>
        <v>721777.776506467</v>
      </c>
      <c r="L33" s="99" t="n">
        <f aca="false">J33+K33</f>
        <v>4372651.70926553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159426.809290789</v>
      </c>
      <c r="O33" s="99" t="n">
        <f aca="false">IF(D33&gt;$B$4,0,IF(D33&lt;$B$3,0,$B$8*(1+$B$10)^(C33-1)))</f>
        <v>148450.562066056</v>
      </c>
      <c r="P33" s="99" t="n">
        <f aca="false">MAX(N33,O33)</f>
        <v>159426.809290789</v>
      </c>
      <c r="Q33" s="99" t="n">
        <f aca="false">MAX(0,L33-P33)</f>
        <v>4213224.89997474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4213224.89997474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-0.081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4213224.89997474</v>
      </c>
      <c r="K34" s="99" t="n">
        <f aca="false">J34*E34</f>
        <v>-341271.216897954</v>
      </c>
      <c r="L34" s="99" t="n">
        <f aca="false">J34+K34</f>
        <v>3871953.68307679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191510.222726125</v>
      </c>
      <c r="O34" s="99" t="n">
        <f aca="false">IF(D34&gt;$B$4,0,IF(D34&lt;$B$3,0,$B$8*(1+$B$10)^(C34-1)))</f>
        <v>152161.826117708</v>
      </c>
      <c r="P34" s="99" t="n">
        <f aca="false">MAX(N34,O34)</f>
        <v>191510.222726125</v>
      </c>
      <c r="Q34" s="99" t="n">
        <f aca="false">MAX(0,L34-P34)</f>
        <v>3680443.46035066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3680443.46035066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0.1593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3680443.46035066</v>
      </c>
      <c r="K35" s="99" t="n">
        <f aca="false">J35*E35</f>
        <v>586294.643233861</v>
      </c>
      <c r="L35" s="99" t="n">
        <f aca="false">J35+K35</f>
        <v>4266738.10358452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174428.600016619</v>
      </c>
      <c r="O35" s="99" t="n">
        <f aca="false">IF(D35&gt;$B$4,0,IF(D35&lt;$B$3,0,$B$8*(1+$B$10)^(C35-1)))</f>
        <v>155965.87177065</v>
      </c>
      <c r="P35" s="99" t="n">
        <f aca="false">MAX(N35,O35)</f>
        <v>174428.600016619</v>
      </c>
      <c r="Q35" s="99" t="n">
        <f aca="false">MAX(0,L35-P35)</f>
        <v>4092309.50356791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4092309.50356791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0.055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4092309.50356791</v>
      </c>
      <c r="K36" s="99" t="n">
        <f aca="false">J36*E36</f>
        <v>225077.022696235</v>
      </c>
      <c r="L36" s="99" t="n">
        <f aca="false">J36+K36</f>
        <v>4317386.52626414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202589.57938455</v>
      </c>
      <c r="O36" s="99" t="n">
        <f aca="false">IF(D36&gt;$B$4,0,IF(D36&lt;$B$3,0,$B$8*(1+$B$10)^(C36-1)))</f>
        <v>159865.018564917</v>
      </c>
      <c r="P36" s="99" t="n">
        <f aca="false">MAX(N36,O36)</f>
        <v>202589.57938455</v>
      </c>
      <c r="Q36" s="99" t="n">
        <f aca="false">MAX(0,L36-P36)</f>
        <v>4114796.94687959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4114796.94687959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0.1085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4114796.94687959</v>
      </c>
      <c r="K37" s="99" t="n">
        <f aca="false">J37*E37</f>
        <v>446455.468736436</v>
      </c>
      <c r="L37" s="99" t="n">
        <f aca="false">J37+K37</f>
        <v>4561252.41561603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212102.935406164</v>
      </c>
      <c r="O37" s="99" t="n">
        <f aca="false">IF(D37&gt;$B$4,0,IF(D37&lt;$B$3,0,$B$8*(1+$B$10)^(C37-1)))</f>
        <v>163861.644029039</v>
      </c>
      <c r="P37" s="99" t="n">
        <f aca="false">MAX(N37,O37)</f>
        <v>212102.935406164</v>
      </c>
      <c r="Q37" s="99" t="n">
        <f aca="false">MAX(0,L37-P37)</f>
        <v>4349149.48020986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4349149.48020986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0.0813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4349149.48020986</v>
      </c>
      <c r="K38" s="99" t="n">
        <f aca="false">J38*E38</f>
        <v>353585.852741062</v>
      </c>
      <c r="L38" s="99" t="n">
        <f aca="false">J38+K38</f>
        <v>4702735.33295092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235089.161092425</v>
      </c>
      <c r="O38" s="99" t="n">
        <f aca="false">IF(D38&gt;$B$4,0,IF(D38&lt;$B$3,0,$B$8*(1+$B$10)^(C38-1)))</f>
        <v>167958.185129765</v>
      </c>
      <c r="P38" s="99" t="n">
        <f aca="false">MAX(N38,O38)</f>
        <v>235089.161092425</v>
      </c>
      <c r="Q38" s="99" t="n">
        <f aca="false">MAX(0,L38-P38)</f>
        <v>4467646.1718585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4467646.1718585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0.064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4467646.1718585</v>
      </c>
      <c r="K39" s="99" t="n">
        <f aca="false">J39*E39</f>
        <v>285929.354998944</v>
      </c>
      <c r="L39" s="99" t="n">
        <f aca="false">J39+K39</f>
        <v>4753575.52685744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252409.388240593</v>
      </c>
      <c r="O39" s="99" t="n">
        <f aca="false">IF(D39&gt;$B$4,0,IF(D39&lt;$B$3,0,$B$8*(1+$B$10)^(C39-1)))</f>
        <v>172157.13975801</v>
      </c>
      <c r="P39" s="99" t="n">
        <f aca="false">MAX(N39,O39)</f>
        <v>252409.388240593</v>
      </c>
      <c r="Q39" s="99" t="n">
        <f aca="false">MAX(0,L39-P39)</f>
        <v>4501166.13861685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4501166.13861685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0.089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4501166.13861685</v>
      </c>
      <c r="K40" s="99" t="n">
        <f aca="false">J40*E40</f>
        <v>400603.7863369</v>
      </c>
      <c r="L40" s="99" t="n">
        <f aca="false">J40+K40</f>
        <v>4901769.92495375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267926.555870051</v>
      </c>
      <c r="O40" s="99" t="n">
        <f aca="false">IF(D40&gt;$B$4,0,IF(D40&lt;$B$3,0,$B$8*(1+$B$10)^(C40-1)))</f>
        <v>176461.06825196</v>
      </c>
      <c r="P40" s="99" t="n">
        <f aca="false">MAX(N40,O40)</f>
        <v>267926.555870051</v>
      </c>
      <c r="Q40" s="99" t="n">
        <f aca="false">MAX(0,L40-P40)</f>
        <v>4633843.3690837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4633843.3690837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0.078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4633843.3690837</v>
      </c>
      <c r="K41" s="99" t="n">
        <f aca="false">J41*E41</f>
        <v>361439.782788529</v>
      </c>
      <c r="L41" s="99" t="n">
        <f aca="false">J41+K41</f>
        <v>4995283.15187223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289615.210567731</v>
      </c>
      <c r="O41" s="99" t="n">
        <f aca="false">IF(D41&gt;$B$4,0,IF(D41&lt;$B$3,0,$B$8*(1+$B$10)^(C41-1)))</f>
        <v>180872.594958259</v>
      </c>
      <c r="P41" s="99" t="n">
        <f aca="false">MAX(N41,O41)</f>
        <v>289615.210567731</v>
      </c>
      <c r="Q41" s="99" t="n">
        <f aca="false">MAX(0,L41-P41)</f>
        <v>4705667.9413045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4705667.9413045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-0.042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4705667.9413045</v>
      </c>
      <c r="K42" s="99" t="n">
        <f aca="false">J42*E42</f>
        <v>-197638.053534789</v>
      </c>
      <c r="L42" s="99" t="n">
        <f aca="false">J42+K42</f>
        <v>4508029.88776971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309583.417191085</v>
      </c>
      <c r="O42" s="99" t="n">
        <f aca="false">IF(D42&gt;$B$4,0,IF(D42&lt;$B$3,0,$B$8*(1+$B$10)^(C42-1)))</f>
        <v>185394.409832215</v>
      </c>
      <c r="P42" s="99" t="n">
        <f aca="false">MAX(N42,O42)</f>
        <v>309583.417191085</v>
      </c>
      <c r="Q42" s="99" t="n">
        <f aca="false">MAX(0,L42-P42)</f>
        <v>4198446.47057862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4198446.47057862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0.096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4198446.47057862</v>
      </c>
      <c r="K43" s="99" t="n">
        <f aca="false">J43*E43</f>
        <v>403050.861175548</v>
      </c>
      <c r="L43" s="99" t="n">
        <f aca="false">J43+K43</f>
        <v>4601497.33175417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291558.782679071</v>
      </c>
      <c r="O43" s="99" t="n">
        <f aca="false">IF(D43&gt;$B$4,0,IF(D43&lt;$B$3,0,$B$8*(1+$B$10)^(C43-1)))</f>
        <v>190029.270078021</v>
      </c>
      <c r="P43" s="99" t="n">
        <f aca="false">MAX(N43,O43)</f>
        <v>291558.782679071</v>
      </c>
      <c r="Q43" s="99" t="n">
        <f aca="false">MAX(0,L43-P43)</f>
        <v>4309938.5490751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4309938.5490751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0.065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4309938.5490751</v>
      </c>
      <c r="K44" s="99" t="n">
        <f aca="false">J44*E44</f>
        <v>280146.005689881</v>
      </c>
      <c r="L44" s="99" t="n">
        <f aca="false">J44+K44</f>
        <v>4590084.55476498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314594.054677014</v>
      </c>
      <c r="O44" s="99" t="n">
        <f aca="false">IF(D44&gt;$B$4,0,IF(D44&lt;$B$3,0,$B$8*(1+$B$10)^(C44-1)))</f>
        <v>194780.001829971</v>
      </c>
      <c r="P44" s="99" t="n">
        <f aca="false">MAX(N44,O44)</f>
        <v>314594.054677014</v>
      </c>
      <c r="Q44" s="99" t="n">
        <f aca="false">MAX(0,L44-P44)</f>
        <v>4275490.50008797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4275490.50008797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0.0949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4275490.50008797</v>
      </c>
      <c r="K45" s="99" t="n">
        <f aca="false">J45*E45</f>
        <v>405744.048458348</v>
      </c>
      <c r="L45" s="99" t="n">
        <f aca="false">J45+K45</f>
        <v>4681234.54854631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331433.372099842</v>
      </c>
      <c r="O45" s="99" t="n">
        <f aca="false">IF(D45&gt;$B$4,0,IF(D45&lt;$B$3,0,$B$8*(1+$B$10)^(C45-1)))</f>
        <v>199649.50187572</v>
      </c>
      <c r="P45" s="99" t="n">
        <f aca="false">MAX(N45,O45)</f>
        <v>331433.372099842</v>
      </c>
      <c r="Q45" s="99" t="n">
        <f aca="false">MAX(0,L45-P45)</f>
        <v>4349801.17644647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4349801.17644647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0.0452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4349801.17644647</v>
      </c>
      <c r="K46" s="99" t="n">
        <f aca="false">J46*E46</f>
        <v>196611.013175381</v>
      </c>
      <c r="L46" s="99" t="n">
        <f aca="false">J46+K46</f>
        <v>4546412.18962185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356541.080036596</v>
      </c>
      <c r="O46" s="99" t="n">
        <f aca="false">IF(D46&gt;$B$4,0,IF(D46&lt;$B$3,0,$B$8*(1+$B$10)^(C46-1)))</f>
        <v>204640.739422613</v>
      </c>
      <c r="P46" s="99" t="n">
        <f aca="false">MAX(N46,O46)</f>
        <v>356541.080036596</v>
      </c>
      <c r="Q46" s="99" t="n">
        <f aca="false">MAX(0,L46-P46)</f>
        <v>4189871.10958526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4189871.10958526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0.1103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4189871.10958526</v>
      </c>
      <c r="K47" s="99" t="n">
        <f aca="false">J47*E47</f>
        <v>462142.783387254</v>
      </c>
      <c r="L47" s="99" t="n">
        <f aca="false">J47+K47</f>
        <v>4652013.89297251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4652013.89297251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4652013.89297251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0.0404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4652013.89297251</v>
      </c>
      <c r="K48" s="99" t="n">
        <f aca="false">J48*E48</f>
        <v>187941.361276089</v>
      </c>
      <c r="L48" s="99" t="n">
        <f aca="false">J48+K48</f>
        <v>4839955.2542486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4839955.2542486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4839955.2542486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0.054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4839955.2542486</v>
      </c>
      <c r="K49" s="99" t="n">
        <f aca="false">J49*E49</f>
        <v>261357.583729424</v>
      </c>
      <c r="L49" s="99" t="n">
        <f aca="false">J49+K49</f>
        <v>5101312.83797802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5101312.83797802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5101312.83797802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0.132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5101312.83797802</v>
      </c>
      <c r="K50" s="99" t="n">
        <f aca="false">J50*E50</f>
        <v>673373.294613099</v>
      </c>
      <c r="L50" s="99" t="n">
        <f aca="false">J50+K50</f>
        <v>5774686.13259112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5774686.13259112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5774686.13259112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0.105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5774686.13259112</v>
      </c>
      <c r="K51" s="99" t="n">
        <f aca="false">J51*E51</f>
        <v>606342.043922068</v>
      </c>
      <c r="L51" s="99" t="n">
        <f aca="false">J51+K51</f>
        <v>6381028.17651319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6381028.17651319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6381028.17651319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-0.056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6381028.17651319</v>
      </c>
      <c r="K52" s="99" t="n">
        <f aca="false">J52*E52</f>
        <v>-357337.577884739</v>
      </c>
      <c r="L52" s="99" t="n">
        <f aca="false">J52+K52</f>
        <v>6023690.59862845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6023690.59862845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6023690.59862845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-0.085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6023690.59862845</v>
      </c>
      <c r="K53" s="99" t="n">
        <f aca="false">J53*E53</f>
        <v>-512013.700883418</v>
      </c>
      <c r="L53" s="99" t="n">
        <f aca="false">J53+K53</f>
        <v>5511676.89774503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5511676.89774503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5511676.89774503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-0.1618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5511676.89774503</v>
      </c>
      <c r="K54" s="99" t="n">
        <f aca="false">J54*E54</f>
        <v>-891789.322055146</v>
      </c>
      <c r="L54" s="99" t="n">
        <f aca="false">J54+K54</f>
        <v>4619887.57568989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4619887.57568989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4619887.57568989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52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Monthly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Profit Sharing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Profit Sharing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203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Profit Sharing with Monthly / Monthly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24000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12000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99975999</v>
      </c>
      <c r="W17" s="99" t="n">
        <f aca="false">MIN(R17,T17)</f>
        <v>24000</v>
      </c>
      <c r="X17" s="99" t="n">
        <f aca="false">MIN(U17,R17-W17)</f>
        <v>0</v>
      </c>
      <c r="Y17" s="99" t="n">
        <f aca="false">MIN(S17,V17)</f>
        <v>12000</v>
      </c>
      <c r="Z17" s="99" t="n">
        <f aca="false">W17+X17+Y17</f>
        <v>36000</v>
      </c>
      <c r="AA17" s="100" t="n">
        <f aca="false">Q17+Z17</f>
        <v>2218400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2218400</v>
      </c>
      <c r="K18" s="99" t="n">
        <f aca="false">J18*E18</f>
        <v>106261.36</v>
      </c>
      <c r="L18" s="99" t="n">
        <f aca="false">J18+K18</f>
        <v>2324661.36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2324661.36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24000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12000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102475998.975</v>
      </c>
      <c r="W18" s="99" t="n">
        <f aca="false">MIN(R18,T18)</f>
        <v>24000</v>
      </c>
      <c r="X18" s="99" t="n">
        <f aca="false">MIN(U18,R18-W18)</f>
        <v>0</v>
      </c>
      <c r="Y18" s="99" t="n">
        <f aca="false">MIN(S18,V18)</f>
        <v>12000</v>
      </c>
      <c r="Z18" s="99" t="n">
        <f aca="false">W18+X18+Y18</f>
        <v>36000</v>
      </c>
      <c r="AA18" s="100" t="n">
        <f aca="false">Q18+W18+X18+Y18</f>
        <v>2360661.36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2360661.36</v>
      </c>
      <c r="K19" s="99" t="n">
        <f aca="false">J19*E19</f>
        <v>50282.086968</v>
      </c>
      <c r="L19" s="99" t="n">
        <f aca="false">J19+K19</f>
        <v>2410943.446968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2410943.446968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24000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12000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105038498.949375</v>
      </c>
      <c r="W19" s="99" t="n">
        <f aca="false">MIN(R19,T19)</f>
        <v>24000</v>
      </c>
      <c r="X19" s="99" t="n">
        <f aca="false">MIN(U19,R19-W19)</f>
        <v>0</v>
      </c>
      <c r="Y19" s="99" t="n">
        <f aca="false">MIN(S19,V19)</f>
        <v>12000</v>
      </c>
      <c r="Z19" s="99" t="n">
        <f aca="false">W19+X19+Y19</f>
        <v>36000</v>
      </c>
      <c r="AA19" s="100" t="n">
        <f aca="false">Q19+W19+X19+Y19</f>
        <v>2446943.446968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2446943.446968</v>
      </c>
      <c r="K20" s="99" t="n">
        <f aca="false">J20*E20</f>
        <v>269163.77916648</v>
      </c>
      <c r="L20" s="99" t="n">
        <f aca="false">J20+K20</f>
        <v>2716107.22613448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2716107.22613448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24000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12000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107665061.423109</v>
      </c>
      <c r="W20" s="99" t="n">
        <f aca="false">MIN(R20,T20)</f>
        <v>24000</v>
      </c>
      <c r="X20" s="99" t="n">
        <f aca="false">MIN(U20,R20-W20)</f>
        <v>0</v>
      </c>
      <c r="Y20" s="99" t="n">
        <f aca="false">MIN(S20,V20)</f>
        <v>12000</v>
      </c>
      <c r="Z20" s="99" t="n">
        <f aca="false">W20+X20+Y20</f>
        <v>36000</v>
      </c>
      <c r="AA20" s="100" t="n">
        <f aca="false">Q20+W20+X20+Y20</f>
        <v>2752107.22613448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2752107.22613448</v>
      </c>
      <c r="K21" s="99" t="n">
        <f aca="false">J21*E21</f>
        <v>220718.999535985</v>
      </c>
      <c r="L21" s="99" t="n">
        <f aca="false">J21+K21</f>
        <v>2972826.22567047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2862444.93660797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2862444.93660797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2862444.93660797</v>
      </c>
      <c r="K22" s="99" t="n">
        <f aca="false">J22*E22</f>
        <v>234147.995814532</v>
      </c>
      <c r="L22" s="99" t="n">
        <f aca="false">J22+K22</f>
        <v>3096592.9324225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2983452.11113343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2983452.11113343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2983452.11113343</v>
      </c>
      <c r="K23" s="99" t="n">
        <f aca="false">J23*E23</f>
        <v>300731.97280225</v>
      </c>
      <c r="L23" s="99" t="n">
        <f aca="false">J23+K23</f>
        <v>3284184.08393568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3168214.7421144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3168214.7421144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3168214.7421144</v>
      </c>
      <c r="K24" s="99" t="n">
        <f aca="false">J24*E24</f>
        <v>-155876.165312028</v>
      </c>
      <c r="L24" s="99" t="n">
        <f aca="false">J24+K24</f>
        <v>3012338.57680237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2893470.00143555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2893470.00143555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2893470.00143555</v>
      </c>
      <c r="K25" s="99" t="n">
        <f aca="false">J25*E25</f>
        <v>35589.6810176572</v>
      </c>
      <c r="L25" s="99" t="n">
        <f aca="false">J25+K25</f>
        <v>2929059.6824532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2807219.39270221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2807219.39270221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2807219.39270221</v>
      </c>
      <c r="K26" s="99" t="n">
        <f aca="false">J26*E26</f>
        <v>179942.763072212</v>
      </c>
      <c r="L26" s="99" t="n">
        <f aca="false">J26+K26</f>
        <v>2987162.15577442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2862275.85877966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2862275.85877966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2862275.85877966</v>
      </c>
      <c r="K27" s="99" t="n">
        <f aca="false">J27*E27</f>
        <v>306549.744475301</v>
      </c>
      <c r="L27" s="99" t="n">
        <f aca="false">J27+K27</f>
        <v>3168825.60325496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3040817.14883532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3040817.14883532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3040817.14883532</v>
      </c>
      <c r="K28" s="99" t="n">
        <f aca="false">J28*E28</f>
        <v>197957.19638918</v>
      </c>
      <c r="L28" s="99" t="n">
        <f aca="false">J28+K28</f>
        <v>3238774.3452245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3107565.67944438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3107565.67944438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3107565.67944438</v>
      </c>
      <c r="K29" s="99" t="n">
        <f aca="false">J29*E29</f>
        <v>248605.25435555</v>
      </c>
      <c r="L29" s="99" t="n">
        <f aca="false">J29+K29</f>
        <v>3356170.93379993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3221682.0513753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3221682.0513753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3221682.0513753</v>
      </c>
      <c r="K30" s="99" t="n">
        <f aca="false">J30*E30</f>
        <v>100194.311797772</v>
      </c>
      <c r="L30" s="99" t="n">
        <f aca="false">J30+K30</f>
        <v>3321876.36317307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3184025.25868782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3184025.25868782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3184025.25868782</v>
      </c>
      <c r="K31" s="99" t="n">
        <f aca="false">J31*E31</f>
        <v>179260.622064124</v>
      </c>
      <c r="L31" s="99" t="n">
        <f aca="false">J31+K31</f>
        <v>3363285.88075195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129431.921084871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3221988.49865457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3221988.49865457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3221988.49865457</v>
      </c>
      <c r="K32" s="99" t="n">
        <f aca="false">J32*E32</f>
        <v>87638.0871634043</v>
      </c>
      <c r="L32" s="99" t="n">
        <f aca="false">J32+K32</f>
        <v>3309626.58581797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135948.881799771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3164796.76916816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3164796.76916816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3164796.76916816</v>
      </c>
      <c r="K33" s="99" t="n">
        <f aca="false">J33*E33</f>
        <v>521558.507558913</v>
      </c>
      <c r="L33" s="99" t="n">
        <f aca="false">J33+K33</f>
        <v>3686355.27672708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138200.732278086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3537904.71466102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3537904.71466102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3537904.71466102</v>
      </c>
      <c r="K34" s="99" t="n">
        <f aca="false">J34*E34</f>
        <v>-238808.568239619</v>
      </c>
      <c r="L34" s="99" t="n">
        <f aca="false">J34+K34</f>
        <v>3299096.1464214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160813.85066641</v>
      </c>
      <c r="O34" s="99" t="n">
        <f aca="false">IF(D34&gt;$B$4,0,IF(D34&lt;$B$3,0,$B$8*(1+$B$10)^(C34-1)))</f>
        <v>152161.826117708</v>
      </c>
      <c r="P34" s="99" t="n">
        <f aca="false">MAX(N34,O34)</f>
        <v>160813.85066641</v>
      </c>
      <c r="Q34" s="99" t="n">
        <f aca="false">MAX(0,L34-P34)</f>
        <v>3138282.29575499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3138282.29575499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3138282.29575499</v>
      </c>
      <c r="K35" s="99" t="n">
        <f aca="false">J35*E35</f>
        <v>416763.888876263</v>
      </c>
      <c r="L35" s="99" t="n">
        <f aca="false">J35+K35</f>
        <v>3555046.18463125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148733.758092654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3399080.3128606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3399080.3128606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3399080.3128606</v>
      </c>
      <c r="K36" s="99" t="n">
        <f aca="false">J36*E36</f>
        <v>155677.878329016</v>
      </c>
      <c r="L36" s="99" t="n">
        <f aca="false">J36+K36</f>
        <v>3554758.19118962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168271.302616862</v>
      </c>
      <c r="O36" s="99" t="n">
        <f aca="false">IF(D36&gt;$B$4,0,IF(D36&lt;$B$3,0,$B$8*(1+$B$10)^(C36-1)))</f>
        <v>159865.018564917</v>
      </c>
      <c r="P36" s="99" t="n">
        <f aca="false">MAX(N36,O36)</f>
        <v>168271.302616862</v>
      </c>
      <c r="Q36" s="99" t="n">
        <f aca="false">MAX(0,L36-P36)</f>
        <v>3386486.88857276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3386486.88857276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3386486.88857276</v>
      </c>
      <c r="K37" s="99" t="n">
        <f aca="false">J37*E37</f>
        <v>306138.414726977</v>
      </c>
      <c r="L37" s="99" t="n">
        <f aca="false">J37+K37</f>
        <v>3692625.30329973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174561.179823338</v>
      </c>
      <c r="O37" s="99" t="n">
        <f aca="false">IF(D37&gt;$B$4,0,IF(D37&lt;$B$3,0,$B$8*(1+$B$10)^(C37-1)))</f>
        <v>163861.644029039</v>
      </c>
      <c r="P37" s="99" t="n">
        <f aca="false">MAX(N37,O37)</f>
        <v>174561.179823338</v>
      </c>
      <c r="Q37" s="99" t="n">
        <f aca="false">MAX(0,L37-P37)</f>
        <v>3518064.1234764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3518064.1234764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3518064.1234764</v>
      </c>
      <c r="K38" s="99" t="n">
        <f aca="false">J38*E38</f>
        <v>238524.7475717</v>
      </c>
      <c r="L38" s="99" t="n">
        <f aca="false">J38+K38</f>
        <v>3756588.8710481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190165.628296021</v>
      </c>
      <c r="O38" s="99" t="n">
        <f aca="false">IF(D38&gt;$B$4,0,IF(D38&lt;$B$3,0,$B$8*(1+$B$10)^(C38-1)))</f>
        <v>167958.185129765</v>
      </c>
      <c r="P38" s="99" t="n">
        <f aca="false">MAX(N38,O38)</f>
        <v>190165.628296021</v>
      </c>
      <c r="Q38" s="99" t="n">
        <f aca="false">MAX(0,L38-P38)</f>
        <v>3566423.24275207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3566423.24275207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3566423.24275207</v>
      </c>
      <c r="K39" s="99" t="n">
        <f aca="false">J39*E39</f>
        <v>190090.358838686</v>
      </c>
      <c r="L39" s="99" t="n">
        <f aca="false">J39+K39</f>
        <v>3756513.60159076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201492.838573564</v>
      </c>
      <c r="O39" s="99" t="n">
        <f aca="false">IF(D39&gt;$B$4,0,IF(D39&lt;$B$3,0,$B$8*(1+$B$10)^(C39-1)))</f>
        <v>172157.13975801</v>
      </c>
      <c r="P39" s="99" t="n">
        <f aca="false">MAX(N39,O39)</f>
        <v>201492.838573564</v>
      </c>
      <c r="Q39" s="99" t="n">
        <f aca="false">MAX(0,L39-P39)</f>
        <v>3555020.7630172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3555020.7630172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3555020.7630172</v>
      </c>
      <c r="K40" s="99" t="n">
        <f aca="false">J40*E40</f>
        <v>263782.540615876</v>
      </c>
      <c r="L40" s="99" t="n">
        <f aca="false">J40+K40</f>
        <v>3818803.30363307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211608.378751024</v>
      </c>
      <c r="O40" s="99" t="n">
        <f aca="false">IF(D40&gt;$B$4,0,IF(D40&lt;$B$3,0,$B$8*(1+$B$10)^(C40-1)))</f>
        <v>176461.06825196</v>
      </c>
      <c r="P40" s="99" t="n">
        <f aca="false">MAX(N40,O40)</f>
        <v>211608.378751024</v>
      </c>
      <c r="Q40" s="99" t="n">
        <f aca="false">MAX(0,L40-P40)</f>
        <v>3607194.92488205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3607194.92488205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3607194.92488205</v>
      </c>
      <c r="K41" s="99" t="n">
        <f aca="false">J41*E41</f>
        <v>234467.670117333</v>
      </c>
      <c r="L41" s="99" t="n">
        <f aca="false">J41+K41</f>
        <v>3841662.59499938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225449.682805128</v>
      </c>
      <c r="O41" s="99" t="n">
        <f aca="false">IF(D41&gt;$B$4,0,IF(D41&lt;$B$3,0,$B$8*(1+$B$10)^(C41-1)))</f>
        <v>180872.594958259</v>
      </c>
      <c r="P41" s="99" t="n">
        <f aca="false">MAX(N41,O41)</f>
        <v>225449.682805128</v>
      </c>
      <c r="Q41" s="99" t="n">
        <f aca="false">MAX(0,L41-P41)</f>
        <v>3616212.91219425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3616212.91219425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3616212.91219425</v>
      </c>
      <c r="K42" s="99" t="n">
        <f aca="false">J42*E42</f>
        <v>-126567.451926799</v>
      </c>
      <c r="L42" s="99" t="n">
        <f aca="false">J42+K42</f>
        <v>3489645.46026746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237908.744223306</v>
      </c>
      <c r="O42" s="99" t="n">
        <f aca="false">IF(D42&gt;$B$4,0,IF(D42&lt;$B$3,0,$B$8*(1+$B$10)^(C42-1)))</f>
        <v>185394.409832215</v>
      </c>
      <c r="P42" s="99" t="n">
        <f aca="false">MAX(N42,O42)</f>
        <v>237908.744223306</v>
      </c>
      <c r="Q42" s="99" t="n">
        <f aca="false">MAX(0,L42-P42)</f>
        <v>3251736.71604415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3251736.71604415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3251736.71604415</v>
      </c>
      <c r="K43" s="99" t="n">
        <f aca="false">J43*E43</f>
        <v>260138.937283532</v>
      </c>
      <c r="L43" s="99" t="n">
        <f aca="false">J43+K43</f>
        <v>3511875.65332768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225815.049725288</v>
      </c>
      <c r="O43" s="99" t="n">
        <f aca="false">IF(D43&gt;$B$4,0,IF(D43&lt;$B$3,0,$B$8*(1+$B$10)^(C43-1)))</f>
        <v>190029.270078021</v>
      </c>
      <c r="P43" s="99" t="n">
        <f aca="false">MAX(N43,O43)</f>
        <v>225815.049725288</v>
      </c>
      <c r="Q43" s="99" t="n">
        <f aca="false">MAX(0,L43-P43)</f>
        <v>3286060.60360239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3286060.60360239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3286060.60360239</v>
      </c>
      <c r="K44" s="99" t="n">
        <f aca="false">J44*E44</f>
        <v>178104.48471525</v>
      </c>
      <c r="L44" s="99" t="n">
        <f aca="false">J44+K44</f>
        <v>3464165.08831764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239858.438219153</v>
      </c>
      <c r="O44" s="99" t="n">
        <f aca="false">IF(D44&gt;$B$4,0,IF(D44&lt;$B$3,0,$B$8*(1+$B$10)^(C44-1)))</f>
        <v>194780.001829971</v>
      </c>
      <c r="P44" s="99" t="n">
        <f aca="false">MAX(N44,O44)</f>
        <v>239858.438219153</v>
      </c>
      <c r="Q44" s="99" t="n">
        <f aca="false">MAX(0,L44-P44)</f>
        <v>3224306.65009849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3224306.65009849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3224306.65009849</v>
      </c>
      <c r="K45" s="99" t="n">
        <f aca="false">J45*E45</f>
        <v>255042.656022791</v>
      </c>
      <c r="L45" s="99" t="n">
        <f aca="false">J45+K45</f>
        <v>3479349.30612128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249946.251945619</v>
      </c>
      <c r="O45" s="99" t="n">
        <f aca="false">IF(D45&gt;$B$4,0,IF(D45&lt;$B$3,0,$B$8*(1+$B$10)^(C45-1)))</f>
        <v>199649.50187572</v>
      </c>
      <c r="P45" s="99" t="n">
        <f aca="false">MAX(N45,O45)</f>
        <v>249946.251945619</v>
      </c>
      <c r="Q45" s="99" t="n">
        <f aca="false">MAX(0,L45-P45)</f>
        <v>3229403.05417566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3229403.05417566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3229403.05417566</v>
      </c>
      <c r="K46" s="99" t="n">
        <f aca="false">J46*E46</f>
        <v>121748.495142422</v>
      </c>
      <c r="L46" s="99" t="n">
        <f aca="false">J46+K46</f>
        <v>3351151.54931808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264705.168375054</v>
      </c>
      <c r="O46" s="99" t="n">
        <f aca="false">IF(D46&gt;$B$4,0,IF(D46&lt;$B$3,0,$B$8*(1+$B$10)^(C46-1)))</f>
        <v>204640.739422613</v>
      </c>
      <c r="P46" s="99" t="n">
        <f aca="false">MAX(N46,O46)</f>
        <v>264705.168375054</v>
      </c>
      <c r="Q46" s="99" t="n">
        <f aca="false">MAX(0,L46-P46)</f>
        <v>3086446.38094303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3086446.38094303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3086446.38094303</v>
      </c>
      <c r="K47" s="99" t="n">
        <f aca="false">J47*E47</f>
        <v>283644.422408664</v>
      </c>
      <c r="L47" s="99" t="n">
        <f aca="false">J47+K47</f>
        <v>3370090.80335169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3370090.80335169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3370090.80335169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3370090.80335169</v>
      </c>
      <c r="K48" s="99" t="n">
        <f aca="false">J48*E48</f>
        <v>113572.060072952</v>
      </c>
      <c r="L48" s="99" t="n">
        <f aca="false">J48+K48</f>
        <v>3483662.86342465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3483662.86342465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3483662.86342465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3483662.86342465</v>
      </c>
      <c r="K49" s="99" t="n">
        <f aca="false">J49*E49</f>
        <v>156764.828854109</v>
      </c>
      <c r="L49" s="99" t="n">
        <f aca="false">J49+K49</f>
        <v>3640427.69227875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3640427.69227875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3640427.69227875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3640427.69227875</v>
      </c>
      <c r="K50" s="99" t="n">
        <f aca="false">J50*E50</f>
        <v>400447.046150663</v>
      </c>
      <c r="L50" s="99" t="n">
        <f aca="false">J50+K50</f>
        <v>4040874.73842942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4040874.73842942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4040874.73842942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4040874.73842942</v>
      </c>
      <c r="K51" s="99" t="n">
        <f aca="false">J51*E51</f>
        <v>353576.539612574</v>
      </c>
      <c r="L51" s="99" t="n">
        <f aca="false">J51+K51</f>
        <v>4394451.27804199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4394451.27804199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4394451.27804199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4394451.27804199</v>
      </c>
      <c r="K52" s="99" t="n">
        <f aca="false">J52*E52</f>
        <v>-205220.874684561</v>
      </c>
      <c r="L52" s="99" t="n">
        <f aca="false">J52+K52</f>
        <v>4189230.40335743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4189230.40335743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4189230.40335743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4189230.40335743</v>
      </c>
      <c r="K53" s="99" t="n">
        <f aca="false">J53*E53</f>
        <v>-296597.512557706</v>
      </c>
      <c r="L53" s="99" t="n">
        <f aca="false">J53+K53</f>
        <v>3892632.89079972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3892632.89079972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3892632.89079972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3892632.89079972</v>
      </c>
      <c r="K54" s="99" t="n">
        <f aca="false">J54*E54</f>
        <v>-524726.913679803</v>
      </c>
      <c r="L54" s="99" t="n">
        <f aca="false">J54+K54</f>
        <v>3367905.97711992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3367905.97711992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3367905.97711992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53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Profit Sharing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Profit Sharing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30000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204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Profit Sharing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30000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99974999</v>
      </c>
      <c r="W17" s="99" t="n">
        <f aca="false">MIN(R17,T17)</f>
        <v>25000</v>
      </c>
      <c r="X17" s="99" t="n">
        <f aca="false">MIN(U17,R17-W17)</f>
        <v>0</v>
      </c>
      <c r="Y17" s="99" t="n">
        <f aca="false">MIN(S17,V17)</f>
        <v>30000</v>
      </c>
      <c r="Z17" s="99" t="n">
        <f aca="false">W17+X17+Y17</f>
        <v>55000</v>
      </c>
      <c r="AA17" s="100" t="n">
        <f aca="false">Q17+Z17</f>
        <v>2237400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2237400</v>
      </c>
      <c r="K18" s="99" t="n">
        <f aca="false">J18*E18</f>
        <v>107171.46</v>
      </c>
      <c r="L18" s="99" t="n">
        <f aca="false">J18+K18</f>
        <v>2344571.46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2344571.46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30000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102474998.975</v>
      </c>
      <c r="W18" s="99" t="n">
        <f aca="false">MIN(R18,T18)</f>
        <v>25000</v>
      </c>
      <c r="X18" s="99" t="n">
        <f aca="false">MIN(U18,R18-W18)</f>
        <v>0</v>
      </c>
      <c r="Y18" s="99" t="n">
        <f aca="false">MIN(S18,V18)</f>
        <v>30000</v>
      </c>
      <c r="Z18" s="99" t="n">
        <f aca="false">W18+X18+Y18</f>
        <v>55000</v>
      </c>
      <c r="AA18" s="100" t="n">
        <f aca="false">Q18+W18+X18+Y18</f>
        <v>2399571.46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2399571.46</v>
      </c>
      <c r="K19" s="99" t="n">
        <f aca="false">J19*E19</f>
        <v>51110.872098</v>
      </c>
      <c r="L19" s="99" t="n">
        <f aca="false">J19+K19</f>
        <v>2450682.332098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2450682.332098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30000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105037498.949375</v>
      </c>
      <c r="W19" s="99" t="n">
        <f aca="false">MIN(R19,T19)</f>
        <v>25000</v>
      </c>
      <c r="X19" s="99" t="n">
        <f aca="false">MIN(U19,R19-W19)</f>
        <v>0</v>
      </c>
      <c r="Y19" s="99" t="n">
        <f aca="false">MIN(S19,V19)</f>
        <v>30000</v>
      </c>
      <c r="Z19" s="99" t="n">
        <f aca="false">W19+X19+Y19</f>
        <v>55000</v>
      </c>
      <c r="AA19" s="100" t="n">
        <f aca="false">Q19+W19+X19+Y19</f>
        <v>2505682.332098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2505682.332098</v>
      </c>
      <c r="K20" s="99" t="n">
        <f aca="false">J20*E20</f>
        <v>275625.05653078</v>
      </c>
      <c r="L20" s="99" t="n">
        <f aca="false">J20+K20</f>
        <v>2781307.38862878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2781307.38862878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30000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107664061.423109</v>
      </c>
      <c r="W20" s="99" t="n">
        <f aca="false">MIN(R20,T20)</f>
        <v>25000</v>
      </c>
      <c r="X20" s="99" t="n">
        <f aca="false">MIN(U20,R20-W20)</f>
        <v>0</v>
      </c>
      <c r="Y20" s="99" t="n">
        <f aca="false">MIN(S20,V20)</f>
        <v>30000</v>
      </c>
      <c r="Z20" s="99" t="n">
        <f aca="false">W20+X20+Y20</f>
        <v>55000</v>
      </c>
      <c r="AA20" s="100" t="n">
        <f aca="false">Q20+W20+X20+Y20</f>
        <v>2836307.38862878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2836307.38862878</v>
      </c>
      <c r="K21" s="99" t="n">
        <f aca="false">J21*E21</f>
        <v>227471.852568028</v>
      </c>
      <c r="L21" s="99" t="n">
        <f aca="false">J21+K21</f>
        <v>3063779.24119681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2953397.95213431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2953397.95213431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2953397.95213431</v>
      </c>
      <c r="K22" s="99" t="n">
        <f aca="false">J22*E22</f>
        <v>241587.952484586</v>
      </c>
      <c r="L22" s="99" t="n">
        <f aca="false">J22+K22</f>
        <v>3194985.90461889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3081845.08332983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3081845.08332983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3081845.08332983</v>
      </c>
      <c r="K23" s="99" t="n">
        <f aca="false">J23*E23</f>
        <v>310649.984399647</v>
      </c>
      <c r="L23" s="99" t="n">
        <f aca="false">J23+K23</f>
        <v>3392495.06772948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3276525.72590819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3276525.72590819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3276525.72590819</v>
      </c>
      <c r="K24" s="99" t="n">
        <f aca="false">J24*E24</f>
        <v>-161205.065714683</v>
      </c>
      <c r="L24" s="99" t="n">
        <f aca="false">J24+K24</f>
        <v>3115320.66019351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2996452.08482669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2996452.08482669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2996452.08482669</v>
      </c>
      <c r="K25" s="99" t="n">
        <f aca="false">J25*E25</f>
        <v>36856.3606433682</v>
      </c>
      <c r="L25" s="99" t="n">
        <f aca="false">J25+K25</f>
        <v>3033308.44547005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2911468.15571906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2911468.15571906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2911468.15571906</v>
      </c>
      <c r="K26" s="99" t="n">
        <f aca="false">J26*E26</f>
        <v>186625.108781592</v>
      </c>
      <c r="L26" s="99" t="n">
        <f aca="false">J26+K26</f>
        <v>3098093.26450065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2973206.96750589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2973206.96750589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2973206.96750589</v>
      </c>
      <c r="K27" s="99" t="n">
        <f aca="false">J27*E27</f>
        <v>318430.466219881</v>
      </c>
      <c r="L27" s="99" t="n">
        <f aca="false">J27+K27</f>
        <v>3291637.43372577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3163628.97930613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3163628.97930613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3163628.97930613</v>
      </c>
      <c r="K28" s="99" t="n">
        <f aca="false">J28*E28</f>
        <v>205952.246552829</v>
      </c>
      <c r="L28" s="99" t="n">
        <f aca="false">J28+K28</f>
        <v>3369581.22585896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3238372.56007883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3238372.56007883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3238372.56007883</v>
      </c>
      <c r="K29" s="99" t="n">
        <f aca="false">J29*E29</f>
        <v>259069.804806307</v>
      </c>
      <c r="L29" s="99" t="n">
        <f aca="false">J29+K29</f>
        <v>3497442.36488514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3362953.48246051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3362953.48246051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3362953.48246051</v>
      </c>
      <c r="K30" s="99" t="n">
        <f aca="false">J30*E30</f>
        <v>104587.853304522</v>
      </c>
      <c r="L30" s="99" t="n">
        <f aca="false">J30+K30</f>
        <v>3467541.33576503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3329690.23127979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3329690.23127979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3329690.23127979</v>
      </c>
      <c r="K31" s="99" t="n">
        <f aca="false">J31*E31</f>
        <v>187461.560021052</v>
      </c>
      <c r="L31" s="99" t="n">
        <f aca="false">J31+K31</f>
        <v>3517151.79130084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135353.261434138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3375854.40920346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3375854.40920346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3375854.40920346</v>
      </c>
      <c r="K32" s="99" t="n">
        <f aca="false">J32*E32</f>
        <v>91823.2399303342</v>
      </c>
      <c r="L32" s="99" t="n">
        <f aca="false">J32+K32</f>
        <v>3467677.6491338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142441.114312382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3322847.83248399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3322847.83248399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3322847.83248399</v>
      </c>
      <c r="K33" s="99" t="n">
        <f aca="false">J33*E33</f>
        <v>547605.322793361</v>
      </c>
      <c r="L33" s="99" t="n">
        <f aca="false">J33+K33</f>
        <v>3870453.15527735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145102.525435982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3722002.59321129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3722002.59321129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3722002.59321129</v>
      </c>
      <c r="K34" s="99" t="n">
        <f aca="false">J34*E34</f>
        <v>-251235.175041762</v>
      </c>
      <c r="L34" s="99" t="n">
        <f aca="false">J34+K34</f>
        <v>3470767.41816953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169181.936055059</v>
      </c>
      <c r="O34" s="99" t="n">
        <f aca="false">IF(D34&gt;$B$4,0,IF(D34&lt;$B$3,0,$B$8*(1+$B$10)^(C34-1)))</f>
        <v>152161.826117708</v>
      </c>
      <c r="P34" s="99" t="n">
        <f aca="false">MAX(N34,O34)</f>
        <v>169181.936055059</v>
      </c>
      <c r="Q34" s="99" t="n">
        <f aca="false">MAX(0,L34-P34)</f>
        <v>3301585.48211447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3301585.48211447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3301585.48211447</v>
      </c>
      <c r="K35" s="99" t="n">
        <f aca="false">J35*E35</f>
        <v>438450.552024802</v>
      </c>
      <c r="L35" s="99" t="n">
        <f aca="false">J35+K35</f>
        <v>3740036.03413927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156473.245597842</v>
      </c>
      <c r="O35" s="99" t="n">
        <f aca="false">IF(D35&gt;$B$4,0,IF(D35&lt;$B$3,0,$B$8*(1+$B$10)^(C35-1)))</f>
        <v>155965.87177065</v>
      </c>
      <c r="P35" s="99" t="n">
        <f aca="false">MAX(N35,O35)</f>
        <v>156473.245597842</v>
      </c>
      <c r="Q35" s="99" t="n">
        <f aca="false">MAX(0,L35-P35)</f>
        <v>3583562.78854143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3583562.78854143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3583562.78854143</v>
      </c>
      <c r="K36" s="99" t="n">
        <f aca="false">J36*E36</f>
        <v>164127.175715198</v>
      </c>
      <c r="L36" s="99" t="n">
        <f aca="false">J36+K36</f>
        <v>3747689.96425663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177404.098442645</v>
      </c>
      <c r="O36" s="99" t="n">
        <f aca="false">IF(D36&gt;$B$4,0,IF(D36&lt;$B$3,0,$B$8*(1+$B$10)^(C36-1)))</f>
        <v>159865.018564917</v>
      </c>
      <c r="P36" s="99" t="n">
        <f aca="false">MAX(N36,O36)</f>
        <v>177404.098442645</v>
      </c>
      <c r="Q36" s="99" t="n">
        <f aca="false">MAX(0,L36-P36)</f>
        <v>3570285.86581398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3570285.86581398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3570285.86581398</v>
      </c>
      <c r="K37" s="99" t="n">
        <f aca="false">J37*E37</f>
        <v>322753.842269584</v>
      </c>
      <c r="L37" s="99" t="n">
        <f aca="false">J37+K37</f>
        <v>3893039.70808357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184035.353907937</v>
      </c>
      <c r="O37" s="99" t="n">
        <f aca="false">IF(D37&gt;$B$4,0,IF(D37&lt;$B$3,0,$B$8*(1+$B$10)^(C37-1)))</f>
        <v>163861.644029039</v>
      </c>
      <c r="P37" s="99" t="n">
        <f aca="false">MAX(N37,O37)</f>
        <v>184035.353907937</v>
      </c>
      <c r="Q37" s="99" t="n">
        <f aca="false">MAX(0,L37-P37)</f>
        <v>3709004.35417563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3709004.35417563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3709004.35417563</v>
      </c>
      <c r="K38" s="99" t="n">
        <f aca="false">J38*E38</f>
        <v>251470.495213108</v>
      </c>
      <c r="L38" s="99" t="n">
        <f aca="false">J38+K38</f>
        <v>3960474.84938874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200486.721847331</v>
      </c>
      <c r="O38" s="99" t="n">
        <f aca="false">IF(D38&gt;$B$4,0,IF(D38&lt;$B$3,0,$B$8*(1+$B$10)^(C38-1)))</f>
        <v>167958.185129765</v>
      </c>
      <c r="P38" s="99" t="n">
        <f aca="false">MAX(N38,O38)</f>
        <v>200486.721847331</v>
      </c>
      <c r="Q38" s="99" t="n">
        <f aca="false">MAX(0,L38-P38)</f>
        <v>3759988.12754141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3759988.12754141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3759988.12754141</v>
      </c>
      <c r="K39" s="99" t="n">
        <f aca="false">J39*E39</f>
        <v>200407.367197957</v>
      </c>
      <c r="L39" s="99" t="n">
        <f aca="false">J39+K39</f>
        <v>3960395.49473936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212428.707770701</v>
      </c>
      <c r="O39" s="99" t="n">
        <f aca="false">IF(D39&gt;$B$4,0,IF(D39&lt;$B$3,0,$B$8*(1+$B$10)^(C39-1)))</f>
        <v>172157.13975801</v>
      </c>
      <c r="P39" s="99" t="n">
        <f aca="false">MAX(N39,O39)</f>
        <v>212428.707770701</v>
      </c>
      <c r="Q39" s="99" t="n">
        <f aca="false">MAX(0,L39-P39)</f>
        <v>3747966.78696866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3747966.78696866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3747966.78696866</v>
      </c>
      <c r="K40" s="99" t="n">
        <f aca="false">J40*E40</f>
        <v>278099.135593075</v>
      </c>
      <c r="L40" s="99" t="n">
        <f aca="false">J40+K40</f>
        <v>4026065.92256174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223093.261129087</v>
      </c>
      <c r="O40" s="99" t="n">
        <f aca="false">IF(D40&gt;$B$4,0,IF(D40&lt;$B$3,0,$B$8*(1+$B$10)^(C40-1)))</f>
        <v>176461.06825196</v>
      </c>
      <c r="P40" s="99" t="n">
        <f aca="false">MAX(N40,O40)</f>
        <v>223093.261129087</v>
      </c>
      <c r="Q40" s="99" t="n">
        <f aca="false">MAX(0,L40-P40)</f>
        <v>3802972.66143265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3802972.66143265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3802972.66143265</v>
      </c>
      <c r="K41" s="99" t="n">
        <f aca="false">J41*E41</f>
        <v>247193.222993122</v>
      </c>
      <c r="L41" s="99" t="n">
        <f aca="false">J41+K41</f>
        <v>4050165.88442577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237685.791339541</v>
      </c>
      <c r="O41" s="99" t="n">
        <f aca="false">IF(D41&gt;$B$4,0,IF(D41&lt;$B$3,0,$B$8*(1+$B$10)^(C41-1)))</f>
        <v>180872.594958259</v>
      </c>
      <c r="P41" s="99" t="n">
        <f aca="false">MAX(N41,O41)</f>
        <v>237685.791339541</v>
      </c>
      <c r="Q41" s="99" t="n">
        <f aca="false">MAX(0,L41-P41)</f>
        <v>3812480.09308623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3812480.09308623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3812480.09308623</v>
      </c>
      <c r="K42" s="99" t="n">
        <f aca="false">J42*E42</f>
        <v>-133436.803258018</v>
      </c>
      <c r="L42" s="99" t="n">
        <f aca="false">J42+K42</f>
        <v>3679043.28982821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250821.058755673</v>
      </c>
      <c r="O42" s="99" t="n">
        <f aca="false">IF(D42&gt;$B$4,0,IF(D42&lt;$B$3,0,$B$8*(1+$B$10)^(C42-1)))</f>
        <v>185394.409832215</v>
      </c>
      <c r="P42" s="99" t="n">
        <f aca="false">MAX(N42,O42)</f>
        <v>250821.058755673</v>
      </c>
      <c r="Q42" s="99" t="n">
        <f aca="false">MAX(0,L42-P42)</f>
        <v>3428222.23107254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3428222.23107254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3428222.23107254</v>
      </c>
      <c r="K43" s="99" t="n">
        <f aca="false">J43*E43</f>
        <v>274257.778485803</v>
      </c>
      <c r="L43" s="99" t="n">
        <f aca="false">J43+K43</f>
        <v>3702480.00955834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238070.988268926</v>
      </c>
      <c r="O43" s="99" t="n">
        <f aca="false">IF(D43&gt;$B$4,0,IF(D43&lt;$B$3,0,$B$8*(1+$B$10)^(C43-1)))</f>
        <v>190029.270078021</v>
      </c>
      <c r="P43" s="99" t="n">
        <f aca="false">MAX(N43,O43)</f>
        <v>238070.988268926</v>
      </c>
      <c r="Q43" s="99" t="n">
        <f aca="false">MAX(0,L43-P43)</f>
        <v>3464409.02128942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3464409.02128942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3464409.02128942</v>
      </c>
      <c r="K44" s="99" t="n">
        <f aca="false">J44*E44</f>
        <v>187770.968953886</v>
      </c>
      <c r="L44" s="99" t="n">
        <f aca="false">J44+K44</f>
        <v>3652179.9902433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252876.570897038</v>
      </c>
      <c r="O44" s="99" t="n">
        <f aca="false">IF(D44&gt;$B$4,0,IF(D44&lt;$B$3,0,$B$8*(1+$B$10)^(C44-1)))</f>
        <v>194780.001829971</v>
      </c>
      <c r="P44" s="99" t="n">
        <f aca="false">MAX(N44,O44)</f>
        <v>252876.570897038</v>
      </c>
      <c r="Q44" s="99" t="n">
        <f aca="false">MAX(0,L44-P44)</f>
        <v>3399303.41934627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3399303.41934627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3399303.41934627</v>
      </c>
      <c r="K45" s="99" t="n">
        <f aca="false">J45*E45</f>
        <v>268884.90047029</v>
      </c>
      <c r="L45" s="99" t="n">
        <f aca="false">J45+K45</f>
        <v>3668188.31981656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263511.892972579</v>
      </c>
      <c r="O45" s="99" t="n">
        <f aca="false">IF(D45&gt;$B$4,0,IF(D45&lt;$B$3,0,$B$8*(1+$B$10)^(C45-1)))</f>
        <v>199649.50187572</v>
      </c>
      <c r="P45" s="99" t="n">
        <f aca="false">MAX(N45,O45)</f>
        <v>263511.892972579</v>
      </c>
      <c r="Q45" s="99" t="n">
        <f aca="false">MAX(0,L45-P45)</f>
        <v>3404676.42684398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3404676.42684398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3404676.42684398</v>
      </c>
      <c r="K46" s="99" t="n">
        <f aca="false">J46*E46</f>
        <v>128356.301292018</v>
      </c>
      <c r="L46" s="99" t="n">
        <f aca="false">J46+K46</f>
        <v>3533032.728136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279071.8382659</v>
      </c>
      <c r="O46" s="99" t="n">
        <f aca="false">IF(D46&gt;$B$4,0,IF(D46&lt;$B$3,0,$B$8*(1+$B$10)^(C46-1)))</f>
        <v>204640.739422613</v>
      </c>
      <c r="P46" s="99" t="n">
        <f aca="false">MAX(N46,O46)</f>
        <v>279071.8382659</v>
      </c>
      <c r="Q46" s="99" t="n">
        <f aca="false">MAX(0,L46-P46)</f>
        <v>3253960.8898701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3253960.8898701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3253960.8898701</v>
      </c>
      <c r="K47" s="99" t="n">
        <f aca="false">J47*E47</f>
        <v>299039.005779062</v>
      </c>
      <c r="L47" s="99" t="n">
        <f aca="false">J47+K47</f>
        <v>3552999.89564916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3552999.89564916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3552999.89564916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3552999.89564916</v>
      </c>
      <c r="K48" s="99" t="n">
        <f aca="false">J48*E48</f>
        <v>119736.096483377</v>
      </c>
      <c r="L48" s="99" t="n">
        <f aca="false">J48+K48</f>
        <v>3672735.99213253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3672735.99213253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3672735.99213253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3672735.99213253</v>
      </c>
      <c r="K49" s="99" t="n">
        <f aca="false">J49*E49</f>
        <v>165273.119645964</v>
      </c>
      <c r="L49" s="99" t="n">
        <f aca="false">J49+K49</f>
        <v>3838009.1117785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3838009.1117785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3838009.1117785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3838009.1117785</v>
      </c>
      <c r="K50" s="99" t="n">
        <f aca="false">J50*E50</f>
        <v>422181.002295635</v>
      </c>
      <c r="L50" s="99" t="n">
        <f aca="false">J50+K50</f>
        <v>4260190.11407413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4260190.11407413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4260190.11407413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4260190.11407413</v>
      </c>
      <c r="K51" s="99" t="n">
        <f aca="false">J51*E51</f>
        <v>372766.634981487</v>
      </c>
      <c r="L51" s="99" t="n">
        <f aca="false">J51+K51</f>
        <v>4632956.74905562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4632956.74905562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4632956.74905562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4632956.74905562</v>
      </c>
      <c r="K52" s="99" t="n">
        <f aca="false">J52*E52</f>
        <v>-216359.080180897</v>
      </c>
      <c r="L52" s="99" t="n">
        <f aca="false">J52+K52</f>
        <v>4416597.66887472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4416597.66887472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4416597.66887472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4416597.66887472</v>
      </c>
      <c r="K53" s="99" t="n">
        <f aca="false">J53*E53</f>
        <v>-312695.11495633</v>
      </c>
      <c r="L53" s="99" t="n">
        <f aca="false">J53+K53</f>
        <v>4103902.55391839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4103902.55391839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4103902.55391839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4103902.55391839</v>
      </c>
      <c r="K54" s="99" t="n">
        <f aca="false">J54*E54</f>
        <v>-553206.064268199</v>
      </c>
      <c r="L54" s="99" t="n">
        <f aca="false">J54+K54</f>
        <v>3550696.48965019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3550696.48965019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3550696.48965019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54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% of Salary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Profit Sharing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Profit Sharing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0.05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205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Profit Sharing with % of Salary / % of Salary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99994999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5000</v>
      </c>
      <c r="Z17" s="99" t="n">
        <f aca="false">W17+X17+Y17</f>
        <v>10000</v>
      </c>
      <c r="AA17" s="100" t="n">
        <f aca="false">Q17+Z17</f>
        <v>2192400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2192400</v>
      </c>
      <c r="K18" s="99" t="n">
        <f aca="false">J18*E18</f>
        <v>105015.96</v>
      </c>
      <c r="L18" s="99" t="n">
        <f aca="false">J18+K18</f>
        <v>2297415.96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2297415.96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102494898.975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5100</v>
      </c>
      <c r="Z18" s="99" t="n">
        <f aca="false">W18+X18+Y18</f>
        <v>10200</v>
      </c>
      <c r="AA18" s="100" t="n">
        <f aca="false">Q18+W18+X18+Y18</f>
        <v>2307615.96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2307615.96</v>
      </c>
      <c r="K19" s="99" t="n">
        <f aca="false">J19*E19</f>
        <v>49152.219948</v>
      </c>
      <c r="L19" s="99" t="n">
        <f aca="false">J19+K19</f>
        <v>2356768.179948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2356768.179948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105057296.949375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5202</v>
      </c>
      <c r="Z19" s="99" t="n">
        <f aca="false">W19+X19+Y19</f>
        <v>10404</v>
      </c>
      <c r="AA19" s="100" t="n">
        <f aca="false">Q19+W19+X19+Y19</f>
        <v>2367172.179948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2367172.179948</v>
      </c>
      <c r="K20" s="99" t="n">
        <f aca="false">J20*E20</f>
        <v>260388.93979428</v>
      </c>
      <c r="L20" s="99" t="n">
        <f aca="false">J20+K20</f>
        <v>2627561.11974228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2627561.11974228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107683755.383109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5306.04</v>
      </c>
      <c r="Z20" s="99" t="n">
        <f aca="false">W20+X20+Y20</f>
        <v>10612.08</v>
      </c>
      <c r="AA20" s="100" t="n">
        <f aca="false">Q20+W20+X20+Y20</f>
        <v>2638173.19974228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2638173.19974228</v>
      </c>
      <c r="K21" s="99" t="n">
        <f aca="false">J21*E21</f>
        <v>211581.490619331</v>
      </c>
      <c r="L21" s="99" t="n">
        <f aca="false">J21+K21</f>
        <v>2849754.69036161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2739373.40129911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2739373.40129911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2739373.40129911</v>
      </c>
      <c r="K22" s="99" t="n">
        <f aca="false">J22*E22</f>
        <v>224080.744226267</v>
      </c>
      <c r="L22" s="99" t="n">
        <f aca="false">J22+K22</f>
        <v>2963454.14552538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2850313.32423631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2850313.32423631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2850313.32423631</v>
      </c>
      <c r="K23" s="99" t="n">
        <f aca="false">J23*E23</f>
        <v>287311.583083021</v>
      </c>
      <c r="L23" s="99" t="n">
        <f aca="false">J23+K23</f>
        <v>3137624.90731934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3021655.56549805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3021655.56549805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3021655.56549805</v>
      </c>
      <c r="K24" s="99" t="n">
        <f aca="false">J24*E24</f>
        <v>-148665.453822504</v>
      </c>
      <c r="L24" s="99" t="n">
        <f aca="false">J24+K24</f>
        <v>2872990.11167554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2754121.53630872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2754121.53630872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2754121.53630872</v>
      </c>
      <c r="K25" s="99" t="n">
        <f aca="false">J25*E25</f>
        <v>33875.6948965973</v>
      </c>
      <c r="L25" s="99" t="n">
        <f aca="false">J25+K25</f>
        <v>2787997.23120532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2666156.94145433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2666156.94145433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2666156.94145433</v>
      </c>
      <c r="K26" s="99" t="n">
        <f aca="false">J26*E26</f>
        <v>170900.659947222</v>
      </c>
      <c r="L26" s="99" t="n">
        <f aca="false">J26+K26</f>
        <v>2837057.60140155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2712171.30440678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2712171.30440678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2712171.30440678</v>
      </c>
      <c r="K27" s="99" t="n">
        <f aca="false">J27*E27</f>
        <v>290473.546701966</v>
      </c>
      <c r="L27" s="99" t="n">
        <f aca="false">J27+K27</f>
        <v>3002644.85110875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2874636.39668911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2874636.39668911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2874636.39668911</v>
      </c>
      <c r="K28" s="99" t="n">
        <f aca="false">J28*E28</f>
        <v>187138.829424461</v>
      </c>
      <c r="L28" s="99" t="n">
        <f aca="false">J28+K28</f>
        <v>3061775.22611357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2930566.56033345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2930566.56033345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2930566.56033345</v>
      </c>
      <c r="K29" s="99" t="n">
        <f aca="false">J29*E29</f>
        <v>234445.324826676</v>
      </c>
      <c r="L29" s="99" t="n">
        <f aca="false">J29+K29</f>
        <v>3165011.88516012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3030523.00273549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3030523.00273549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3030523.00273549</v>
      </c>
      <c r="K30" s="99" t="n">
        <f aca="false">J30*E30</f>
        <v>94249.2653850739</v>
      </c>
      <c r="L30" s="99" t="n">
        <f aca="false">J30+K30</f>
        <v>3124772.26812057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2986921.16363532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2986921.16363532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2986921.16363532</v>
      </c>
      <c r="K31" s="99" t="n">
        <f aca="false">J31*E31</f>
        <v>168163.661512669</v>
      </c>
      <c r="L31" s="99" t="n">
        <f aca="false">J31+K31</f>
        <v>3155084.82514799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121419.559497371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3013787.44305062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3013787.44305062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3013787.44305062</v>
      </c>
      <c r="K32" s="99" t="n">
        <f aca="false">J32*E32</f>
        <v>81975.0184509767</v>
      </c>
      <c r="L32" s="99" t="n">
        <f aca="false">J32+K32</f>
        <v>3095762.46150159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127164.027132937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2950932.64485178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2950932.64485178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2950932.64485178</v>
      </c>
      <c r="K33" s="99" t="n">
        <f aca="false">J33*E33</f>
        <v>486313.699871574</v>
      </c>
      <c r="L33" s="99" t="n">
        <f aca="false">J33+K33</f>
        <v>3437246.34472336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128861.687548113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3288795.7826573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3288795.7826573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3288795.7826573</v>
      </c>
      <c r="K34" s="99" t="n">
        <f aca="false">J34*E34</f>
        <v>-221993.715329368</v>
      </c>
      <c r="L34" s="99" t="n">
        <f aca="false">J34+K34</f>
        <v>3066802.06732793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149490.717393514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2914640.24121022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2914640.24121022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2914640.24121022</v>
      </c>
      <c r="K35" s="99" t="n">
        <f aca="false">J35*E35</f>
        <v>387064.224032718</v>
      </c>
      <c r="L35" s="99" t="n">
        <f aca="false">J35+K35</f>
        <v>3301704.46524294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138134.608588162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3145738.59347229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3145738.59347229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3145738.59347229</v>
      </c>
      <c r="K36" s="99" t="n">
        <f aca="false">J36*E36</f>
        <v>144074.827581031</v>
      </c>
      <c r="L36" s="99" t="n">
        <f aca="false">J36+K36</f>
        <v>3289813.42105332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155729.633340212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3129948.40248841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3129948.40248841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3129948.40248841</v>
      </c>
      <c r="K37" s="99" t="n">
        <f aca="false">J37*E37</f>
        <v>282947.335584952</v>
      </c>
      <c r="L37" s="99" t="n">
        <f aca="false">J37+K37</f>
        <v>3412895.73807336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161337.546520021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3249034.09404432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3249034.09404432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3249034.09404432</v>
      </c>
      <c r="K38" s="99" t="n">
        <f aca="false">J38*E38</f>
        <v>220284.511576205</v>
      </c>
      <c r="L38" s="99" t="n">
        <f aca="false">J38+K38</f>
        <v>3469318.60562052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175623.464542936</v>
      </c>
      <c r="O38" s="99" t="n">
        <f aca="false">IF(D38&gt;$B$4,0,IF(D38&lt;$B$3,0,$B$8*(1+$B$10)^(C38-1)))</f>
        <v>167958.185129765</v>
      </c>
      <c r="P38" s="99" t="n">
        <f aca="false">MAX(N38,O38)</f>
        <v>175623.464542936</v>
      </c>
      <c r="Q38" s="99" t="n">
        <f aca="false">MAX(0,L38-P38)</f>
        <v>3293695.14107759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3293695.14107759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3293695.14107759</v>
      </c>
      <c r="K39" s="99" t="n">
        <f aca="false">J39*E39</f>
        <v>175553.951019435</v>
      </c>
      <c r="L39" s="99" t="n">
        <f aca="false">J39+K39</f>
        <v>3469249.09209702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186084.471247321</v>
      </c>
      <c r="O39" s="99" t="n">
        <f aca="false">IF(D39&gt;$B$4,0,IF(D39&lt;$B$3,0,$B$8*(1+$B$10)^(C39-1)))</f>
        <v>172157.13975801</v>
      </c>
      <c r="P39" s="99" t="n">
        <f aca="false">MAX(N39,O39)</f>
        <v>186084.471247321</v>
      </c>
      <c r="Q39" s="99" t="n">
        <f aca="false">MAX(0,L39-P39)</f>
        <v>3283164.6208497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3283164.6208497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3283164.6208497</v>
      </c>
      <c r="K40" s="99" t="n">
        <f aca="false">J40*E40</f>
        <v>243610.814867048</v>
      </c>
      <c r="L40" s="99" t="n">
        <f aca="false">J40+K40</f>
        <v>3526775.43571675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195426.465526768</v>
      </c>
      <c r="O40" s="99" t="n">
        <f aca="false">IF(D40&gt;$B$4,0,IF(D40&lt;$B$3,0,$B$8*(1+$B$10)^(C40-1)))</f>
        <v>176461.06825196</v>
      </c>
      <c r="P40" s="99" t="n">
        <f aca="false">MAX(N40,O40)</f>
        <v>195426.465526768</v>
      </c>
      <c r="Q40" s="99" t="n">
        <f aca="false">MAX(0,L40-P40)</f>
        <v>3331348.97018998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3331348.97018998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3331348.97018998</v>
      </c>
      <c r="K41" s="99" t="n">
        <f aca="false">J41*E41</f>
        <v>216537.683062349</v>
      </c>
      <c r="L41" s="99" t="n">
        <f aca="false">J41+K41</f>
        <v>3547886.65325233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208209.310636874</v>
      </c>
      <c r="O41" s="99" t="n">
        <f aca="false">IF(D41&gt;$B$4,0,IF(D41&lt;$B$3,0,$B$8*(1+$B$10)^(C41-1)))</f>
        <v>180872.594958259</v>
      </c>
      <c r="P41" s="99" t="n">
        <f aca="false">MAX(N41,O41)</f>
        <v>208209.310636874</v>
      </c>
      <c r="Q41" s="99" t="n">
        <f aca="false">MAX(0,L41-P41)</f>
        <v>3339677.34261545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3339677.34261545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3339677.34261545</v>
      </c>
      <c r="K42" s="99" t="n">
        <f aca="false">J42*E42</f>
        <v>-116888.706991541</v>
      </c>
      <c r="L42" s="99" t="n">
        <f aca="false">J42+K42</f>
        <v>3222788.63562391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219715.614645754</v>
      </c>
      <c r="O42" s="99" t="n">
        <f aca="false">IF(D42&gt;$B$4,0,IF(D42&lt;$B$3,0,$B$8*(1+$B$10)^(C42-1)))</f>
        <v>185394.409832215</v>
      </c>
      <c r="P42" s="99" t="n">
        <f aca="false">MAX(N42,O42)</f>
        <v>219715.614645754</v>
      </c>
      <c r="Q42" s="99" t="n">
        <f aca="false">MAX(0,L42-P42)</f>
        <v>3003073.02097816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3003073.02097816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3003073.02097816</v>
      </c>
      <c r="K43" s="99" t="n">
        <f aca="false">J43*E43</f>
        <v>240245.841678253</v>
      </c>
      <c r="L43" s="99" t="n">
        <f aca="false">J43+K43</f>
        <v>3243318.86265641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208546.737567928</v>
      </c>
      <c r="O43" s="99" t="n">
        <f aca="false">IF(D43&gt;$B$4,0,IF(D43&lt;$B$3,0,$B$8*(1+$B$10)^(C43-1)))</f>
        <v>190029.270078021</v>
      </c>
      <c r="P43" s="99" t="n">
        <f aca="false">MAX(N43,O43)</f>
        <v>208546.737567928</v>
      </c>
      <c r="Q43" s="99" t="n">
        <f aca="false">MAX(0,L43-P43)</f>
        <v>3034772.12508849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3034772.12508849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3034772.12508849</v>
      </c>
      <c r="K44" s="99" t="n">
        <f aca="false">J44*E44</f>
        <v>164484.649179796</v>
      </c>
      <c r="L44" s="99" t="n">
        <f aca="false">J44+K44</f>
        <v>3199256.77426828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221516.213510108</v>
      </c>
      <c r="O44" s="99" t="n">
        <f aca="false">IF(D44&gt;$B$4,0,IF(D44&lt;$B$3,0,$B$8*(1+$B$10)^(C44-1)))</f>
        <v>194780.001829971</v>
      </c>
      <c r="P44" s="99" t="n">
        <f aca="false">MAX(N44,O44)</f>
        <v>221516.213510108</v>
      </c>
      <c r="Q44" s="99" t="n">
        <f aca="false">MAX(0,L44-P44)</f>
        <v>2977740.56075817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2977740.56075817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2977740.56075817</v>
      </c>
      <c r="K45" s="99" t="n">
        <f aca="false">J45*E45</f>
        <v>235539.278355971</v>
      </c>
      <c r="L45" s="99" t="n">
        <f aca="false">J45+K45</f>
        <v>3213279.83911414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230832.601609161</v>
      </c>
      <c r="O45" s="99" t="n">
        <f aca="false">IF(D45&gt;$B$4,0,IF(D45&lt;$B$3,0,$B$8*(1+$B$10)^(C45-1)))</f>
        <v>199649.50187572</v>
      </c>
      <c r="P45" s="99" t="n">
        <f aca="false">MAX(N45,O45)</f>
        <v>230832.601609161</v>
      </c>
      <c r="Q45" s="99" t="n">
        <f aca="false">MAX(0,L45-P45)</f>
        <v>2982447.23750498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2982447.23750498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2982447.23750498</v>
      </c>
      <c r="K46" s="99" t="n">
        <f aca="false">J46*E46</f>
        <v>112438.260853938</v>
      </c>
      <c r="L46" s="99" t="n">
        <f aca="false">J46+K46</f>
        <v>3094885.49835892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244462.888320081</v>
      </c>
      <c r="O46" s="99" t="n">
        <f aca="false">IF(D46&gt;$B$4,0,IF(D46&lt;$B$3,0,$B$8*(1+$B$10)^(C46-1)))</f>
        <v>204640.739422613</v>
      </c>
      <c r="P46" s="99" t="n">
        <f aca="false">MAX(N46,O46)</f>
        <v>244462.888320081</v>
      </c>
      <c r="Q46" s="99" t="n">
        <f aca="false">MAX(0,L46-P46)</f>
        <v>2850422.61003884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2850422.61003884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2850422.61003884</v>
      </c>
      <c r="K47" s="99" t="n">
        <f aca="false">J47*E47</f>
        <v>261953.837862569</v>
      </c>
      <c r="L47" s="99" t="n">
        <f aca="false">J47+K47</f>
        <v>3112376.44790141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3112376.44790141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3112376.44790141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3112376.44790141</v>
      </c>
      <c r="K48" s="99" t="n">
        <f aca="false">J48*E48</f>
        <v>104887.086294278</v>
      </c>
      <c r="L48" s="99" t="n">
        <f aca="false">J48+K48</f>
        <v>3217263.53419569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3217263.53419569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3217263.53419569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3217263.53419569</v>
      </c>
      <c r="K49" s="99" t="n">
        <f aca="false">J49*E49</f>
        <v>144776.859038806</v>
      </c>
      <c r="L49" s="99" t="n">
        <f aca="false">J49+K49</f>
        <v>3362040.39323449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3362040.39323449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3362040.39323449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3362040.39323449</v>
      </c>
      <c r="K50" s="99" t="n">
        <f aca="false">J50*E50</f>
        <v>369824.443255794</v>
      </c>
      <c r="L50" s="99" t="n">
        <f aca="false">J50+K50</f>
        <v>3731864.83649029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3731864.83649029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3731864.83649029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3731864.83649029</v>
      </c>
      <c r="K51" s="99" t="n">
        <f aca="false">J51*E51</f>
        <v>326538.1731929</v>
      </c>
      <c r="L51" s="99" t="n">
        <f aca="false">J51+K51</f>
        <v>4058403.00968319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4058403.00968319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4058403.00968319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4058403.00968319</v>
      </c>
      <c r="K52" s="99" t="n">
        <f aca="false">J52*E52</f>
        <v>-189527.420552205</v>
      </c>
      <c r="L52" s="99" t="n">
        <f aca="false">J52+K52</f>
        <v>3868875.58913098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3868875.58913098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3868875.58913098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3868875.58913098</v>
      </c>
      <c r="K53" s="99" t="n">
        <f aca="false">J53*E53</f>
        <v>-273916.391710474</v>
      </c>
      <c r="L53" s="99" t="n">
        <f aca="false">J53+K53</f>
        <v>3594959.19742051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3594959.19742051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3594959.19742051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3594959.19742051</v>
      </c>
      <c r="K54" s="99" t="n">
        <f aca="false">J54*E54</f>
        <v>-484600.499812285</v>
      </c>
      <c r="L54" s="99" t="n">
        <f aca="false">J54+K54</f>
        <v>3110358.69760823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3110358.69760823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3110358.69760823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55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Match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Profit Sharing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Profit Sharing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5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5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99999999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0.5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99999999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0.08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206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Profit Sharing with % of Salary / Match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0.0082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16400</v>
      </c>
      <c r="L17" s="99" t="n">
        <f aca="false">J17+K17</f>
        <v>2016400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2016400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2500</v>
      </c>
      <c r="T17" s="99" t="n">
        <f aca="false">$N$4*(1+$B$10)^(C17-1)</f>
        <v>99999999</v>
      </c>
      <c r="U17" s="99" t="n">
        <f aca="false">IF(AND($F$3=4,D17&lt;55),0,IF(D17&lt;50,0,IF(A17&lt;2025,$N$5*(1+$B$10)^(C17-1),IF(AND(D17&gt;59,D17&lt;64),$N$5*IF($N$3=2,1.5,1)*(1+$B$10)^(C17-1),$N$5*(1+$B$10)^(C17-1)))))</f>
        <v>99999999</v>
      </c>
      <c r="V17" s="99" t="n">
        <f aca="false">IF($N$3=1,0,$N$6*(1+$B$10)^(C17-1)-W17)</f>
        <v>99994999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2500</v>
      </c>
      <c r="Z17" s="99" t="n">
        <f aca="false">W17+X17+Y17</f>
        <v>7500</v>
      </c>
      <c r="AA17" s="100" t="n">
        <f aca="false">Q17+Z17</f>
        <v>2023900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-0.0004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2023900</v>
      </c>
      <c r="K18" s="99" t="n">
        <f aca="false">J18*E18</f>
        <v>-809.56</v>
      </c>
      <c r="L18" s="99" t="n">
        <f aca="false">J18+K18</f>
        <v>2023090.44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2023090.44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2550</v>
      </c>
      <c r="T18" s="99" t="n">
        <f aca="false">$N$4*(1+$B$10)^(C18-1)</f>
        <v>102499998.975</v>
      </c>
      <c r="U18" s="99" t="n">
        <f aca="false">IF(AND($F$3=4,D18&lt;55),0,IF(D18&lt;50,0,IF(A18&lt;2025,$N$5*(1+$B$10)^(C18-1),IF(AND(D18&gt;59,D18&lt;64),$N$5*IF($N$3=2,1.5,1)*(1+$B$10)^(C18-1),$N$5*(1+$B$10)^(C18-1)))))</f>
        <v>102499998.975</v>
      </c>
      <c r="V18" s="99" t="n">
        <f aca="false">IF($N$3=1,0,$N$6*(1+$B$10)^(C18-1)-W18)</f>
        <v>102494898.975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2550</v>
      </c>
      <c r="Z18" s="99" t="n">
        <f aca="false">W18+X18+Y18</f>
        <v>7650</v>
      </c>
      <c r="AA18" s="100" t="n">
        <f aca="false">Q18+W18+X18+Y18</f>
        <v>2030740.44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-0.0057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2030740.44</v>
      </c>
      <c r="K19" s="99" t="n">
        <f aca="false">J19*E19</f>
        <v>-11575.220508</v>
      </c>
      <c r="L19" s="99" t="n">
        <f aca="false">J19+K19</f>
        <v>2019165.219492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2019165.219492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2601</v>
      </c>
      <c r="T19" s="99" t="n">
        <f aca="false">$N$4*(1+$B$10)^(C19-1)</f>
        <v>105062498.949375</v>
      </c>
      <c r="U19" s="99" t="n">
        <f aca="false">IF(AND($F$3=4,D19&lt;55),0,IF(D19&lt;50,0,IF(A19&lt;2025,$N$5*(1+$B$10)^(C19-1),IF(AND(D19&gt;59,D19&lt;64),$N$5*IF($N$3=2,1.5,1)*(1+$B$10)^(C19-1),$N$5*(1+$B$10)^(C19-1)))))</f>
        <v>105062498.949375</v>
      </c>
      <c r="V19" s="99" t="n">
        <f aca="false">IF($N$3=1,0,$N$6*(1+$B$10)^(C19-1)-W19)</f>
        <v>105057296.949375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2601</v>
      </c>
      <c r="Z19" s="99" t="n">
        <f aca="false">W19+X19+Y19</f>
        <v>7803</v>
      </c>
      <c r="AA19" s="100" t="n">
        <f aca="false">Q19+W19+X19+Y19</f>
        <v>2026968.219492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0.0211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2026968.219492</v>
      </c>
      <c r="K20" s="99" t="n">
        <f aca="false">J20*E20</f>
        <v>42769.0294312812</v>
      </c>
      <c r="L20" s="99" t="n">
        <f aca="false">J20+K20</f>
        <v>2069737.24892328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2069737.24892328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2653.02</v>
      </c>
      <c r="T20" s="99" t="n">
        <f aca="false">$N$4*(1+$B$10)^(C20-1)</f>
        <v>107689061.423109</v>
      </c>
      <c r="U20" s="99" t="n">
        <f aca="false">IF(AND($F$3=4,D20&lt;55),0,IF(D20&lt;50,0,IF(A20&lt;2025,$N$5*(1+$B$10)^(C20-1),IF(AND(D20&gt;59,D20&lt;64),$N$5*IF($N$3=2,1.5,1)*(1+$B$10)^(C20-1),$N$5*(1+$B$10)^(C20-1)))))</f>
        <v>107689061.423109</v>
      </c>
      <c r="V20" s="99" t="n">
        <f aca="false">IF($N$3=1,0,$N$6*(1+$B$10)^(C20-1)-W20)</f>
        <v>107683755.383109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2653.02</v>
      </c>
      <c r="Z20" s="99" t="n">
        <f aca="false">W20+X20+Y20</f>
        <v>7959.06</v>
      </c>
      <c r="AA20" s="100" t="n">
        <f aca="false">Q20+W20+X20+Y20</f>
        <v>2077696.30892328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0.006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2077696.30892328</v>
      </c>
      <c r="K21" s="99" t="n">
        <f aca="false">J21*E21</f>
        <v>12466.1778535397</v>
      </c>
      <c r="L21" s="99" t="n">
        <f aca="false">J21+K21</f>
        <v>2090162.48677682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1979781.19771432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110381287.958687</v>
      </c>
      <c r="U21" s="99" t="n">
        <f aca="false">IF(AND($F$3=4,D21&lt;55),0,IF(D21&lt;50,0,IF(A21&lt;2025,$N$5*(1+$B$10)^(C21-1),IF(AND(D21&gt;59,D21&lt;64),$N$5*IF($N$3=2,1.5,1)*(1+$B$10)^(C21-1),$N$5*(1+$B$10)^(C21-1)))))</f>
        <v>110381287.958687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1979781.19771432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0.0063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1979781.19771432</v>
      </c>
      <c r="K22" s="99" t="n">
        <f aca="false">J22*E22</f>
        <v>12472.6215456002</v>
      </c>
      <c r="L22" s="99" t="n">
        <f aca="false">J22+K22</f>
        <v>1992253.81925992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1879112.99797086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113140820.157654</v>
      </c>
      <c r="U22" s="99" t="n">
        <f aca="false">IF(AND($F$3=4,D22&lt;55),0,IF(D22&lt;50,0,IF(A22&lt;2025,$N$5*(1+$B$10)^(C22-1),IF(AND(D22&gt;59,D22&lt;64),$N$5*IF($N$3=2,1.5,1)*(1+$B$10)^(C22-1),$N$5*(1+$B$10)^(C22-1)))))</f>
        <v>113140820.157654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1879112.99797086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0.0155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1879112.99797086</v>
      </c>
      <c r="K23" s="99" t="n">
        <f aca="false">J23*E23</f>
        <v>29126.2514685483</v>
      </c>
      <c r="L23" s="99" t="n">
        <f aca="false">J23+K23</f>
        <v>1908239.24943941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1792269.90761812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115969340.661596</v>
      </c>
      <c r="U23" s="99" t="n">
        <f aca="false">IF(AND($F$3=4,D23&lt;55),0,IF(D23&lt;50,0,IF(A23&lt;2025,$N$5*(1+$B$10)^(C23-1),IF(AND(D23&gt;59,D23&lt;64),$N$5*IF($N$3=2,1.5,1)*(1+$B$10)^(C23-1),$N$5*(1+$B$10)^(C23-1)))))</f>
        <v>115969340.661596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1792269.90761812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-0.0067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1792269.90761812</v>
      </c>
      <c r="K24" s="99" t="n">
        <f aca="false">J24*E24</f>
        <v>-12008.2083810414</v>
      </c>
      <c r="L24" s="99" t="n">
        <f aca="false">J24+K24</f>
        <v>1780261.69923708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1661393.12387026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118868574.178135</v>
      </c>
      <c r="U24" s="99" t="n">
        <f aca="false">IF(AND($F$3=4,D24&lt;55),0,IF(D24&lt;50,0,IF(A24&lt;2025,$N$5*(1+$B$10)^(C24-1),IF(AND(D24&gt;59,D24&lt;64),$N$5*IF($N$3=2,1.5,1)*(1+$B$10)^(C24-1),$N$5*(1+$B$10)^(C24-1)))))</f>
        <v>118868574.178135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1661393.12387026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-0.0075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1661393.12387026</v>
      </c>
      <c r="K25" s="99" t="n">
        <f aca="false">J25*E25</f>
        <v>-12460.4484290269</v>
      </c>
      <c r="L25" s="99" t="n">
        <f aca="false">J25+K25</f>
        <v>1648932.67544123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1527092.38569024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121840288.532589</v>
      </c>
      <c r="U25" s="99" t="n">
        <f aca="false">IF(AND($F$3=4,D25&lt;55),0,IF(D25&lt;50,0,IF(A25&lt;2025,$N$5*(1+$B$10)^(C25-1),IF(AND(D25&gt;59,D25&lt;64),$N$5*IF($N$3=2,1.5,1)*(1+$B$10)^(C25-1),$N$5*(1+$B$10)^(C25-1)))))</f>
        <v>121840288.532589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1527092.38569024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0.0028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1527092.38569024</v>
      </c>
      <c r="K26" s="99" t="n">
        <f aca="false">J26*E26</f>
        <v>4275.85867993266</v>
      </c>
      <c r="L26" s="99" t="n">
        <f aca="false">J26+K26</f>
        <v>1531368.24437017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1406481.9473754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124886295.745904</v>
      </c>
      <c r="U26" s="99" t="n">
        <f aca="false">IF(AND($F$3=4,D26&lt;55),0,IF(D26&lt;50,0,IF(A26&lt;2025,$N$5*(1+$B$10)^(C26-1),IF(AND(D26&gt;59,D26&lt;64),$N$5*IF($N$3=2,1.5,1)*(1+$B$10)^(C26-1),$N$5*(1+$B$10)^(C26-1)))))</f>
        <v>124886295.745904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1406481.9473754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0.0114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1406481.9473754</v>
      </c>
      <c r="K27" s="99" t="n">
        <f aca="false">J27*E27</f>
        <v>16033.8942000796</v>
      </c>
      <c r="L27" s="99" t="n">
        <f aca="false">J27+K27</f>
        <v>1422515.84157548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1294507.38715585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128008453.139551</v>
      </c>
      <c r="U27" s="99" t="n">
        <f aca="false">IF(AND($F$3=4,D27&lt;55),0,IF(D27&lt;50,0,IF(A27&lt;2025,$N$5*(1+$B$10)^(C27-1),IF(AND(D27&gt;59,D27&lt;64),$N$5*IF($N$3=2,1.5,1)*(1+$B$10)^(C27-1),$N$5*(1+$B$10)^(C27-1)))))</f>
        <v>128008453.139551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1294507.38715585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0.003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1294507.38715585</v>
      </c>
      <c r="K28" s="99" t="n">
        <f aca="false">J28*E28</f>
        <v>3883.52216146754</v>
      </c>
      <c r="L28" s="99" t="n">
        <f aca="false">J28+K28</f>
        <v>1298390.90931731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1167182.24353719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131208664.46804</v>
      </c>
      <c r="U28" s="99" t="n">
        <f aca="false">IF(AND($F$3=4,D28&lt;55),0,IF(D28&lt;50,0,IF(A28&lt;2025,$N$5*(1+$B$10)^(C28-1),IF(AND(D28&gt;59,D28&lt;64),$N$5*IF($N$3=2,1.5,1)*(1+$B$10)^(C28-1),$N$5*(1+$B$10)^(C28-1)))))</f>
        <v>131208664.46804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1167182.24353719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0.0001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1167182.24353719</v>
      </c>
      <c r="K29" s="99" t="n">
        <f aca="false">J29*E29</f>
        <v>116.718224353719</v>
      </c>
      <c r="L29" s="99" t="n">
        <f aca="false">J29+K29</f>
        <v>1167298.96176154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1032810.07933691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134488881.079741</v>
      </c>
      <c r="U29" s="99" t="n">
        <f aca="false">IF(AND($F$3=4,D29&lt;55),0,IF(D29&lt;50,0,IF(A29&lt;2025,$N$5*(1+$B$10)^(C29-1),IF(AND(D29&gt;59,D29&lt;64),$N$5*IF($N$3=2,1.5,1)*(1+$B$10)^(C29-1),$N$5*(1+$B$10)^(C29-1)))))</f>
        <v>134488881.079741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1032810.07933691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-0.0038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1032810.07933691</v>
      </c>
      <c r="K30" s="99" t="n">
        <f aca="false">J30*E30</f>
        <v>-3924.67830148026</v>
      </c>
      <c r="L30" s="99" t="n">
        <f aca="false">J30+K30</f>
        <v>1028885.40103543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891034.296550186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137851103.106734</v>
      </c>
      <c r="U30" s="99" t="n">
        <f aca="false">IF(AND($F$3=4,D30&lt;55),0,IF(D30&lt;50,0,IF(A30&lt;2025,$N$5*(1+$B$10)^(C30-1),IF(AND(D30&gt;59,D30&lt;64),$N$5*IF($N$3=2,1.5,1)*(1+$B$10)^(C30-1),$N$5*(1+$B$10)^(C30-1)))))</f>
        <v>137851103.106734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891034.296550186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0.0013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891034.296550186</v>
      </c>
      <c r="K31" s="99" t="n">
        <f aca="false">J31*E31</f>
        <v>1158.34458551524</v>
      </c>
      <c r="L31" s="99" t="n">
        <f aca="false">J31+K31</f>
        <v>892192.641135701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36220.9063638287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750895.259038325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141297380.684403</v>
      </c>
      <c r="U31" s="99" t="n">
        <f aca="false">IF(AND($F$3=4,D31&lt;55),0,IF(D31&lt;50,0,IF(A31&lt;2025,$N$5*(1+$B$10)^(C31-1),IF(AND(D31&gt;59,D31&lt;64),$N$5*IF($N$3=2,1.5,1)*(1+$B$10)^(C31-1),$N$5*(1+$B$10)^(C31-1)))))</f>
        <v>141297380.684403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750895.259038325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0.0192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750895.259038325</v>
      </c>
      <c r="K32" s="99" t="n">
        <f aca="false">J32*E32</f>
        <v>14417.1889735358</v>
      </c>
      <c r="L32" s="99" t="n">
        <f aca="false">J32+K32</f>
        <v>765312.44801186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31683.3442632205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620482.631362049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144829815.201513</v>
      </c>
      <c r="U32" s="99" t="n">
        <f aca="false">IF(AND($F$3=4,D32&lt;55),0,IF(D32&lt;50,0,IF(A32&lt;2025,$N$5*(1+$B$10)^(C32-1),IF(AND(D32&gt;59,D32&lt;64),$N$5*IF($N$3=2,1.5,1)*(1+$B$10)^(C32-1),$N$5*(1+$B$10)^(C32-1)))))</f>
        <v>144829815.201513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620482.631362049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0.0229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620482.631362049</v>
      </c>
      <c r="K33" s="99" t="n">
        <f aca="false">J33*E33</f>
        <v>14209.0522581909</v>
      </c>
      <c r="L33" s="99" t="n">
        <f aca="false">J33+K33</f>
        <v>634691.68362024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27095.3114131899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486241.121554184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148450560.581551</v>
      </c>
      <c r="U33" s="99" t="n">
        <f aca="false">IF(AND($F$3=4,D33&lt;55),0,IF(D33&lt;50,0,IF(A33&lt;2025,$N$5*(1+$B$10)^(C33-1),IF(AND(D33&gt;59,D33&lt;64),$N$5*IF($N$3=2,1.5,1)*(1+$B$10)^(C33-1),$N$5*(1+$B$10)^(C33-1)))))</f>
        <v>148450560.581551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486241.121554184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-0.0235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486241.121554184</v>
      </c>
      <c r="K34" s="99" t="n">
        <f aca="false">J34*E34</f>
        <v>-11426.6663565233</v>
      </c>
      <c r="L34" s="99" t="n">
        <f aca="false">J34+K34</f>
        <v>474814.455197661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22101.8691615538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322652.629079953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152161824.596089</v>
      </c>
      <c r="U34" s="99" t="n">
        <f aca="false">IF(AND($F$3=4,D34&lt;55),0,IF(D34&lt;50,0,IF(A34&lt;2025,$N$5*(1+$B$10)^(C34-1),IF(AND(D34&gt;59,D34&lt;64),$N$5*IF($N$3=2,1.5,1)*(1+$B$10)^(C34-1),$N$5*(1+$B$10)^(C34-1)))))</f>
        <v>152161824.596089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322652.629079953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0.0165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322652.629079953</v>
      </c>
      <c r="K35" s="99" t="n">
        <f aca="false">J35*E35</f>
        <v>5323.76837981923</v>
      </c>
      <c r="L35" s="99" t="n">
        <f aca="false">J35+K35</f>
        <v>327976.397459773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15291.5937952584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172010.525689122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155965870.210992</v>
      </c>
      <c r="U35" s="99" t="n">
        <f aca="false">IF(AND($F$3=4,D35&lt;55),0,IF(D35&lt;50,0,IF(A35&lt;2025,$N$5*(1+$B$10)^(C35-1),IF(AND(D35&gt;59,D35&lt;64),$N$5*IF($N$3=2,1.5,1)*(1+$B$10)^(C35-1),$N$5*(1+$B$10)^(C35-1)))))</f>
        <v>155965870.210992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172010.525689122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-0.0008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172010.525689122</v>
      </c>
      <c r="K36" s="99" t="n">
        <f aca="false">J36*E36</f>
        <v>-137.608420551298</v>
      </c>
      <c r="L36" s="99" t="n">
        <f aca="false">J36+K36</f>
        <v>171872.917268571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8515.37255886744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12007.8987036544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159865016.966266</v>
      </c>
      <c r="U36" s="99" t="n">
        <f aca="false">IF(AND($F$3=4,D36&lt;55),0,IF(D36&lt;50,0,IF(A36&lt;2025,$N$5*(1+$B$10)^(C36-1),IF(AND(D36&gt;59,D36&lt;64),$N$5*IF($N$3=2,1.5,1)*(1+$B$10)^(C36-1),$N$5*(1+$B$10)^(C36-1)))))</f>
        <v>159865016.966266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12007.8987036544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0.0081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12007.8987036544</v>
      </c>
      <c r="K37" s="99" t="n">
        <f aca="false">J37*E37</f>
        <v>97.2639794996007</v>
      </c>
      <c r="L37" s="99" t="n">
        <f aca="false">J37+K37</f>
        <v>12105.162683154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618.963850703836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0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163861642.390423</v>
      </c>
      <c r="U37" s="99" t="n">
        <f aca="false">IF(AND($F$3=4,D37&lt;55),0,IF(D37&lt;50,0,IF(A37&lt;2025,$N$5*(1+$B$10)^(C37-1),IF(AND(D37&gt;59,D37&lt;64),$N$5*IF($N$3=2,1.5,1)*(1+$B$10)^(C37-1),$N$5*(1+$B$10)^(C37-1)))))</f>
        <v>163861642.390423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0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0.0036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0</v>
      </c>
      <c r="K38" s="99" t="n">
        <f aca="false">J38*E38</f>
        <v>0</v>
      </c>
      <c r="L38" s="99" t="n">
        <f aca="false">J38+K38</f>
        <v>0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0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0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167958183.450184</v>
      </c>
      <c r="U38" s="99" t="n">
        <f aca="false">IF(AND($F$3=4,D38&lt;55),0,IF(D38&lt;50,0,IF(A38&lt;2025,$N$5*(1+$B$10)^(C38-1),IF(AND(D38&gt;59,D38&lt;64),$N$5*IF($N$3=2,1.5,1)*(1+$B$10)^(C38-1),$N$5*(1+$B$10)^(C38-1)))))</f>
        <v>167958183.450184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0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0.0007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0</v>
      </c>
      <c r="K39" s="99" t="n">
        <f aca="false">J39*E39</f>
        <v>0</v>
      </c>
      <c r="L39" s="99" t="n">
        <f aca="false">J39+K39</f>
        <v>0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0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0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172157138.036438</v>
      </c>
      <c r="U39" s="99" t="n">
        <f aca="false">IF(AND($F$3=4,D39&lt;55),0,IF(D39&lt;50,0,IF(A39&lt;2025,$N$5*(1+$B$10)^(C39-1),IF(AND(D39&gt;59,D39&lt;64),$N$5*IF($N$3=2,1.5,1)*(1+$B$10)^(C39-1),$N$5*(1+$B$10)^(C39-1)))))</f>
        <v>172157138.036438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0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-0.0156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0</v>
      </c>
      <c r="K40" s="99" t="n">
        <f aca="false">J40*E40</f>
        <v>-0</v>
      </c>
      <c r="L40" s="99" t="n">
        <f aca="false">J40+K40</f>
        <v>0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0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0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176461066.487349</v>
      </c>
      <c r="U40" s="99" t="n">
        <f aca="false">IF(AND($F$3=4,D40&lt;55),0,IF(D40&lt;50,0,IF(A40&lt;2025,$N$5*(1+$B$10)^(C40-1),IF(AND(D40&gt;59,D40&lt;64),$N$5*IF($N$3=2,1.5,1)*(1+$B$10)^(C40-1),$N$5*(1+$B$10)^(C40-1)))))</f>
        <v>176461066.487349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0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0.0049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0</v>
      </c>
      <c r="K41" s="99" t="n">
        <f aca="false">J41*E41</f>
        <v>0</v>
      </c>
      <c r="L41" s="99" t="n">
        <f aca="false">J41+K41</f>
        <v>0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0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0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180872593.149533</v>
      </c>
      <c r="U41" s="99" t="n">
        <f aca="false">IF(AND($F$3=4,D41&lt;55),0,IF(D41&lt;50,0,IF(A41&lt;2025,$N$5*(1+$B$10)^(C41-1),IF(AND(D41&gt;59,D41&lt;64),$N$5*IF($N$3=2,1.5,1)*(1+$B$10)^(C41-1),$N$5*(1+$B$10)^(C41-1)))))</f>
        <v>180872593.149533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0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-0.011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0</v>
      </c>
      <c r="K42" s="99" t="n">
        <f aca="false">J42*E42</f>
        <v>-0</v>
      </c>
      <c r="L42" s="99" t="n">
        <f aca="false">J42+K42</f>
        <v>0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0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0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185394407.978271</v>
      </c>
      <c r="U42" s="99" t="n">
        <f aca="false">IF(AND($F$3=4,D42&lt;55),0,IF(D42&lt;50,0,IF(A42&lt;2025,$N$5*(1+$B$10)^(C42-1),IF(AND(D42&gt;59,D42&lt;64),$N$5*IF($N$3=2,1.5,1)*(1+$B$10)^(C42-1),$N$5*(1+$B$10)^(C42-1)))))</f>
        <v>185394407.978271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0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0.0004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0</v>
      </c>
      <c r="K43" s="99" t="n">
        <f aca="false">J43*E43</f>
        <v>0</v>
      </c>
      <c r="L43" s="99" t="n">
        <f aca="false">J43+K43</f>
        <v>0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0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0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190029268.177728</v>
      </c>
      <c r="U43" s="99" t="n">
        <f aca="false">IF(AND($F$3=4,D43&lt;55),0,IF(D43&lt;50,0,IF(A43&lt;2025,$N$5*(1+$B$10)^(C43-1),IF(AND(D43&gt;59,D43&lt;64),$N$5*IF($N$3=2,1.5,1)*(1+$B$10)^(C43-1),$N$5*(1+$B$10)^(C43-1)))))</f>
        <v>190029268.177728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0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-0.0146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0</v>
      </c>
      <c r="K44" s="99" t="n">
        <f aca="false">J44*E44</f>
        <v>-0</v>
      </c>
      <c r="L44" s="99" t="n">
        <f aca="false">J44+K44</f>
        <v>0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0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0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194779999.882171</v>
      </c>
      <c r="U44" s="99" t="n">
        <f aca="false">IF(AND($F$3=4,D44&lt;55),0,IF(D44&lt;50,0,IF(A44&lt;2025,$N$5*(1+$B$10)^(C44-1),IF(AND(D44&gt;59,D44&lt;64),$N$5*IF($N$3=2,1.5,1)*(1+$B$10)^(C44-1),$N$5*(1+$B$10)^(C44-1)))))</f>
        <v>194779999.882171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0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0.0058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0</v>
      </c>
      <c r="K45" s="99" t="n">
        <f aca="false">J45*E45</f>
        <v>0</v>
      </c>
      <c r="L45" s="99" t="n">
        <f aca="false">J45+K45</f>
        <v>0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0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0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199649499.879225</v>
      </c>
      <c r="U45" s="99" t="n">
        <f aca="false">IF(AND($F$3=4,D45&lt;55),0,IF(D45&lt;50,0,IF(A45&lt;2025,$N$5*(1+$B$10)^(C45-1),IF(AND(D45&gt;59,D45&lt;64),$N$5*IF($N$3=2,1.5,1)*(1+$B$10)^(C45-1),$N$5*(1+$B$10)^(C45-1)))))</f>
        <v>199649499.879225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0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-0.0025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0</v>
      </c>
      <c r="K46" s="99" t="n">
        <f aca="false">J46*E46</f>
        <v>-0</v>
      </c>
      <c r="L46" s="99" t="n">
        <f aca="false">J46+K46</f>
        <v>0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0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204640737.376206</v>
      </c>
      <c r="U46" s="99" t="n">
        <f aca="false">IF(AND($F$3=4,D46&lt;55),0,IF(D46&lt;50,0,IF(A46&lt;2025,$N$5*(1+$B$10)^(C46-1),IF(AND(D46&gt;59,D46&lt;64),$N$5*IF($N$3=2,1.5,1)*(1+$B$10)^(C46-1),$N$5*(1+$B$10)^(C46-1)))))</f>
        <v>204640737.376206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0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0.0084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0</v>
      </c>
      <c r="K47" s="99" t="n">
        <f aca="false">J47*E47</f>
        <v>0</v>
      </c>
      <c r="L47" s="99" t="n">
        <f aca="false">J47+K47</f>
        <v>0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0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209756755.810611</v>
      </c>
      <c r="U47" s="99" t="n">
        <f aca="false">IF(AND($F$3=4,D47&lt;55),0,IF(D47&lt;50,0,IF(A47&lt;2025,$N$5*(1+$B$10)^(C47-1),IF(AND(D47&gt;59,D47&lt;64),$N$5*IF($N$3=2,1.5,1)*(1+$B$10)^(C47-1),$N$5*(1+$B$10)^(C47-1)))))</f>
        <v>209756755.810611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0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-0.0033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0</v>
      </c>
      <c r="K48" s="99" t="n">
        <f aca="false">J48*E48</f>
        <v>-0</v>
      </c>
      <c r="L48" s="99" t="n">
        <f aca="false">J48+K48</f>
        <v>0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0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215000674.705876</v>
      </c>
      <c r="U48" s="99" t="n">
        <f aca="false">IF(AND($F$3=4,D48&lt;55),0,IF(D48&lt;50,0,IF(A48&lt;2025,$N$5*(1+$B$10)^(C48-1),IF(AND(D48&gt;59,D48&lt;64),$N$5*IF($N$3=2,1.5,1)*(1+$B$10)^(C48-1),$N$5*(1+$B$10)^(C48-1)))))</f>
        <v>215000674.705876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0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-0.0132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0</v>
      </c>
      <c r="K49" s="99" t="n">
        <f aca="false">J49*E49</f>
        <v>-0</v>
      </c>
      <c r="L49" s="99" t="n">
        <f aca="false">J49+K49</f>
        <v>0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0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220375691.573523</v>
      </c>
      <c r="U49" s="99" t="n">
        <f aca="false">IF(AND($F$3=4,D49&lt;55),0,IF(D49&lt;50,0,IF(A49&lt;2025,$N$5*(1+$B$10)^(C49-1),IF(AND(D49&gt;59,D49&lt;64),$N$5*IF($N$3=2,1.5,1)*(1+$B$10)^(C49-1),$N$5*(1+$B$10)^(C49-1)))))</f>
        <v>220375691.573523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0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0.0134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0</v>
      </c>
      <c r="K50" s="99" t="n">
        <f aca="false">J50*E50</f>
        <v>0</v>
      </c>
      <c r="L50" s="99" t="n">
        <f aca="false">J50+K50</f>
        <v>0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0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225885083.862861</v>
      </c>
      <c r="U50" s="99" t="n">
        <f aca="false">IF(AND($F$3=4,D50&lt;55),0,IF(D50&lt;50,0,IF(A50&lt;2025,$N$5*(1+$B$10)^(C50-1),IF(AND(D50&gt;59,D50&lt;64),$N$5*IF($N$3=2,1.5,1)*(1+$B$10)^(C50-1),$N$5*(1+$B$10)^(C50-1)))))</f>
        <v>225885083.862861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0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0.011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0</v>
      </c>
      <c r="K51" s="99" t="n">
        <f aca="false">J51*E51</f>
        <v>0</v>
      </c>
      <c r="L51" s="99" t="n">
        <f aca="false">J51+K51</f>
        <v>0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0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231532210.959433</v>
      </c>
      <c r="U51" s="99" t="n">
        <f aca="false">IF(AND($F$3=4,D51&lt;55),0,IF(D51&lt;50,0,IF(A51&lt;2025,$N$5*(1+$B$10)^(C51-1),IF(AND(D51&gt;59,D51&lt;64),$N$5*IF($N$3=2,1.5,1)*(1+$B$10)^(C51-1),$N$5*(1+$B$10)^(C51-1)))))</f>
        <v>231532210.959433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0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-0.0075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0</v>
      </c>
      <c r="K52" s="99" t="n">
        <f aca="false">J52*E52</f>
        <v>-0</v>
      </c>
      <c r="L52" s="99" t="n">
        <f aca="false">J52+K52</f>
        <v>0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0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237320516.233419</v>
      </c>
      <c r="U52" s="99" t="n">
        <f aca="false">IF(AND($F$3=4,D52&lt;55),0,IF(D52&lt;50,0,IF(A52&lt;2025,$N$5*(1+$B$10)^(C52-1),IF(AND(D52&gt;59,D52&lt;64),$N$5*IF($N$3=2,1.5,1)*(1+$B$10)^(C52-1),$N$5*(1+$B$10)^(C52-1)))))</f>
        <v>237320516.233419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0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-0.0181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0</v>
      </c>
      <c r="K53" s="99" t="n">
        <f aca="false">J53*E53</f>
        <v>-0</v>
      </c>
      <c r="L53" s="99" t="n">
        <f aca="false">J53+K53</f>
        <v>0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0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243253529.139254</v>
      </c>
      <c r="U53" s="99" t="n">
        <f aca="false">IF(AND($F$3=4,D53&lt;55),0,IF(D53&lt;50,0,IF(A53&lt;2025,$N$5*(1+$B$10)^(C53-1),IF(AND(D53&gt;59,D53&lt;64),$N$5*IF($N$3=2,1.5,1)*(1+$B$10)^(C53-1),$N$5*(1+$B$10)^(C53-1)))))</f>
        <v>243253529.139254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0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-0.037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0</v>
      </c>
      <c r="K54" s="99" t="n">
        <f aca="false">J54*E54</f>
        <v>-0</v>
      </c>
      <c r="L54" s="99" t="n">
        <f aca="false">J54+K54</f>
        <v>0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0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249334867.367735</v>
      </c>
      <c r="U54" s="99" t="n">
        <f aca="false">IF(AND($F$3=4,D54&lt;55),0,IF(D54&lt;50,0,IF(A54&lt;2025,$N$5*(1+$B$10)^(C54-1),IF(AND(D54&gt;59,D54&lt;64),$N$5*IF($N$3=2,1.5,1)*(1+$B$10)^(C54-1),$N$5*(1+$B$10)^(C54-1)))))</f>
        <v>249334867.367735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0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56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65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Maximum Allowable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SEP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SEP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None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207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SEP with None / Maximum Allowable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65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66000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66000</v>
      </c>
      <c r="W17" s="99" t="n">
        <f aca="false">MIN(R17,T17)</f>
        <v>0</v>
      </c>
      <c r="X17" s="99" t="n">
        <f aca="false">MIN(U17,R17-W17)</f>
        <v>0</v>
      </c>
      <c r="Y17" s="99" t="n">
        <f aca="false">MIN(S17,V17)</f>
        <v>66000</v>
      </c>
      <c r="Z17" s="99" t="n">
        <f aca="false">W17+X17+Y17</f>
        <v>66000</v>
      </c>
      <c r="AA17" s="100" t="n">
        <f aca="false">Q17+Z17</f>
        <v>2248400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66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2248400</v>
      </c>
      <c r="K18" s="99" t="n">
        <f aca="false">J18*E18</f>
        <v>107698.36</v>
      </c>
      <c r="L18" s="99" t="n">
        <f aca="false">J18+K18</f>
        <v>2356098.36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2356098.36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67650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67650</v>
      </c>
      <c r="W18" s="99" t="n">
        <f aca="false">MIN(R18,T18)</f>
        <v>0</v>
      </c>
      <c r="X18" s="99" t="n">
        <f aca="false">MIN(U18,R18-W18)</f>
        <v>0</v>
      </c>
      <c r="Y18" s="99" t="n">
        <f aca="false">MIN(S18,V18)</f>
        <v>67650</v>
      </c>
      <c r="Z18" s="99" t="n">
        <f aca="false">W18+X18+Y18</f>
        <v>67650</v>
      </c>
      <c r="AA18" s="100" t="n">
        <f aca="false">Q18+W18+X18+Y18</f>
        <v>2423748.36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67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2423748.36</v>
      </c>
      <c r="K19" s="99" t="n">
        <f aca="false">J19*E19</f>
        <v>51625.840068</v>
      </c>
      <c r="L19" s="99" t="n">
        <f aca="false">J19+K19</f>
        <v>2475374.200068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2475374.200068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69341.25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7879.6875</v>
      </c>
      <c r="V19" s="99" t="n">
        <f aca="false">IF($N$3=1,0,$N$6*(1+$B$10)^(C19-1)-W19)</f>
        <v>69341.25</v>
      </c>
      <c r="W19" s="99" t="n">
        <f aca="false">MIN(R19,T19)</f>
        <v>0</v>
      </c>
      <c r="X19" s="99" t="n">
        <f aca="false">MIN(U19,R19-W19)</f>
        <v>0</v>
      </c>
      <c r="Y19" s="99" t="n">
        <f aca="false">MIN(S19,V19)</f>
        <v>69341.25</v>
      </c>
      <c r="Z19" s="99" t="n">
        <f aca="false">W19+X19+Y19</f>
        <v>69341.25</v>
      </c>
      <c r="AA19" s="100" t="n">
        <f aca="false">Q19+W19+X19+Y19</f>
        <v>2544715.450068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68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2544715.450068</v>
      </c>
      <c r="K20" s="99" t="n">
        <f aca="false">J20*E20</f>
        <v>279918.69950748</v>
      </c>
      <c r="L20" s="99" t="n">
        <f aca="false">J20+K20</f>
        <v>2824634.14957548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2824634.14957548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71074.78125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71074.78125</v>
      </c>
      <c r="W20" s="99" t="n">
        <f aca="false">MIN(R20,T20)</f>
        <v>0</v>
      </c>
      <c r="X20" s="99" t="n">
        <f aca="false">MIN(U20,R20-W20)</f>
        <v>0</v>
      </c>
      <c r="Y20" s="99" t="n">
        <f aca="false">MIN(S20,V20)</f>
        <v>71074.78125</v>
      </c>
      <c r="Z20" s="99" t="n">
        <f aca="false">W20+X20+Y20</f>
        <v>71074.78125</v>
      </c>
      <c r="AA20" s="100" t="n">
        <f aca="false">Q20+W20+X20+Y20</f>
        <v>2895708.93082548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69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2895708.93082548</v>
      </c>
      <c r="K21" s="99" t="n">
        <f aca="false">J21*E21</f>
        <v>232235.856252203</v>
      </c>
      <c r="L21" s="99" t="n">
        <f aca="false">J21+K21</f>
        <v>3127944.78707768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3127944.78707768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72851.65078125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72851.65078125</v>
      </c>
      <c r="Z21" s="99" t="n">
        <f aca="false">W21+X21+Y21</f>
        <v>72851.65078125</v>
      </c>
      <c r="AA21" s="100" t="n">
        <f aca="false">Q21+W21+X21+Y21</f>
        <v>3200796.43785893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70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3200796.43785893</v>
      </c>
      <c r="K22" s="99" t="n">
        <f aca="false">J22*E22</f>
        <v>261825.148616861</v>
      </c>
      <c r="L22" s="99" t="n">
        <f aca="false">J22+K22</f>
        <v>3462621.58647579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3462621.58647579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74672.9420507812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74672.9420507812</v>
      </c>
      <c r="Z22" s="99" t="n">
        <f aca="false">W22+X22+Y22</f>
        <v>74672.9420507812</v>
      </c>
      <c r="AA22" s="100" t="n">
        <f aca="false">Q22+W22+X22+Y22</f>
        <v>3537294.52852657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71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3537294.52852657</v>
      </c>
      <c r="K23" s="99" t="n">
        <f aca="false">J23*E23</f>
        <v>356559.288475479</v>
      </c>
      <c r="L23" s="99" t="n">
        <f aca="false">J23+K23</f>
        <v>3893853.81700205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3893853.81700205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76539.7656020507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76539.7656020507</v>
      </c>
      <c r="Z23" s="99" t="n">
        <f aca="false">W23+X23+Y23</f>
        <v>76539.7656020507</v>
      </c>
      <c r="AA23" s="100" t="n">
        <f aca="false">Q23+W23+X23+Y23</f>
        <v>3970393.5826041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72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3970393.5826041</v>
      </c>
      <c r="K24" s="99" t="n">
        <f aca="false">J24*E24</f>
        <v>-195343.364264122</v>
      </c>
      <c r="L24" s="99" t="n">
        <f aca="false">J24+K24</f>
        <v>3775050.21833998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3775050.21833998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78453.259742102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78453.259742102</v>
      </c>
      <c r="Z24" s="99" t="n">
        <f aca="false">W24+X24+Y24</f>
        <v>78453.259742102</v>
      </c>
      <c r="AA24" s="100" t="n">
        <f aca="false">Q24+W24+X24+Y24</f>
        <v>3853503.47808208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73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3853503.47808208</v>
      </c>
      <c r="K25" s="99" t="n">
        <f aca="false">J25*E25</f>
        <v>47398.0927804096</v>
      </c>
      <c r="L25" s="99" t="n">
        <f aca="false">J25+K25</f>
        <v>3900901.57086249</v>
      </c>
      <c r="M25" s="101" t="n">
        <f aca="false">IF(D25="-","-",IF($F$4="Roth","-",IF($E$3="Health Savings Account","-",IF(AND(A25=2033,D25=74),VLOOKUP(D25,Tables!G:H,2,FALSE()),IF(AND(A25&gt;2032,D25&lt;75),"-",IF(D25&lt;73,"-",VLOOKUP(D25,Tables!G:H,2,FALSE())))))))</f>
        <v>26.5</v>
      </c>
      <c r="N25" s="99" t="n">
        <f aca="false">IF($M25="-",0,J25/$M25)</f>
        <v>145415.225588003</v>
      </c>
      <c r="O25" s="99" t="n">
        <f aca="false">IF(D25&gt;$B$4,0,IF(D25&lt;$B$3,0,$B$8*(1+$B$10)^(C25-1)))</f>
        <v>0</v>
      </c>
      <c r="P25" s="99" t="n">
        <f aca="false">MAX(N25,O25)</f>
        <v>145415.225588003</v>
      </c>
      <c r="Q25" s="99" t="n">
        <f aca="false">MAX(0,L25-P25)</f>
        <v>3755486.34527449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80414.5912356545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80414.5912356545</v>
      </c>
      <c r="Z25" s="99" t="n">
        <f aca="false">W25+X25+Y25</f>
        <v>80414.5912356545</v>
      </c>
      <c r="AA25" s="100" t="n">
        <f aca="false">Q25+W25+X25+Y25</f>
        <v>3835900.93651015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74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3835900.93651015</v>
      </c>
      <c r="K26" s="99" t="n">
        <f aca="false">J26*E26</f>
        <v>245881.2500303</v>
      </c>
      <c r="L26" s="99" t="n">
        <f aca="false">J26+K26</f>
        <v>4081782.18654045</v>
      </c>
      <c r="M26" s="101" t="n">
        <f aca="false">IF(D26="-","-",IF($F$4="Roth","-",IF($E$3="Health Savings Account","-",IF(AND(A26=2033,D26=74),VLOOKUP(D26,Tables!G:H,2,FALSE()),IF(AND(A26&gt;2032,D26&lt;75),"-",IF(D26&lt;73,"-",VLOOKUP(D26,Tables!G:H,2,FALSE())))))))</f>
        <v>25.5</v>
      </c>
      <c r="N26" s="99" t="n">
        <f aca="false">IF($M26="-",0,J26/$M26)</f>
        <v>150427.48770628</v>
      </c>
      <c r="O26" s="99" t="n">
        <f aca="false">IF(D26&gt;$B$4,0,IF(D26&lt;$B$3,0,$B$8*(1+$B$10)^(C26-1)))</f>
        <v>0</v>
      </c>
      <c r="P26" s="99" t="n">
        <f aca="false">MAX(N26,O26)</f>
        <v>150427.48770628</v>
      </c>
      <c r="Q26" s="99" t="n">
        <f aca="false">MAX(0,L26-P26)</f>
        <v>3931354.69883417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82424.9560165459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82424.9560165459</v>
      </c>
      <c r="Z26" s="99" t="n">
        <f aca="false">W26+X26+Y26</f>
        <v>82424.9560165459</v>
      </c>
      <c r="AA26" s="100" t="n">
        <f aca="false">Q26+W26+X26+Y26</f>
        <v>4013779.65485071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75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4013779.65485071</v>
      </c>
      <c r="K27" s="99" t="n">
        <f aca="false">J27*E27</f>
        <v>429875.801034511</v>
      </c>
      <c r="L27" s="99" t="n">
        <f aca="false">J27+K27</f>
        <v>4443655.45588522</v>
      </c>
      <c r="M27" s="101" t="n">
        <f aca="false">IF(D27="-","-",IF($F$4="Roth","-",IF($E$3="Health Savings Account","-",IF(AND(A27=2033,D27=74),VLOOKUP(D27,Tables!G:H,2,FALSE()),IF(AND(A27&gt;2032,D27&lt;75),"-",IF(D27&lt;73,"-",VLOOKUP(D27,Tables!G:H,2,FALSE())))))))</f>
        <v>24.6</v>
      </c>
      <c r="N27" s="99" t="n">
        <f aca="false">IF($M27="-",0,J27/$M27)</f>
        <v>163161.774587427</v>
      </c>
      <c r="O27" s="99" t="n">
        <f aca="false">IF(D27&gt;$B$4,0,IF(D27&lt;$B$3,0,$B$8*(1+$B$10)^(C27-1)))</f>
        <v>0</v>
      </c>
      <c r="P27" s="99" t="n">
        <f aca="false">MAX(N27,O27)</f>
        <v>163161.774587427</v>
      </c>
      <c r="Q27" s="99" t="n">
        <f aca="false">MAX(0,L27-P27)</f>
        <v>4280493.6812978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84485.5799169596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84485.5799169596</v>
      </c>
      <c r="Z27" s="99" t="n">
        <f aca="false">W27+X27+Y27</f>
        <v>84485.5799169596</v>
      </c>
      <c r="AA27" s="100" t="n">
        <f aca="false">Q27+W27+X27+Y27</f>
        <v>4364979.26121476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76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4364979.26121476</v>
      </c>
      <c r="K28" s="99" t="n">
        <f aca="false">J28*E28</f>
        <v>284160.149905081</v>
      </c>
      <c r="L28" s="99" t="n">
        <f aca="false">J28+K28</f>
        <v>4649139.41111984</v>
      </c>
      <c r="M28" s="101" t="n">
        <f aca="false">IF(D28="-","-",IF($F$4="Roth","-",IF($E$3="Health Savings Account","-",IF(AND(A28=2033,D28=74),VLOOKUP(D28,Tables!G:H,2,FALSE()),IF(AND(A28&gt;2032,D28&lt;75),"-",IF(D28&lt;73,"-",VLOOKUP(D28,Tables!G:H,2,FALSE())))))))</f>
        <v>23.7</v>
      </c>
      <c r="N28" s="99" t="n">
        <f aca="false">IF($M28="-",0,J28/$M28)</f>
        <v>184176.340135644</v>
      </c>
      <c r="O28" s="99" t="n">
        <f aca="false">IF(D28&gt;$B$4,0,IF(D28&lt;$B$3,0,$B$8*(1+$B$10)^(C28-1)))</f>
        <v>131208.665780127</v>
      </c>
      <c r="P28" s="99" t="n">
        <f aca="false">MAX(N28,O28)</f>
        <v>184176.340135644</v>
      </c>
      <c r="Q28" s="99" t="n">
        <f aca="false">MAX(0,L28-P28)</f>
        <v>4464963.07098419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4464963.07098419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77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4464963.07098419</v>
      </c>
      <c r="K29" s="99" t="n">
        <f aca="false">J29*E29</f>
        <v>357197.045678735</v>
      </c>
      <c r="L29" s="99" t="n">
        <f aca="false">J29+K29</f>
        <v>4822160.11666293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22.9</v>
      </c>
      <c r="N29" s="99" t="n">
        <f aca="false">IF($M29="-",0,J29/$M29)</f>
        <v>194976.553318087</v>
      </c>
      <c r="O29" s="99" t="n">
        <f aca="false">IF(D29&gt;$B$4,0,IF(D29&lt;$B$3,0,$B$8*(1+$B$10)^(C29-1)))</f>
        <v>134488.88242463</v>
      </c>
      <c r="P29" s="99" t="n">
        <f aca="false">MAX(N29,O29)</f>
        <v>194976.553318087</v>
      </c>
      <c r="Q29" s="99" t="n">
        <f aca="false">MAX(0,L29-P29)</f>
        <v>4627183.56334484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4627183.56334484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78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4627183.56334484</v>
      </c>
      <c r="K30" s="99" t="n">
        <f aca="false">J30*E30</f>
        <v>143905.408820025</v>
      </c>
      <c r="L30" s="99" t="n">
        <f aca="false">J30+K30</f>
        <v>4771088.97216487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22</v>
      </c>
      <c r="N30" s="99" t="n">
        <f aca="false">IF($M30="-",0,J30/$M30)</f>
        <v>210326.525606584</v>
      </c>
      <c r="O30" s="99" t="n">
        <f aca="false">IF(D30&gt;$B$4,0,IF(D30&lt;$B$3,0,$B$8*(1+$B$10)^(C30-1)))</f>
        <v>137851.104485245</v>
      </c>
      <c r="P30" s="99" t="n">
        <f aca="false">MAX(N30,O30)</f>
        <v>210326.525606584</v>
      </c>
      <c r="Q30" s="99" t="n">
        <f aca="false">MAX(0,L30-P30)</f>
        <v>4560762.44655828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4560762.44655828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79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4560762.44655828</v>
      </c>
      <c r="K31" s="99" t="n">
        <f aca="false">J31*E31</f>
        <v>256770.925741231</v>
      </c>
      <c r="L31" s="99" t="n">
        <f aca="false">J31+K31</f>
        <v>4817533.37229951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21.1</v>
      </c>
      <c r="N31" s="99" t="n">
        <f aca="false">IF($M31="-",0,J31/$M31)</f>
        <v>216149.878983805</v>
      </c>
      <c r="O31" s="99" t="n">
        <f aca="false">IF(D31&gt;$B$4,0,IF(D31&lt;$B$3,0,$B$8*(1+$B$10)^(C31-1)))</f>
        <v>141297.382097377</v>
      </c>
      <c r="P31" s="99" t="n">
        <f aca="false">MAX(N31,O31)</f>
        <v>216149.878983805</v>
      </c>
      <c r="Q31" s="99" t="n">
        <f aca="false">MAX(0,L31-P31)</f>
        <v>4601383.49331571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4601383.49331571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80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4601383.49331571</v>
      </c>
      <c r="K32" s="99" t="n">
        <f aca="false">J32*E32</f>
        <v>125157.631018187</v>
      </c>
      <c r="L32" s="99" t="n">
        <f aca="false">J32+K32</f>
        <v>4726541.1243339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20.2</v>
      </c>
      <c r="N32" s="99" t="n">
        <f aca="false">IF($M32="-",0,J32/$M32)</f>
        <v>227791.262045332</v>
      </c>
      <c r="O32" s="99" t="n">
        <f aca="false">IF(D32&gt;$B$4,0,IF(D32&lt;$B$3,0,$B$8*(1+$B$10)^(C32-1)))</f>
        <v>144829.816649811</v>
      </c>
      <c r="P32" s="99" t="n">
        <f aca="false">MAX(N32,O32)</f>
        <v>227791.262045332</v>
      </c>
      <c r="Q32" s="99" t="n">
        <f aca="false">MAX(0,L32-P32)</f>
        <v>4498749.86228856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4498749.86228856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81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4498749.86228856</v>
      </c>
      <c r="K33" s="99" t="n">
        <f aca="false">J33*E33</f>
        <v>741393.977305155</v>
      </c>
      <c r="L33" s="99" t="n">
        <f aca="false">J33+K33</f>
        <v>5240143.83959372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19.4</v>
      </c>
      <c r="N33" s="99" t="n">
        <f aca="false">IF($M33="-",0,J33/$M33)</f>
        <v>231894.32279838</v>
      </c>
      <c r="O33" s="99" t="n">
        <f aca="false">IF(D33&gt;$B$4,0,IF(D33&lt;$B$3,0,$B$8*(1+$B$10)^(C33-1)))</f>
        <v>148450.562066056</v>
      </c>
      <c r="P33" s="99" t="n">
        <f aca="false">MAX(N33,O33)</f>
        <v>231894.32279838</v>
      </c>
      <c r="Q33" s="99" t="n">
        <f aca="false">MAX(0,L33-P33)</f>
        <v>5008249.51679534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5008249.51679534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82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5008249.51679534</v>
      </c>
      <c r="K34" s="99" t="n">
        <f aca="false">J34*E34</f>
        <v>-338056.842383685</v>
      </c>
      <c r="L34" s="99" t="n">
        <f aca="false">J34+K34</f>
        <v>4670192.67441165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18.5</v>
      </c>
      <c r="N34" s="99" t="n">
        <f aca="false">IF($M34="-",0,J34/$M34)</f>
        <v>270716.190097045</v>
      </c>
      <c r="O34" s="99" t="n">
        <f aca="false">IF(D34&gt;$B$4,0,IF(D34&lt;$B$3,0,$B$8*(1+$B$10)^(C34-1)))</f>
        <v>152161.826117708</v>
      </c>
      <c r="P34" s="99" t="n">
        <f aca="false">MAX(N34,O34)</f>
        <v>270716.190097045</v>
      </c>
      <c r="Q34" s="99" t="n">
        <f aca="false">MAX(0,L34-P34)</f>
        <v>4399476.48431461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4399476.48431461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83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4399476.48431461</v>
      </c>
      <c r="K35" s="99" t="n">
        <f aca="false">J35*E35</f>
        <v>584250.47711698</v>
      </c>
      <c r="L35" s="99" t="n">
        <f aca="false">J35+K35</f>
        <v>4983726.96143159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17.7</v>
      </c>
      <c r="N35" s="99" t="n">
        <f aca="false">IF($M35="-",0,J35/$M35)</f>
        <v>248557.993464102</v>
      </c>
      <c r="O35" s="99" t="n">
        <f aca="false">IF(D35&gt;$B$4,0,IF(D35&lt;$B$3,0,$B$8*(1+$B$10)^(C35-1)))</f>
        <v>155965.87177065</v>
      </c>
      <c r="P35" s="99" t="n">
        <f aca="false">MAX(N35,O35)</f>
        <v>248557.993464102</v>
      </c>
      <c r="Q35" s="99" t="n">
        <f aca="false">MAX(0,L35-P35)</f>
        <v>4735168.96796749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4735168.96796749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84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4735168.96796749</v>
      </c>
      <c r="K36" s="99" t="n">
        <f aca="false">J36*E36</f>
        <v>216870.738732911</v>
      </c>
      <c r="L36" s="99" t="n">
        <f aca="false">J36+K36</f>
        <v>4952039.7067004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16.8</v>
      </c>
      <c r="N36" s="99" t="n">
        <f aca="false">IF($M36="-",0,J36/$M36)</f>
        <v>281855.29571235</v>
      </c>
      <c r="O36" s="99" t="n">
        <f aca="false">IF(D36&gt;$B$4,0,IF(D36&lt;$B$3,0,$B$8*(1+$B$10)^(C36-1)))</f>
        <v>159865.018564917</v>
      </c>
      <c r="P36" s="99" t="n">
        <f aca="false">MAX(N36,O36)</f>
        <v>281855.29571235</v>
      </c>
      <c r="Q36" s="99" t="n">
        <f aca="false">MAX(0,L36-P36)</f>
        <v>4670184.41098805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4670184.41098805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85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4670184.41098805</v>
      </c>
      <c r="K37" s="99" t="n">
        <f aca="false">J37*E37</f>
        <v>422184.670753319</v>
      </c>
      <c r="L37" s="99" t="n">
        <f aca="false">J37+K37</f>
        <v>5092369.08174137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16</v>
      </c>
      <c r="N37" s="99" t="n">
        <f aca="false">IF($M37="-",0,J37/$M37)</f>
        <v>291886.525686753</v>
      </c>
      <c r="O37" s="99" t="n">
        <f aca="false">IF(D37&gt;$B$4,0,IF(D37&lt;$B$3,0,$B$8*(1+$B$10)^(C37-1)))</f>
        <v>163861.644029039</v>
      </c>
      <c r="P37" s="99" t="n">
        <f aca="false">MAX(N37,O37)</f>
        <v>291886.525686753</v>
      </c>
      <c r="Q37" s="99" t="n">
        <f aca="false">MAX(0,L37-P37)</f>
        <v>4800482.55605461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4800482.55605461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86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4800482.55605461</v>
      </c>
      <c r="K38" s="99" t="n">
        <f aca="false">J38*E38</f>
        <v>325472.717300503</v>
      </c>
      <c r="L38" s="99" t="n">
        <f aca="false">J38+K38</f>
        <v>5125955.27335512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15.2</v>
      </c>
      <c r="N38" s="99" t="n">
        <f aca="false">IF($M38="-",0,J38/$M38)</f>
        <v>315821.220793067</v>
      </c>
      <c r="O38" s="99" t="n">
        <f aca="false">IF(D38&gt;$B$4,0,IF(D38&lt;$B$3,0,$B$8*(1+$B$10)^(C38-1)))</f>
        <v>167958.185129765</v>
      </c>
      <c r="P38" s="99" t="n">
        <f aca="false">MAX(N38,O38)</f>
        <v>315821.220793067</v>
      </c>
      <c r="Q38" s="99" t="n">
        <f aca="false">MAX(0,L38-P38)</f>
        <v>4810134.05256205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4810134.05256205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87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4810134.05256205</v>
      </c>
      <c r="K39" s="99" t="n">
        <f aca="false">J39*E39</f>
        <v>256380.145001557</v>
      </c>
      <c r="L39" s="99" t="n">
        <f aca="false">J39+K39</f>
        <v>5066514.19756361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14.4</v>
      </c>
      <c r="N39" s="99" t="n">
        <f aca="false">IF($M39="-",0,J39/$M39)</f>
        <v>334037.086983476</v>
      </c>
      <c r="O39" s="99" t="n">
        <f aca="false">IF(D39&gt;$B$4,0,IF(D39&lt;$B$3,0,$B$8*(1+$B$10)^(C39-1)))</f>
        <v>172157.13975801</v>
      </c>
      <c r="P39" s="99" t="n">
        <f aca="false">MAX(N39,O39)</f>
        <v>334037.086983476</v>
      </c>
      <c r="Q39" s="99" t="n">
        <f aca="false">MAX(0,L39-P39)</f>
        <v>4732477.11058013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4732477.11058013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88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4732477.11058013</v>
      </c>
      <c r="K40" s="99" t="n">
        <f aca="false">J40*E40</f>
        <v>351149.801605046</v>
      </c>
      <c r="L40" s="99" t="n">
        <f aca="false">J40+K40</f>
        <v>5083626.91218518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13.7</v>
      </c>
      <c r="N40" s="99" t="n">
        <f aca="false">IF($M40="-",0,J40/$M40)</f>
        <v>345436.285443805</v>
      </c>
      <c r="O40" s="99" t="n">
        <f aca="false">IF(D40&gt;$B$4,0,IF(D40&lt;$B$3,0,$B$8*(1+$B$10)^(C40-1)))</f>
        <v>176461.06825196</v>
      </c>
      <c r="P40" s="99" t="n">
        <f aca="false">MAX(N40,O40)</f>
        <v>345436.285443805</v>
      </c>
      <c r="Q40" s="99" t="n">
        <f aca="false">MAX(0,L40-P40)</f>
        <v>4738190.62674137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4738190.62674137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89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4738190.62674137</v>
      </c>
      <c r="K41" s="99" t="n">
        <f aca="false">J41*E41</f>
        <v>307982.390738189</v>
      </c>
      <c r="L41" s="99" t="n">
        <f aca="false">J41+K41</f>
        <v>5046173.01747956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12.9</v>
      </c>
      <c r="N41" s="99" t="n">
        <f aca="false">IF($M41="-",0,J41/$M41)</f>
        <v>367301.598972199</v>
      </c>
      <c r="O41" s="99" t="n">
        <f aca="false">IF(D41&gt;$B$4,0,IF(D41&lt;$B$3,0,$B$8*(1+$B$10)^(C41-1)))</f>
        <v>180872.594958259</v>
      </c>
      <c r="P41" s="99" t="n">
        <f aca="false">MAX(N41,O41)</f>
        <v>367301.598972199</v>
      </c>
      <c r="Q41" s="99" t="n">
        <f aca="false">MAX(0,L41-P41)</f>
        <v>4678871.41850736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4678871.41850736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90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4678871.41850736</v>
      </c>
      <c r="K42" s="99" t="n">
        <f aca="false">J42*E42</f>
        <v>-163760.499647758</v>
      </c>
      <c r="L42" s="99" t="n">
        <f aca="false">J42+K42</f>
        <v>4515110.9188596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12.2</v>
      </c>
      <c r="N42" s="99" t="n">
        <f aca="false">IF($M42="-",0,J42/$M42)</f>
        <v>383514.050697325</v>
      </c>
      <c r="O42" s="99" t="n">
        <f aca="false">IF(D42&gt;$B$4,0,IF(D42&lt;$B$3,0,$B$8*(1+$B$10)^(C42-1)))</f>
        <v>185394.409832215</v>
      </c>
      <c r="P42" s="99" t="n">
        <f aca="false">MAX(N42,O42)</f>
        <v>383514.050697325</v>
      </c>
      <c r="Q42" s="99" t="n">
        <f aca="false">MAX(0,L42-P42)</f>
        <v>4131596.86816228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4131596.86816228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str">
        <f aca="false">IF(D42="-","-",IF(D42+1&gt;B$4,"-",D42+1))</f>
        <v>-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4131596.86816228</v>
      </c>
      <c r="K43" s="99" t="n">
        <f aca="false">J43*E43</f>
        <v>330527.749452982</v>
      </c>
      <c r="L43" s="99" t="n">
        <f aca="false">J43+K43</f>
        <v>4462124.61761526</v>
      </c>
      <c r="M43" s="101" t="str">
        <f aca="false">IF(D43="-","-",IF($F$4="Roth","-",IF($E$3="Health Savings Account","-",IF(AND(A43=2033,D43=74),VLOOKUP(D43,Tables!G:H,2,FALSE()),IF(AND(A43&gt;2032,D43&lt;75),"-",IF(D43&lt;73,"-",VLOOKUP(D43,Tables!G:H,2,FALSE())))))))</f>
        <v>-</v>
      </c>
      <c r="N43" s="99" t="n">
        <f aca="false">IF($M43="-",0,J43/$M43)</f>
        <v>0</v>
      </c>
      <c r="O43" s="99" t="n">
        <f aca="false">IF(D43&gt;$B$4,0,IF(D43&lt;$B$3,0,$B$8*(1+$B$10)^(C43-1)))</f>
        <v>0</v>
      </c>
      <c r="P43" s="99" t="n">
        <f aca="false">MAX(N43,O43)</f>
        <v>0</v>
      </c>
      <c r="Q43" s="99" t="n">
        <f aca="false">MAX(0,L43-P43)</f>
        <v>4462124.61761526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4462124.61761526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str">
        <f aca="false">IF(D43="-","-",IF(D43+1&gt;B$4,"-",D43+1))</f>
        <v>-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4462124.61761526</v>
      </c>
      <c r="K44" s="99" t="n">
        <f aca="false">J44*E44</f>
        <v>241847.154274747</v>
      </c>
      <c r="L44" s="99" t="n">
        <f aca="false">J44+K44</f>
        <v>4703971.77189001</v>
      </c>
      <c r="M44" s="101" t="str">
        <f aca="false">IF(D44="-","-",IF($F$4="Roth","-",IF($E$3="Health Savings Account","-",IF(AND(A44=2033,D44=74),VLOOKUP(D44,Tables!G:H,2,FALSE()),IF(AND(A44&gt;2032,D44&lt;75),"-",IF(D44&lt;73,"-",VLOOKUP(D44,Tables!G:H,2,FALSE())))))))</f>
        <v>-</v>
      </c>
      <c r="N44" s="99" t="n">
        <f aca="false">IF($M44="-",0,J44/$M44)</f>
        <v>0</v>
      </c>
      <c r="O44" s="99" t="n">
        <f aca="false">IF(D44&gt;$B$4,0,IF(D44&lt;$B$3,0,$B$8*(1+$B$10)^(C44-1)))</f>
        <v>0</v>
      </c>
      <c r="P44" s="99" t="n">
        <f aca="false">MAX(N44,O44)</f>
        <v>0</v>
      </c>
      <c r="Q44" s="99" t="n">
        <f aca="false">MAX(0,L44-P44)</f>
        <v>4703971.77189001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4703971.77189001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4703971.77189001</v>
      </c>
      <c r="K45" s="99" t="n">
        <f aca="false">J45*E45</f>
        <v>372084.1671565</v>
      </c>
      <c r="L45" s="99" t="n">
        <f aca="false">J45+K45</f>
        <v>5076055.93904651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5076055.93904651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5076055.93904651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5076055.93904651</v>
      </c>
      <c r="K46" s="99" t="n">
        <f aca="false">J46*E46</f>
        <v>191367.308902053</v>
      </c>
      <c r="L46" s="99" t="n">
        <f aca="false">J46+K46</f>
        <v>5267423.24794856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5267423.24794856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5267423.24794856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5267423.24794856</v>
      </c>
      <c r="K47" s="99" t="n">
        <f aca="false">J47*E47</f>
        <v>484076.196486473</v>
      </c>
      <c r="L47" s="99" t="n">
        <f aca="false">J47+K47</f>
        <v>5751499.44443503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5751499.44443503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5751499.44443503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5751499.44443503</v>
      </c>
      <c r="K48" s="99" t="n">
        <f aca="false">J48*E48</f>
        <v>193825.531277461</v>
      </c>
      <c r="L48" s="99" t="n">
        <f aca="false">J48+K48</f>
        <v>5945324.9757125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5945324.9757125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5945324.9757125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5945324.9757125</v>
      </c>
      <c r="K49" s="99" t="n">
        <f aca="false">J49*E49</f>
        <v>267539.623907062</v>
      </c>
      <c r="L49" s="99" t="n">
        <f aca="false">J49+K49</f>
        <v>6212864.59961956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6212864.59961956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6212864.59961956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6212864.59961956</v>
      </c>
      <c r="K50" s="99" t="n">
        <f aca="false">J50*E50</f>
        <v>683415.105958151</v>
      </c>
      <c r="L50" s="99" t="n">
        <f aca="false">J50+K50</f>
        <v>6896279.70557771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6896279.70557771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6896279.70557771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6896279.70557771</v>
      </c>
      <c r="K51" s="99" t="n">
        <f aca="false">J51*E51</f>
        <v>603424.47423805</v>
      </c>
      <c r="L51" s="99" t="n">
        <f aca="false">J51+K51</f>
        <v>7499704.17981576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7499704.17981576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7499704.17981576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7499704.17981576</v>
      </c>
      <c r="K52" s="99" t="n">
        <f aca="false">J52*E52</f>
        <v>-350236.185197396</v>
      </c>
      <c r="L52" s="99" t="n">
        <f aca="false">J52+K52</f>
        <v>7149467.99461836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7149467.99461836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7149467.99461836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7149467.99461836</v>
      </c>
      <c r="K53" s="99" t="n">
        <f aca="false">J53*E53</f>
        <v>-506182.33401898</v>
      </c>
      <c r="L53" s="99" t="n">
        <f aca="false">J53+K53</f>
        <v>6643285.66059938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6643285.66059938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6643285.66059938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6643285.66059938</v>
      </c>
      <c r="K54" s="99" t="n">
        <f aca="false">J54*E54</f>
        <v>-895514.907048797</v>
      </c>
      <c r="L54" s="99" t="n">
        <f aca="false">J54+K54</f>
        <v>5747770.75355059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5747770.75355059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5747770.75355059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57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Monthly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SEP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SEP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None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0.04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208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SEP with None / Monthly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0.0729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145800</v>
      </c>
      <c r="L17" s="99" t="n">
        <f aca="false">J17+K17</f>
        <v>2145800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2145800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12000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66000</v>
      </c>
      <c r="W17" s="99" t="n">
        <f aca="false">MIN(R17,T17)</f>
        <v>0</v>
      </c>
      <c r="X17" s="99" t="n">
        <f aca="false">MIN(U17,R17-W17)</f>
        <v>0</v>
      </c>
      <c r="Y17" s="99" t="n">
        <f aca="false">MIN(S17,V17)</f>
        <v>12000</v>
      </c>
      <c r="Z17" s="99" t="n">
        <f aca="false">W17+X17+Y17</f>
        <v>12000</v>
      </c>
      <c r="AA17" s="100" t="n">
        <f aca="false">Q17+Z17</f>
        <v>2157800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0.0383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2157800</v>
      </c>
      <c r="K18" s="99" t="n">
        <f aca="false">J18*E18</f>
        <v>82643.74</v>
      </c>
      <c r="L18" s="99" t="n">
        <f aca="false">J18+K18</f>
        <v>2240443.74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2240443.74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12000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67650</v>
      </c>
      <c r="W18" s="99" t="n">
        <f aca="false">MIN(R18,T18)</f>
        <v>0</v>
      </c>
      <c r="X18" s="99" t="n">
        <f aca="false">MIN(U18,R18-W18)</f>
        <v>0</v>
      </c>
      <c r="Y18" s="99" t="n">
        <f aca="false">MIN(S18,V18)</f>
        <v>12000</v>
      </c>
      <c r="Z18" s="99" t="n">
        <f aca="false">W18+X18+Y18</f>
        <v>12000</v>
      </c>
      <c r="AA18" s="100" t="n">
        <f aca="false">Q18+W18+X18+Y18</f>
        <v>2252443.74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0.0171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2252443.74</v>
      </c>
      <c r="K19" s="99" t="n">
        <f aca="false">J19*E19</f>
        <v>38516.787954</v>
      </c>
      <c r="L19" s="99" t="n">
        <f aca="false">J19+K19</f>
        <v>2290960.527954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2290960.527954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12000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69341.25</v>
      </c>
      <c r="W19" s="99" t="n">
        <f aca="false">MIN(R19,T19)</f>
        <v>0</v>
      </c>
      <c r="X19" s="99" t="n">
        <f aca="false">MIN(U19,R19-W19)</f>
        <v>0</v>
      </c>
      <c r="Y19" s="99" t="n">
        <f aca="false">MIN(S19,V19)</f>
        <v>12000</v>
      </c>
      <c r="Z19" s="99" t="n">
        <f aca="false">W19+X19+Y19</f>
        <v>12000</v>
      </c>
      <c r="AA19" s="100" t="n">
        <f aca="false">Q19+W19+X19+Y19</f>
        <v>2302960.527954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0.088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2302960.527954</v>
      </c>
      <c r="K20" s="99" t="n">
        <f aca="false">J20*E20</f>
        <v>202660.526459952</v>
      </c>
      <c r="L20" s="99" t="n">
        <f aca="false">J20+K20</f>
        <v>2505621.05441395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2505621.05441395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12000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71074.78125</v>
      </c>
      <c r="W20" s="99" t="n">
        <f aca="false">MIN(R20,T20)</f>
        <v>0</v>
      </c>
      <c r="X20" s="99" t="n">
        <f aca="false">MIN(U20,R20-W20)</f>
        <v>0</v>
      </c>
      <c r="Y20" s="99" t="n">
        <f aca="false">MIN(S20,V20)</f>
        <v>12000</v>
      </c>
      <c r="Z20" s="99" t="n">
        <f aca="false">W20+X20+Y20</f>
        <v>12000</v>
      </c>
      <c r="AA20" s="100" t="n">
        <f aca="false">Q20+W20+X20+Y20</f>
        <v>2517621.05441395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0.0641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2517621.05441395</v>
      </c>
      <c r="K21" s="99" t="n">
        <f aca="false">J21*E21</f>
        <v>161379.509587934</v>
      </c>
      <c r="L21" s="99" t="n">
        <f aca="false">J21+K21</f>
        <v>2679000.56400189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2568619.27493939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2568619.27493939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0.0654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2568619.27493939</v>
      </c>
      <c r="K22" s="99" t="n">
        <f aca="false">J22*E22</f>
        <v>167987.700581036</v>
      </c>
      <c r="L22" s="99" t="n">
        <f aca="false">J22+K22</f>
        <v>2736606.97552042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2623466.15423136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2623466.15423136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0.0807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2623466.15423136</v>
      </c>
      <c r="K23" s="99" t="n">
        <f aca="false">J23*E23</f>
        <v>211713.718646471</v>
      </c>
      <c r="L23" s="99" t="n">
        <f aca="false">J23+K23</f>
        <v>2835179.87287783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2719210.53105654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2719210.53105654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-0.0393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2719210.53105654</v>
      </c>
      <c r="K24" s="99" t="n">
        <f aca="false">J24*E24</f>
        <v>-106864.973870522</v>
      </c>
      <c r="L24" s="99" t="n">
        <f aca="false">J24+K24</f>
        <v>2612345.55718602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2493476.9818192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2493476.9818192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0.0098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2493476.9818192</v>
      </c>
      <c r="K25" s="99" t="n">
        <f aca="false">J25*E25</f>
        <v>24436.0744218281</v>
      </c>
      <c r="L25" s="99" t="n">
        <f aca="false">J25+K25</f>
        <v>2517913.05624103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2396072.76649003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2396072.76649003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0.0513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2396072.76649003</v>
      </c>
      <c r="K26" s="99" t="n">
        <f aca="false">J26*E26</f>
        <v>122918.532920939</v>
      </c>
      <c r="L26" s="99" t="n">
        <f aca="false">J26+K26</f>
        <v>2518991.29941097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2394105.00241621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2394105.00241621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0.0857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2394105.00241621</v>
      </c>
      <c r="K27" s="99" t="n">
        <f aca="false">J27*E27</f>
        <v>205174.798707069</v>
      </c>
      <c r="L27" s="99" t="n">
        <f aca="false">J27+K27</f>
        <v>2599279.80112328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2471271.34670364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2471271.34670364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0.0521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2471271.34670364</v>
      </c>
      <c r="K28" s="99" t="n">
        <f aca="false">J28*E28</f>
        <v>128753.23716326</v>
      </c>
      <c r="L28" s="99" t="n">
        <f aca="false">J28+K28</f>
        <v>2600024.5838669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2468815.91808677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2468815.91808677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0.064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2468815.91808677</v>
      </c>
      <c r="K29" s="99" t="n">
        <f aca="false">J29*E29</f>
        <v>158004.218757553</v>
      </c>
      <c r="L29" s="99" t="n">
        <f aca="false">J29+K29</f>
        <v>2626820.13684433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2492331.2544197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2492331.2544197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0.0249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2492331.2544197</v>
      </c>
      <c r="K30" s="99" t="n">
        <f aca="false">J30*E30</f>
        <v>62059.0482350505</v>
      </c>
      <c r="L30" s="99" t="n">
        <f aca="false">J30+K30</f>
        <v>2554390.30265475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2416539.1981695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2416539.1981695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0.0451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2416539.1981695</v>
      </c>
      <c r="K31" s="99" t="n">
        <f aca="false">J31*E31</f>
        <v>108985.917837445</v>
      </c>
      <c r="L31" s="99" t="n">
        <f aca="false">J31+K31</f>
        <v>2525525.11600695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98233.3007385976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2384227.73390957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2384227.73390957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0.0217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2384227.73390957</v>
      </c>
      <c r="K32" s="99" t="n">
        <f aca="false">J32*E32</f>
        <v>51737.7418258377</v>
      </c>
      <c r="L32" s="99" t="n">
        <f aca="false">J32+K32</f>
        <v>2435965.47573541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100600.326325298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2291135.6590856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2291135.6590856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0.1318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2291135.6590856</v>
      </c>
      <c r="K33" s="99" t="n">
        <f aca="false">J33*E33</f>
        <v>301971.679867482</v>
      </c>
      <c r="L33" s="99" t="n">
        <f aca="false">J33+K33</f>
        <v>2593107.33895308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100049.592099808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2444656.77688702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2444656.77688702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-0.054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2444656.77688702</v>
      </c>
      <c r="K34" s="99" t="n">
        <f aca="false">J34*E34</f>
        <v>-132011.465951899</v>
      </c>
      <c r="L34" s="99" t="n">
        <f aca="false">J34+K34</f>
        <v>2312645.31093512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111120.762585774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2160483.48481742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2160483.48481742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0.1062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2160483.48481742</v>
      </c>
      <c r="K35" s="99" t="n">
        <f aca="false">J35*E35</f>
        <v>229443.34608761</v>
      </c>
      <c r="L35" s="99" t="n">
        <f aca="false">J35+K35</f>
        <v>2389926.83090503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102392.582218835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2233960.95913438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2233960.95913438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0.0367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2233960.95913438</v>
      </c>
      <c r="K36" s="99" t="n">
        <f aca="false">J36*E36</f>
        <v>81986.3672002316</v>
      </c>
      <c r="L36" s="99" t="n">
        <f aca="false">J36+K36</f>
        <v>2315947.32633461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110592.126689821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2156082.30776969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2156082.30776969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0.0723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2156082.30776969</v>
      </c>
      <c r="K37" s="99" t="n">
        <f aca="false">J37*E37</f>
        <v>155884.750851749</v>
      </c>
      <c r="L37" s="99" t="n">
        <f aca="false">J37+K37</f>
        <v>2311967.05862144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111138.263287097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2148105.4145924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2148105.4145924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0.0542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2148105.4145924</v>
      </c>
      <c r="K38" s="99" t="n">
        <f aca="false">J38*E38</f>
        <v>116427.313470908</v>
      </c>
      <c r="L38" s="99" t="n">
        <f aca="false">J38+K38</f>
        <v>2264532.72806331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116113.806194184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2096574.54293354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2096574.54293354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0.0427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2096574.54293354</v>
      </c>
      <c r="K39" s="99" t="n">
        <f aca="false">J39*E39</f>
        <v>89523.7329832622</v>
      </c>
      <c r="L39" s="99" t="n">
        <f aca="false">J39+K39</f>
        <v>2186098.2759168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118450.539148788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2013941.13615879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2013941.13615879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0.0593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2013941.13615879</v>
      </c>
      <c r="K40" s="99" t="n">
        <f aca="false">J40*E40</f>
        <v>119426.709374217</v>
      </c>
      <c r="L40" s="99" t="n">
        <f aca="false">J40+K40</f>
        <v>2133367.84553301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119877.448580881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1956906.77728105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1956906.77728105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0.052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1956906.77728105</v>
      </c>
      <c r="K41" s="99" t="n">
        <f aca="false">J41*E41</f>
        <v>101759.152418615</v>
      </c>
      <c r="L41" s="99" t="n">
        <f aca="false">J41+K41</f>
        <v>2058665.92969967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122306.673580066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1877793.33474141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1877793.33474141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-0.028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1877793.33474141</v>
      </c>
      <c r="K42" s="99" t="n">
        <f aca="false">J42*E42</f>
        <v>-52578.2133727594</v>
      </c>
      <c r="L42" s="99" t="n">
        <f aca="false">J42+K42</f>
        <v>1825215.12136865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123539.035180356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1639820.71153643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1639820.71153643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0.064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1639820.71153643</v>
      </c>
      <c r="K43" s="99" t="n">
        <f aca="false">J43*E43</f>
        <v>104948.525538332</v>
      </c>
      <c r="L43" s="99" t="n">
        <f aca="false">J43+K43</f>
        <v>1744769.23707476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113876.438301141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1554739.96699674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1554739.96699674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0.0433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1554739.96699674</v>
      </c>
      <c r="K44" s="99" t="n">
        <f aca="false">J44*E44</f>
        <v>67320.240570959</v>
      </c>
      <c r="L44" s="99" t="n">
        <f aca="false">J44+K44</f>
        <v>1622060.2075677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113484.66912385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1427280.20573773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1427280.20573773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0.0633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1427280.20573773</v>
      </c>
      <c r="K45" s="99" t="n">
        <f aca="false">J45*E45</f>
        <v>90346.8370231984</v>
      </c>
      <c r="L45" s="99" t="n">
        <f aca="false">J45+K45</f>
        <v>1517627.04276093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110641.876413778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1317977.54088521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1317977.54088521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0.0301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1317977.54088521</v>
      </c>
      <c r="K46" s="99" t="n">
        <f aca="false">J46*E46</f>
        <v>39671.1239806448</v>
      </c>
      <c r="L46" s="99" t="n">
        <f aca="false">J46+K46</f>
        <v>1357648.66486585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108030.945974198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1153007.92544324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1153007.92544324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0.0735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1153007.92544324</v>
      </c>
      <c r="K47" s="99" t="n">
        <f aca="false">J47*E47</f>
        <v>84746.0825200782</v>
      </c>
      <c r="L47" s="99" t="n">
        <f aca="false">J47+K47</f>
        <v>1237754.00796332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1237754.00796332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1237754.00796332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0.0269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1237754.00796332</v>
      </c>
      <c r="K48" s="99" t="n">
        <f aca="false">J48*E48</f>
        <v>33295.5828142133</v>
      </c>
      <c r="L48" s="99" t="n">
        <f aca="false">J48+K48</f>
        <v>1271049.59077753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1271049.59077753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1271049.59077753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0.036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1271049.59077753</v>
      </c>
      <c r="K49" s="99" t="n">
        <f aca="false">J49*E49</f>
        <v>45757.7852679912</v>
      </c>
      <c r="L49" s="99" t="n">
        <f aca="false">J49+K49</f>
        <v>1316807.37604552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1316807.37604552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1316807.37604552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0.088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1316807.37604552</v>
      </c>
      <c r="K50" s="99" t="n">
        <f aca="false">J50*E50</f>
        <v>115879.049092006</v>
      </c>
      <c r="L50" s="99" t="n">
        <f aca="false">J50+K50</f>
        <v>1432686.42513753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1432686.42513753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1432686.42513753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0.07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1432686.42513753</v>
      </c>
      <c r="K51" s="99" t="n">
        <f aca="false">J51*E51</f>
        <v>100288.049759627</v>
      </c>
      <c r="L51" s="99" t="n">
        <f aca="false">J51+K51</f>
        <v>1532974.47489716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1532974.47489716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1532974.47489716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-0.0373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1532974.47489716</v>
      </c>
      <c r="K52" s="99" t="n">
        <f aca="false">J52*E52</f>
        <v>-57179.947913664</v>
      </c>
      <c r="L52" s="99" t="n">
        <f aca="false">J52+K52</f>
        <v>1475794.52698349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1475794.52698349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1475794.52698349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-0.0567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1475794.52698349</v>
      </c>
      <c r="K53" s="99" t="n">
        <f aca="false">J53*E53</f>
        <v>-83677.5496799641</v>
      </c>
      <c r="L53" s="99" t="n">
        <f aca="false">J53+K53</f>
        <v>1392116.97730353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1392116.97730353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1392116.97730353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-0.1079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1392116.97730353</v>
      </c>
      <c r="K54" s="99" t="n">
        <f aca="false">J54*E54</f>
        <v>-150209.421851051</v>
      </c>
      <c r="L54" s="99" t="n">
        <f aca="false">J54+K54</f>
        <v>1241907.55545248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1241907.55545248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1241907.55545248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58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SEP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SEP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100000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None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0.03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209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SEP with None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0.0547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109400</v>
      </c>
      <c r="L17" s="99" t="n">
        <f aca="false">J17+K17</f>
        <v>2109400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2109400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100000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66000</v>
      </c>
      <c r="W17" s="99" t="n">
        <f aca="false">MIN(R17,T17)</f>
        <v>0</v>
      </c>
      <c r="X17" s="99" t="n">
        <f aca="false">MIN(U17,R17-W17)</f>
        <v>0</v>
      </c>
      <c r="Y17" s="99" t="n">
        <f aca="false">MIN(S17,V17)</f>
        <v>66000</v>
      </c>
      <c r="Z17" s="99" t="n">
        <f aca="false">W17+X17+Y17</f>
        <v>66000</v>
      </c>
      <c r="AA17" s="100" t="n">
        <f aca="false">Q17+Z17</f>
        <v>2175400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0.0287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2175400</v>
      </c>
      <c r="K18" s="99" t="n">
        <f aca="false">J18*E18</f>
        <v>62433.98</v>
      </c>
      <c r="L18" s="99" t="n">
        <f aca="false">J18+K18</f>
        <v>2237833.98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2237833.98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100000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67650</v>
      </c>
      <c r="W18" s="99" t="n">
        <f aca="false">MIN(R18,T18)</f>
        <v>0</v>
      </c>
      <c r="X18" s="99" t="n">
        <f aca="false">MIN(U18,R18-W18)</f>
        <v>0</v>
      </c>
      <c r="Y18" s="99" t="n">
        <f aca="false">MIN(S18,V18)</f>
        <v>67650</v>
      </c>
      <c r="Z18" s="99" t="n">
        <f aca="false">W18+X18+Y18</f>
        <v>67650</v>
      </c>
      <c r="AA18" s="100" t="n">
        <f aca="false">Q18+W18+X18+Y18</f>
        <v>2305483.98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0.0128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2305483.98</v>
      </c>
      <c r="K19" s="99" t="n">
        <f aca="false">J19*E19</f>
        <v>29510.194944</v>
      </c>
      <c r="L19" s="99" t="n">
        <f aca="false">J19+K19</f>
        <v>2334994.174944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2334994.174944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100000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69341.25</v>
      </c>
      <c r="W19" s="99" t="n">
        <f aca="false">MIN(R19,T19)</f>
        <v>0</v>
      </c>
      <c r="X19" s="99" t="n">
        <f aca="false">MIN(U19,R19-W19)</f>
        <v>0</v>
      </c>
      <c r="Y19" s="99" t="n">
        <f aca="false">MIN(S19,V19)</f>
        <v>69341.25</v>
      </c>
      <c r="Z19" s="99" t="n">
        <f aca="false">W19+X19+Y19</f>
        <v>69341.25</v>
      </c>
      <c r="AA19" s="100" t="n">
        <f aca="false">Q19+W19+X19+Y19</f>
        <v>2404335.424944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0.066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2404335.424944</v>
      </c>
      <c r="K20" s="99" t="n">
        <f aca="false">J20*E20</f>
        <v>158686.138046304</v>
      </c>
      <c r="L20" s="99" t="n">
        <f aca="false">J20+K20</f>
        <v>2563021.5629903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2563021.5629903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100000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71074.78125</v>
      </c>
      <c r="W20" s="99" t="n">
        <f aca="false">MIN(R20,T20)</f>
        <v>0</v>
      </c>
      <c r="X20" s="99" t="n">
        <f aca="false">MIN(U20,R20-W20)</f>
        <v>0</v>
      </c>
      <c r="Y20" s="99" t="n">
        <f aca="false">MIN(S20,V20)</f>
        <v>71074.78125</v>
      </c>
      <c r="Z20" s="99" t="n">
        <f aca="false">W20+X20+Y20</f>
        <v>71074.78125</v>
      </c>
      <c r="AA20" s="100" t="n">
        <f aca="false">Q20+W20+X20+Y20</f>
        <v>2634096.3442403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0.0481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2634096.3442403</v>
      </c>
      <c r="K21" s="99" t="n">
        <f aca="false">J21*E21</f>
        <v>126700.034157959</v>
      </c>
      <c r="L21" s="99" t="n">
        <f aca="false">J21+K21</f>
        <v>2760796.37839826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2650415.08933576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2650415.08933576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0.0491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2650415.08933576</v>
      </c>
      <c r="K22" s="99" t="n">
        <f aca="false">J22*E22</f>
        <v>130135.380886386</v>
      </c>
      <c r="L22" s="99" t="n">
        <f aca="false">J22+K22</f>
        <v>2780550.47022215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2667409.64893309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2667409.64893309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0.0605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2667409.64893309</v>
      </c>
      <c r="K23" s="99" t="n">
        <f aca="false">J23*E23</f>
        <v>161378.283760452</v>
      </c>
      <c r="L23" s="99" t="n">
        <f aca="false">J23+K23</f>
        <v>2828787.93269354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2712818.59087225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2712818.59087225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-0.0295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2712818.59087225</v>
      </c>
      <c r="K24" s="99" t="n">
        <f aca="false">J24*E24</f>
        <v>-80028.1484307314</v>
      </c>
      <c r="L24" s="99" t="n">
        <f aca="false">J24+K24</f>
        <v>2632790.44244152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2513921.8670747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2513921.8670747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0.0073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2513921.8670747</v>
      </c>
      <c r="K25" s="99" t="n">
        <f aca="false">J25*E25</f>
        <v>18351.6296296453</v>
      </c>
      <c r="L25" s="99" t="n">
        <f aca="false">J25+K25</f>
        <v>2532273.49670434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2410433.20695335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2410433.20695335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0.0385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2410433.20695335</v>
      </c>
      <c r="K26" s="99" t="n">
        <f aca="false">J26*E26</f>
        <v>92801.678467704</v>
      </c>
      <c r="L26" s="99" t="n">
        <f aca="false">J26+K26</f>
        <v>2503234.88542105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2378348.58842629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2378348.58842629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0.0643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2378348.58842629</v>
      </c>
      <c r="K27" s="99" t="n">
        <f aca="false">J27*E27</f>
        <v>152927.81423581</v>
      </c>
      <c r="L27" s="99" t="n">
        <f aca="false">J27+K27</f>
        <v>2531276.4026621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2403267.94824246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2403267.94824246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0.039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2403267.94824246</v>
      </c>
      <c r="K28" s="99" t="n">
        <f aca="false">J28*E28</f>
        <v>93727.449981456</v>
      </c>
      <c r="L28" s="99" t="n">
        <f aca="false">J28+K28</f>
        <v>2496995.39822392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2365786.73244379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2365786.73244379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0.048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2365786.73244379</v>
      </c>
      <c r="K29" s="99" t="n">
        <f aca="false">J29*E29</f>
        <v>113557.763157302</v>
      </c>
      <c r="L29" s="99" t="n">
        <f aca="false">J29+K29</f>
        <v>2479344.49560109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2344855.61317646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2344855.61317646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0.0187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2344855.61317646</v>
      </c>
      <c r="K30" s="99" t="n">
        <f aca="false">J30*E30</f>
        <v>43848.7999663999</v>
      </c>
      <c r="L30" s="99" t="n">
        <f aca="false">J30+K30</f>
        <v>2388704.41314286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2250853.30865762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2250853.30865762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0.0338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2250853.30865762</v>
      </c>
      <c r="K31" s="99" t="n">
        <f aca="false">J31*E31</f>
        <v>76078.8418326275</v>
      </c>
      <c r="L31" s="99" t="n">
        <f aca="false">J31+K31</f>
        <v>2326932.15049025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91498.101977952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2185634.76839287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2185634.76839287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0.0163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2185634.76839287</v>
      </c>
      <c r="K32" s="99" t="n">
        <f aca="false">J32*E32</f>
        <v>35625.8467248038</v>
      </c>
      <c r="L32" s="99" t="n">
        <f aca="false">J32+K32</f>
        <v>2221260.61511767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92220.8763034966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2076430.79846786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2076430.79846786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0.0988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2076430.79846786</v>
      </c>
      <c r="K33" s="99" t="n">
        <f aca="false">J33*E33</f>
        <v>205151.362888625</v>
      </c>
      <c r="L33" s="99" t="n">
        <f aca="false">J33+K33</f>
        <v>2281582.16135649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90673.8339942298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2133131.59929043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2133131.59929043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-0.0405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2133131.59929043</v>
      </c>
      <c r="K34" s="99" t="n">
        <f aca="false">J34*E34</f>
        <v>-86391.8297712625</v>
      </c>
      <c r="L34" s="99" t="n">
        <f aca="false">J34+K34</f>
        <v>2046739.76951917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96960.5272404741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1894577.94340146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1894577.94340146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0.0796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1894577.94340146</v>
      </c>
      <c r="K35" s="99" t="n">
        <f aca="false">J35*E35</f>
        <v>150808.404294756</v>
      </c>
      <c r="L35" s="99" t="n">
        <f aca="false">J35+K35</f>
        <v>2045386.34769622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89790.4238578891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1889420.47592557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1889420.47592557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0.0275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1889420.47592557</v>
      </c>
      <c r="K36" s="99" t="n">
        <f aca="false">J36*E36</f>
        <v>51959.0630879531</v>
      </c>
      <c r="L36" s="99" t="n">
        <f aca="false">J36+K36</f>
        <v>1941379.53901352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93535.6671250281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1781514.5204486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1781514.5204486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0.0542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1781514.5204486</v>
      </c>
      <c r="K37" s="99" t="n">
        <f aca="false">J37*E37</f>
        <v>96558.0870083143</v>
      </c>
      <c r="L37" s="99" t="n">
        <f aca="false">J37+K37</f>
        <v>1878072.60745692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91830.6453839486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1714210.96342788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1714210.96342788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0.0406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1714210.96342788</v>
      </c>
      <c r="K38" s="99" t="n">
        <f aca="false">J38*E38</f>
        <v>69596.9651151719</v>
      </c>
      <c r="L38" s="99" t="n">
        <f aca="false">J38+K38</f>
        <v>1783807.92854305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92660.0520771826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1615849.74341328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1615849.74341328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0.032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1615849.74341328</v>
      </c>
      <c r="K39" s="99" t="n">
        <f aca="false">J39*E39</f>
        <v>51707.1917892251</v>
      </c>
      <c r="L39" s="99" t="n">
        <f aca="false">J39+K39</f>
        <v>1667556.93520251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91290.9459555528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1495399.7954445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1495399.7954445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0.0445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1495399.7954445</v>
      </c>
      <c r="K40" s="99" t="n">
        <f aca="false">J40*E40</f>
        <v>66545.2908972803</v>
      </c>
      <c r="L40" s="99" t="n">
        <f aca="false">J40+K40</f>
        <v>1561945.08634178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89011.8925859822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1385484.01808982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1385484.01808982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0.039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1385484.01808982</v>
      </c>
      <c r="K41" s="99" t="n">
        <f aca="false">J41*E41</f>
        <v>54033.876705503</v>
      </c>
      <c r="L41" s="99" t="n">
        <f aca="false">J41+K41</f>
        <v>1439517.89479532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86592.7511306138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1258645.29983707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1258645.29983707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-0.021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1258645.29983707</v>
      </c>
      <c r="K42" s="99" t="n">
        <f aca="false">J42*E42</f>
        <v>-26431.5512965784</v>
      </c>
      <c r="L42" s="99" t="n">
        <f aca="false">J42+K42</f>
        <v>1232213.74854049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82805.6118313859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1046819.33870827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1046819.33870827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0.048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1046819.33870827</v>
      </c>
      <c r="K43" s="99" t="n">
        <f aca="false">J43*E43</f>
        <v>50247.328257997</v>
      </c>
      <c r="L43" s="99" t="n">
        <f aca="false">J43+K43</f>
        <v>1097066.66696627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72695.7874102966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907037.396888248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907037.396888248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0.0325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907037.396888248</v>
      </c>
      <c r="K44" s="99" t="n">
        <f aca="false">J44*E44</f>
        <v>29478.7153988681</v>
      </c>
      <c r="L44" s="99" t="n">
        <f aca="false">J44+K44</f>
        <v>936516.112287116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66207.1092619159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741736.110457145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741736.110457145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0.0475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741736.110457145</v>
      </c>
      <c r="K45" s="99" t="n">
        <f aca="false">J45*E45</f>
        <v>35232.4652467144</v>
      </c>
      <c r="L45" s="99" t="n">
        <f aca="false">J45+K45</f>
        <v>776968.57570386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57498.9232912516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577319.073828139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577319.073828139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0.0226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577319.073828139</v>
      </c>
      <c r="K46" s="99" t="n">
        <f aca="false">J46*E46</f>
        <v>13047.4110685159</v>
      </c>
      <c r="L46" s="99" t="n">
        <f aca="false">J46+K46</f>
        <v>590366.484896655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47321.2355596835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385725.745474042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385725.745474042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0.0551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385725.745474042</v>
      </c>
      <c r="K47" s="99" t="n">
        <f aca="false">J47*E47</f>
        <v>21253.4885756197</v>
      </c>
      <c r="L47" s="99" t="n">
        <f aca="false">J47+K47</f>
        <v>406979.234049662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406979.234049662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406979.234049662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0.0202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406979.234049662</v>
      </c>
      <c r="K48" s="99" t="n">
        <f aca="false">J48*E48</f>
        <v>8220.98052780316</v>
      </c>
      <c r="L48" s="99" t="n">
        <f aca="false">J48+K48</f>
        <v>415200.214577465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415200.214577465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415200.214577465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0.027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415200.214577465</v>
      </c>
      <c r="K49" s="99" t="n">
        <f aca="false">J49*E49</f>
        <v>11210.4057935916</v>
      </c>
      <c r="L49" s="99" t="n">
        <f aca="false">J49+K49</f>
        <v>426410.620371056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426410.620371056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426410.620371056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0.066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426410.620371056</v>
      </c>
      <c r="K50" s="99" t="n">
        <f aca="false">J50*E50</f>
        <v>28143.1009444897</v>
      </c>
      <c r="L50" s="99" t="n">
        <f aca="false">J50+K50</f>
        <v>454553.721315546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454553.721315546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454553.721315546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0.0525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454553.721315546</v>
      </c>
      <c r="K51" s="99" t="n">
        <f aca="false">J51*E51</f>
        <v>23864.0703690662</v>
      </c>
      <c r="L51" s="99" t="n">
        <f aca="false">J51+K51</f>
        <v>478417.791684612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478417.791684612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478417.791684612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-0.028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478417.791684612</v>
      </c>
      <c r="K52" s="99" t="n">
        <f aca="false">J52*E52</f>
        <v>-13395.6981671691</v>
      </c>
      <c r="L52" s="99" t="n">
        <f aca="false">J52+K52</f>
        <v>465022.093517443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465022.093517443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465022.093517443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-0.0425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465022.093517443</v>
      </c>
      <c r="K53" s="99" t="n">
        <f aca="false">J53*E53</f>
        <v>-19763.4389744913</v>
      </c>
      <c r="L53" s="99" t="n">
        <f aca="false">J53+K53</f>
        <v>445258.654542952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445258.654542952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445258.654542952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-0.0809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445258.654542952</v>
      </c>
      <c r="K54" s="99" t="n">
        <f aca="false">J54*E54</f>
        <v>-36021.4251525248</v>
      </c>
      <c r="L54" s="99" t="n">
        <f aca="false">J54+K54</f>
        <v>409237.229390427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409237.229390427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409237.229390427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59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9" activeCellId="0" sqref="E19"/>
    </sheetView>
  </sheetViews>
  <sheetFormatPr defaultColWidth="10.9921875" defaultRowHeight="15.75" zeroHeight="false" outlineLevelRow="0" outlineLevelCol="0"/>
  <sheetData>
    <row r="1" customFormat="false" ht="15.75" hidden="false" customHeight="false" outlineLevel="0" collapsed="false">
      <c r="A1" s="0" t="s">
        <v>148</v>
      </c>
    </row>
    <row r="2" customFormat="false" ht="15.75" hidden="false" customHeight="false" outlineLevel="0" collapsed="false">
      <c r="A2" s="0" t="s">
        <v>149</v>
      </c>
    </row>
    <row r="3" customFormat="false" ht="15.75" hidden="false" customHeight="false" outlineLevel="0" collapsed="false">
      <c r="A3" s="0" t="s">
        <v>150</v>
      </c>
    </row>
    <row r="4" customFormat="false" ht="15.75" hidden="false" customHeight="false" outlineLevel="0" collapsed="false">
      <c r="A4" s="0" t="s">
        <v>151</v>
      </c>
    </row>
    <row r="12" customFormat="false" ht="15.75" hidden="false" customHeight="false" outlineLevel="0" collapsed="false">
      <c r="A12" s="0" t="s">
        <v>152</v>
      </c>
      <c r="B12" s="0" t="s">
        <v>153</v>
      </c>
    </row>
    <row r="13" customFormat="false" ht="15.75" hidden="false" customHeight="false" outlineLevel="0" collapsed="false">
      <c r="A13" s="0" t="n">
        <v>1</v>
      </c>
      <c r="B13" s="0" t="s">
        <v>154</v>
      </c>
    </row>
    <row r="14" customFormat="false" ht="15.75" hidden="false" customHeight="false" outlineLevel="0" collapsed="false">
      <c r="A14" s="0" t="n">
        <v>2</v>
      </c>
      <c r="B14" s="0" t="s">
        <v>155</v>
      </c>
    </row>
    <row r="15" customFormat="false" ht="15.75" hidden="false" customHeight="false" outlineLevel="0" collapsed="false">
      <c r="A15" s="0" t="n">
        <v>3</v>
      </c>
      <c r="B15" s="0" t="s">
        <v>156</v>
      </c>
    </row>
    <row r="16" customFormat="false" ht="15.75" hidden="false" customHeight="false" outlineLevel="0" collapsed="false">
      <c r="A16" s="0" t="n">
        <v>4</v>
      </c>
      <c r="B16" s="0" t="s">
        <v>157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% of Salary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SEP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SEP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0.05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None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0.03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210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SEP with None / % of Salary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0.0547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109400</v>
      </c>
      <c r="L17" s="99" t="n">
        <f aca="false">J17+K17</f>
        <v>2109400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2109400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66000</v>
      </c>
      <c r="W17" s="99" t="n">
        <f aca="false">MIN(R17,T17)</f>
        <v>0</v>
      </c>
      <c r="X17" s="99" t="n">
        <f aca="false">MIN(U17,R17-W17)</f>
        <v>0</v>
      </c>
      <c r="Y17" s="99" t="n">
        <f aca="false">MIN(S17,V17)</f>
        <v>5000</v>
      </c>
      <c r="Z17" s="99" t="n">
        <f aca="false">W17+X17+Y17</f>
        <v>5000</v>
      </c>
      <c r="AA17" s="100" t="n">
        <f aca="false">Q17+Z17</f>
        <v>2114400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0.0287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2114400</v>
      </c>
      <c r="K18" s="99" t="n">
        <f aca="false">J18*E18</f>
        <v>60683.28</v>
      </c>
      <c r="L18" s="99" t="n">
        <f aca="false">J18+K18</f>
        <v>2175083.28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2175083.28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67650</v>
      </c>
      <c r="W18" s="99" t="n">
        <f aca="false">MIN(R18,T18)</f>
        <v>0</v>
      </c>
      <c r="X18" s="99" t="n">
        <f aca="false">MIN(U18,R18-W18)</f>
        <v>0</v>
      </c>
      <c r="Y18" s="99" t="n">
        <f aca="false">MIN(S18,V18)</f>
        <v>5100</v>
      </c>
      <c r="Z18" s="99" t="n">
        <f aca="false">W18+X18+Y18</f>
        <v>5100</v>
      </c>
      <c r="AA18" s="100" t="n">
        <f aca="false">Q18+W18+X18+Y18</f>
        <v>2180183.28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0.0128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2180183.28</v>
      </c>
      <c r="K19" s="99" t="n">
        <f aca="false">J19*E19</f>
        <v>27906.345984</v>
      </c>
      <c r="L19" s="99" t="n">
        <f aca="false">J19+K19</f>
        <v>2208089.625984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2208089.625984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69341.25</v>
      </c>
      <c r="W19" s="99" t="n">
        <f aca="false">MIN(R19,T19)</f>
        <v>0</v>
      </c>
      <c r="X19" s="99" t="n">
        <f aca="false">MIN(U19,R19-W19)</f>
        <v>0</v>
      </c>
      <c r="Y19" s="99" t="n">
        <f aca="false">MIN(S19,V19)</f>
        <v>5202</v>
      </c>
      <c r="Z19" s="99" t="n">
        <f aca="false">W19+X19+Y19</f>
        <v>5202</v>
      </c>
      <c r="AA19" s="100" t="n">
        <f aca="false">Q19+W19+X19+Y19</f>
        <v>2213291.625984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0.066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2213291.625984</v>
      </c>
      <c r="K20" s="99" t="n">
        <f aca="false">J20*E20</f>
        <v>146077.247314944</v>
      </c>
      <c r="L20" s="99" t="n">
        <f aca="false">J20+K20</f>
        <v>2359368.87329894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2359368.87329894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71074.78125</v>
      </c>
      <c r="W20" s="99" t="n">
        <f aca="false">MIN(R20,T20)</f>
        <v>0</v>
      </c>
      <c r="X20" s="99" t="n">
        <f aca="false">MIN(U20,R20-W20)</f>
        <v>0</v>
      </c>
      <c r="Y20" s="99" t="n">
        <f aca="false">MIN(S20,V20)</f>
        <v>5306.04</v>
      </c>
      <c r="Z20" s="99" t="n">
        <f aca="false">W20+X20+Y20</f>
        <v>5306.04</v>
      </c>
      <c r="AA20" s="100" t="n">
        <f aca="false">Q20+W20+X20+Y20</f>
        <v>2364674.91329894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0.0481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2364674.91329894</v>
      </c>
      <c r="K21" s="99" t="n">
        <f aca="false">J21*E21</f>
        <v>113740.863329679</v>
      </c>
      <c r="L21" s="99" t="n">
        <f aca="false">J21+K21</f>
        <v>2478415.77662862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2368034.48756612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2368034.48756612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0.0491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2368034.48756612</v>
      </c>
      <c r="K22" s="99" t="n">
        <f aca="false">J22*E22</f>
        <v>116270.493339497</v>
      </c>
      <c r="L22" s="99" t="n">
        <f aca="false">J22+K22</f>
        <v>2484304.98090562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2371164.15961656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2371164.15961656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0.0605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2371164.15961656</v>
      </c>
      <c r="K23" s="99" t="n">
        <f aca="false">J23*E23</f>
        <v>143455.431656802</v>
      </c>
      <c r="L23" s="99" t="n">
        <f aca="false">J23+K23</f>
        <v>2514619.59127336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2398650.24945207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2398650.24945207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-0.0295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2398650.24945207</v>
      </c>
      <c r="K24" s="99" t="n">
        <f aca="false">J24*E24</f>
        <v>-70760.182358836</v>
      </c>
      <c r="L24" s="99" t="n">
        <f aca="false">J24+K24</f>
        <v>2327890.06709323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2209021.49172641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2209021.49172641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0.0073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2209021.49172641</v>
      </c>
      <c r="K25" s="99" t="n">
        <f aca="false">J25*E25</f>
        <v>16125.8568896028</v>
      </c>
      <c r="L25" s="99" t="n">
        <f aca="false">J25+K25</f>
        <v>2225147.34861602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2103307.05886502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2103307.05886502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0.0385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2103307.05886502</v>
      </c>
      <c r="K26" s="99" t="n">
        <f aca="false">J26*E26</f>
        <v>80977.3217663034</v>
      </c>
      <c r="L26" s="99" t="n">
        <f aca="false">J26+K26</f>
        <v>2184284.38063133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2059398.08363656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2059398.08363656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0.0643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2059398.08363656</v>
      </c>
      <c r="K27" s="99" t="n">
        <f aca="false">J27*E27</f>
        <v>132419.296777831</v>
      </c>
      <c r="L27" s="99" t="n">
        <f aca="false">J27+K27</f>
        <v>2191817.38041439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2063808.92599476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2063808.92599476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0.039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2063808.92599476</v>
      </c>
      <c r="K28" s="99" t="n">
        <f aca="false">J28*E28</f>
        <v>80488.5481137955</v>
      </c>
      <c r="L28" s="99" t="n">
        <f aca="false">J28+K28</f>
        <v>2144297.47410855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2013088.80832842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2013088.80832842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0.048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2013088.80832842</v>
      </c>
      <c r="K29" s="99" t="n">
        <f aca="false">J29*E29</f>
        <v>96628.2627997644</v>
      </c>
      <c r="L29" s="99" t="n">
        <f aca="false">J29+K29</f>
        <v>2109717.07112819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1975228.18870356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1975228.18870356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0.0187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1975228.18870356</v>
      </c>
      <c r="K30" s="99" t="n">
        <f aca="false">J30*E30</f>
        <v>36936.7671287566</v>
      </c>
      <c r="L30" s="99" t="n">
        <f aca="false">J30+K30</f>
        <v>2012164.95583232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1874313.85134707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1874313.85134707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0.0338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1874313.85134707</v>
      </c>
      <c r="K31" s="99" t="n">
        <f aca="false">J31*E31</f>
        <v>63351.808175531</v>
      </c>
      <c r="L31" s="99" t="n">
        <f aca="false">J31+K31</f>
        <v>1937665.6595226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76191.6199734581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1796368.27742522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1796368.27742522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0.0163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1796368.27742522</v>
      </c>
      <c r="K32" s="99" t="n">
        <f aca="false">J32*E32</f>
        <v>29280.8029220312</v>
      </c>
      <c r="L32" s="99" t="n">
        <f aca="false">J32+K32</f>
        <v>1825649.08034726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75796.1298491656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1680819.26369744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1680819.26369744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0.0988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1680819.26369744</v>
      </c>
      <c r="K33" s="99" t="n">
        <f aca="false">J33*E33</f>
        <v>166064.943253308</v>
      </c>
      <c r="L33" s="99" t="n">
        <f aca="false">J33+K33</f>
        <v>1846884.20695075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73398.2211221592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1698433.6448847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1698433.6448847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-0.0405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1698433.6448847</v>
      </c>
      <c r="K34" s="99" t="n">
        <f aca="false">J34*E34</f>
        <v>-68786.5626178302</v>
      </c>
      <c r="L34" s="99" t="n">
        <f aca="false">J34+K34</f>
        <v>1629647.08226687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77201.5293129407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1477485.25614916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1477485.25614916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0.0796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1477485.25614916</v>
      </c>
      <c r="K35" s="99" t="n">
        <f aca="false">J35*E35</f>
        <v>117607.826389473</v>
      </c>
      <c r="L35" s="99" t="n">
        <f aca="false">J35+K35</f>
        <v>1595093.08253863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70022.997921761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1439127.21076798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1439127.21076798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0.0275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1439127.21076798</v>
      </c>
      <c r="K36" s="99" t="n">
        <f aca="false">J36*E36</f>
        <v>39575.9982961195</v>
      </c>
      <c r="L36" s="99" t="n">
        <f aca="false">J36+K36</f>
        <v>1478703.2090641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71243.9213251476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1318838.19049918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1318838.19049918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0.0542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1318838.19049918</v>
      </c>
      <c r="K37" s="99" t="n">
        <f aca="false">J37*E37</f>
        <v>71481.0299250558</v>
      </c>
      <c r="L37" s="99" t="n">
        <f aca="false">J37+K37</f>
        <v>1390319.22042424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67981.3500257311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1226457.5763952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1226457.5763952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0.0406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1226457.5763952</v>
      </c>
      <c r="K38" s="99" t="n">
        <f aca="false">J38*E38</f>
        <v>49794.1776016451</v>
      </c>
      <c r="L38" s="99" t="n">
        <f aca="false">J38+K38</f>
        <v>1276251.75399685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66295.0041294703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1108293.56886708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1108293.56886708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0.032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1108293.56886708</v>
      </c>
      <c r="K39" s="99" t="n">
        <f aca="false">J39*E39</f>
        <v>35465.3942037466</v>
      </c>
      <c r="L39" s="99" t="n">
        <f aca="false">J39+K39</f>
        <v>1143758.96307083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62615.4558681966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971601.823312817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971601.823312817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0.0445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971601.823312817</v>
      </c>
      <c r="K40" s="99" t="n">
        <f aca="false">J40*E40</f>
        <v>43236.2811374204</v>
      </c>
      <c r="L40" s="99" t="n">
        <f aca="false">J40+K40</f>
        <v>1014838.10445024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57833.4418638582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838377.036198277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838377.036198277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0.039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838377.036198277</v>
      </c>
      <c r="K41" s="99" t="n">
        <f aca="false">J41*E41</f>
        <v>32696.7044117328</v>
      </c>
      <c r="L41" s="99" t="n">
        <f aca="false">J41+K41</f>
        <v>871073.74061001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52398.5647623923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690201.145651752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690201.145651752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-0.021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690201.145651752</v>
      </c>
      <c r="K42" s="99" t="n">
        <f aca="false">J42*E42</f>
        <v>-14494.2240586868</v>
      </c>
      <c r="L42" s="99" t="n">
        <f aca="false">J42+K42</f>
        <v>675706.921593065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45407.9701086679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490312.51176085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490312.51176085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0.048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490312.51176085</v>
      </c>
      <c r="K43" s="99" t="n">
        <f aca="false">J43*E43</f>
        <v>23535.0005645208</v>
      </c>
      <c r="L43" s="99" t="n">
        <f aca="false">J43+K43</f>
        <v>513847.512325371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34049.4799833923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323818.24224735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323818.24224735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0.0325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323818.24224735</v>
      </c>
      <c r="K44" s="99" t="n">
        <f aca="false">J44*E44</f>
        <v>10524.0928730389</v>
      </c>
      <c r="L44" s="99" t="n">
        <f aca="false">J44+K44</f>
        <v>334342.335120389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23636.3680472518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139562.333290418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139562.333290418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0.0475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139562.333290418</v>
      </c>
      <c r="K45" s="99" t="n">
        <f aca="false">J45*E45</f>
        <v>6629.21083129485</v>
      </c>
      <c r="L45" s="99" t="n">
        <f aca="false">J45+K45</f>
        <v>146191.544121713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10818.785526389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0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0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0.0226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0</v>
      </c>
      <c r="K46" s="99" t="n">
        <f aca="false">J46*E46</f>
        <v>0</v>
      </c>
      <c r="L46" s="99" t="n">
        <f aca="false">J46+K46</f>
        <v>0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0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0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0.0551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0</v>
      </c>
      <c r="K47" s="99" t="n">
        <f aca="false">J47*E47</f>
        <v>0</v>
      </c>
      <c r="L47" s="99" t="n">
        <f aca="false">J47+K47</f>
        <v>0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0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0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0.0202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0</v>
      </c>
      <c r="K48" s="99" t="n">
        <f aca="false">J48*E48</f>
        <v>0</v>
      </c>
      <c r="L48" s="99" t="n">
        <f aca="false">J48+K48</f>
        <v>0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0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0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0.027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0</v>
      </c>
      <c r="K49" s="99" t="n">
        <f aca="false">J49*E49</f>
        <v>0</v>
      </c>
      <c r="L49" s="99" t="n">
        <f aca="false">J49+K49</f>
        <v>0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0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0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0.066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0</v>
      </c>
      <c r="K50" s="99" t="n">
        <f aca="false">J50*E50</f>
        <v>0</v>
      </c>
      <c r="L50" s="99" t="n">
        <f aca="false">J50+K50</f>
        <v>0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0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0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0.0525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0</v>
      </c>
      <c r="K51" s="99" t="n">
        <f aca="false">J51*E51</f>
        <v>0</v>
      </c>
      <c r="L51" s="99" t="n">
        <f aca="false">J51+K51</f>
        <v>0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0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0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-0.028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0</v>
      </c>
      <c r="K52" s="99" t="n">
        <f aca="false">J52*E52</f>
        <v>-0</v>
      </c>
      <c r="L52" s="99" t="n">
        <f aca="false">J52+K52</f>
        <v>0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0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0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-0.0425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0</v>
      </c>
      <c r="K53" s="99" t="n">
        <f aca="false">J53*E53</f>
        <v>-0</v>
      </c>
      <c r="L53" s="99" t="n">
        <f aca="false">J53+K53</f>
        <v>0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0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0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-0.0809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0</v>
      </c>
      <c r="K54" s="99" t="n">
        <f aca="false">J54*E54</f>
        <v>-0</v>
      </c>
      <c r="L54" s="99" t="n">
        <f aca="false">J54+K54</f>
        <v>0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0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0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60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SIMPLE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SIMPLE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3</v>
      </c>
      <c r="G3" s="66" t="s">
        <v>24</v>
      </c>
      <c r="H3" s="73" t="n">
        <f aca="false">VLOOKUP($A$14,Scenarios!$A:$CE,HLOOKUP(G3,Scenarios!$1:$2,2,FALSE()),FALSE())</f>
        <v>5000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3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15500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Maximum Allowable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3500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211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SIMPLE with Maximum Allowable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19000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15500</v>
      </c>
      <c r="U17" s="99" t="n">
        <f aca="false">IF(AND($F$3=4,D17&lt;55),0,IF(D17&lt;50,0,IF(A17&lt;2025,$N$5*(1+$B$10)^(C17-1),IF(AND(D17&gt;59,D17&lt;64),$N$5*IF($N$3=2,1.5,1)*(1+$B$10)^(C17-1),$N$5*(1+$B$10)^(C17-1)))))</f>
        <v>3500</v>
      </c>
      <c r="V17" s="99" t="n">
        <f aca="false">IF($N$3=1,0,$N$6*(1+$B$10)^(C17-1)-W17)</f>
        <v>99984499</v>
      </c>
      <c r="W17" s="99" t="n">
        <f aca="false">MIN(R17,T17)</f>
        <v>15500</v>
      </c>
      <c r="X17" s="99" t="n">
        <f aca="false">MIN(U17,R17-W17)</f>
        <v>3500</v>
      </c>
      <c r="Y17" s="99" t="n">
        <f aca="false">MIN(S17,V17)</f>
        <v>5000</v>
      </c>
      <c r="Z17" s="99" t="n">
        <f aca="false">W17+X17+Y17</f>
        <v>24000</v>
      </c>
      <c r="AA17" s="100" t="n">
        <f aca="false">Q17+Z17</f>
        <v>2206400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2206400</v>
      </c>
      <c r="K18" s="99" t="n">
        <f aca="false">J18*E18</f>
        <v>105686.56</v>
      </c>
      <c r="L18" s="99" t="n">
        <f aca="false">J18+K18</f>
        <v>2312086.56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2312086.56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19475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5000</v>
      </c>
      <c r="T18" s="99" t="n">
        <f aca="false">$N$4*(1+$B$10)^(C18-1)</f>
        <v>15887.5</v>
      </c>
      <c r="U18" s="99" t="n">
        <f aca="false">IF(AND($F$3=4,D18&lt;55),0,IF(D18&lt;50,0,IF(A18&lt;2025,$N$5*(1+$B$10)^(C18-1),IF(AND(D18&gt;59,D18&lt;64),$N$5*IF($N$3=2,1.5,1)*(1+$B$10)^(C18-1),$N$5*(1+$B$10)^(C18-1)))))</f>
        <v>3587.5</v>
      </c>
      <c r="V18" s="99" t="n">
        <f aca="false">IF($N$3=1,0,$N$6*(1+$B$10)^(C18-1)-W18)</f>
        <v>102484111.475</v>
      </c>
      <c r="W18" s="99" t="n">
        <f aca="false">MIN(R18,T18)</f>
        <v>15887.5</v>
      </c>
      <c r="X18" s="99" t="n">
        <f aca="false">MIN(U18,R18-W18)</f>
        <v>3587.5</v>
      </c>
      <c r="Y18" s="99" t="n">
        <f aca="false">MIN(S18,V18)</f>
        <v>5000</v>
      </c>
      <c r="Z18" s="99" t="n">
        <f aca="false">W18+X18+Y18</f>
        <v>24475</v>
      </c>
      <c r="AA18" s="100" t="n">
        <f aca="false">Q18+W18+X18+Y18</f>
        <v>2336561.56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2336561.56</v>
      </c>
      <c r="K19" s="99" t="n">
        <f aca="false">J19*E19</f>
        <v>49768.761228</v>
      </c>
      <c r="L19" s="99" t="n">
        <f aca="false">J19+K19</f>
        <v>2386330.321228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2386330.321228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19961.875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5000</v>
      </c>
      <c r="T19" s="99" t="n">
        <f aca="false">$N$4*(1+$B$10)^(C19-1)</f>
        <v>16284.6875</v>
      </c>
      <c r="U19" s="99" t="n">
        <f aca="false">IF(AND($F$3=4,D19&lt;55),0,IF(D19&lt;50,0,IF(A19&lt;2025,$N$5*(1+$B$10)^(C19-1),IF(AND(D19&gt;59,D19&lt;64),$N$5*IF($N$3=2,1.5,1)*(1+$B$10)^(C19-1),$N$5*(1+$B$10)^(C19-1)))))</f>
        <v>3677.1875</v>
      </c>
      <c r="V19" s="99" t="n">
        <f aca="false">IF($N$3=1,0,$N$6*(1+$B$10)^(C19-1)-W19)</f>
        <v>105046214.261875</v>
      </c>
      <c r="W19" s="99" t="n">
        <f aca="false">MIN(R19,T19)</f>
        <v>16284.6875</v>
      </c>
      <c r="X19" s="99" t="n">
        <f aca="false">MIN(U19,R19-W19)</f>
        <v>3677.1875</v>
      </c>
      <c r="Y19" s="99" t="n">
        <f aca="false">MIN(S19,V19)</f>
        <v>5000</v>
      </c>
      <c r="Z19" s="99" t="n">
        <f aca="false">W19+X19+Y19</f>
        <v>24961.875</v>
      </c>
      <c r="AA19" s="100" t="n">
        <f aca="false">Q19+W19+X19+Y19</f>
        <v>2411292.196228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2411292.196228</v>
      </c>
      <c r="K20" s="99" t="n">
        <f aca="false">J20*E20</f>
        <v>265242.14158508</v>
      </c>
      <c r="L20" s="99" t="n">
        <f aca="false">J20+K20</f>
        <v>2676534.33781308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2676534.33781308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20460.921875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5000</v>
      </c>
      <c r="T20" s="99" t="n">
        <f aca="false">$N$4*(1+$B$10)^(C20-1)</f>
        <v>16691.8046875</v>
      </c>
      <c r="U20" s="99" t="n">
        <f aca="false">IF(AND($F$3=4,D20&lt;55),0,IF(D20&lt;50,0,IF(A20&lt;2025,$N$5*(1+$B$10)^(C20-1),IF(AND(D20&gt;59,D20&lt;64),$N$5*IF($N$3=2,1.5,1)*(1+$B$10)^(C20-1),$N$5*(1+$B$10)^(C20-1)))))</f>
        <v>3769.1171875</v>
      </c>
      <c r="V20" s="99" t="n">
        <f aca="false">IF($N$3=1,0,$N$6*(1+$B$10)^(C20-1)-W20)</f>
        <v>107672369.618422</v>
      </c>
      <c r="W20" s="99" t="n">
        <f aca="false">MIN(R20,T20)</f>
        <v>16691.8046875</v>
      </c>
      <c r="X20" s="99" t="n">
        <f aca="false">MIN(U20,R20-W20)</f>
        <v>3769.1171875</v>
      </c>
      <c r="Y20" s="99" t="n">
        <f aca="false">MIN(S20,V20)</f>
        <v>5000</v>
      </c>
      <c r="Z20" s="99" t="n">
        <f aca="false">W20+X20+Y20</f>
        <v>25460.921875</v>
      </c>
      <c r="AA20" s="100" t="n">
        <f aca="false">Q20+W20+X20+Y20</f>
        <v>2701995.25968808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2701995.25968808</v>
      </c>
      <c r="K21" s="99" t="n">
        <f aca="false">J21*E21</f>
        <v>216700.019826984</v>
      </c>
      <c r="L21" s="99" t="n">
        <f aca="false">J21+K21</f>
        <v>2918695.27951506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2808313.99045256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17109.0998046875</v>
      </c>
      <c r="U21" s="99" t="n">
        <f aca="false">IF(AND($F$3=4,D21&lt;55),0,IF(D21&lt;50,0,IF(A21&lt;2025,$N$5*(1+$B$10)^(C21-1),IF(AND(D21&gt;59,D21&lt;64),$N$5*IF($N$3=2,1.5,1)*(1+$B$10)^(C21-1),$N$5*(1+$B$10)^(C21-1)))))</f>
        <v>3863.3451171875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2808313.99045256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2808313.99045256</v>
      </c>
      <c r="K22" s="99" t="n">
        <f aca="false">J22*E22</f>
        <v>229720.08441902</v>
      </c>
      <c r="L22" s="99" t="n">
        <f aca="false">J22+K22</f>
        <v>3038034.07487158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2924893.25358252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17536.8272998047</v>
      </c>
      <c r="U22" s="99" t="n">
        <f aca="false">IF(AND($F$3=4,D22&lt;55),0,IF(D22&lt;50,0,IF(A22&lt;2025,$N$5*(1+$B$10)^(C22-1),IF(AND(D22&gt;59,D22&lt;64),$N$5*IF($N$3=2,1.5,1)*(1+$B$10)^(C22-1),$N$5*(1+$B$10)^(C22-1)))))</f>
        <v>3959.92874511719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2924893.25358252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2924893.25358252</v>
      </c>
      <c r="K23" s="99" t="n">
        <f aca="false">J23*E23</f>
        <v>294829.239961118</v>
      </c>
      <c r="L23" s="99" t="n">
        <f aca="false">J23+K23</f>
        <v>3219722.49354364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3103753.15172235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17975.2479822998</v>
      </c>
      <c r="U23" s="99" t="n">
        <f aca="false">IF(AND($F$3=4,D23&lt;55),0,IF(D23&lt;50,0,IF(A23&lt;2025,$N$5*(1+$B$10)^(C23-1),IF(AND(D23&gt;59,D23&lt;64),$N$5*IF($N$3=2,1.5,1)*(1+$B$10)^(C23-1),$N$5*(1+$B$10)^(C23-1)))))</f>
        <v>4058.92696374511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3103753.15172235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3103753.15172235</v>
      </c>
      <c r="K24" s="99" t="n">
        <f aca="false">J24*E24</f>
        <v>-152704.65506474</v>
      </c>
      <c r="L24" s="99" t="n">
        <f aca="false">J24+K24</f>
        <v>2951048.49665761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2832179.92129079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18424.6291818573</v>
      </c>
      <c r="U24" s="99" t="n">
        <f aca="false">IF(AND($F$3=4,D24&lt;55),0,IF(D24&lt;50,0,IF(A24&lt;2025,$N$5*(1+$B$10)^(C24-1),IF(AND(D24&gt;59,D24&lt;64),$N$5*IF($N$3=2,1.5,1)*(1+$B$10)^(C24-1),$N$5*(1+$B$10)^(C24-1)))))</f>
        <v>4160.40013783874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2832179.92129079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2832179.92129079</v>
      </c>
      <c r="K25" s="99" t="n">
        <f aca="false">J25*E25</f>
        <v>34835.8130318767</v>
      </c>
      <c r="L25" s="99" t="n">
        <f aca="false">J25+K25</f>
        <v>2867015.73432267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2745175.44457167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18885.2449114037</v>
      </c>
      <c r="U25" s="99" t="n">
        <f aca="false">IF(AND($F$3=4,D25&lt;55),0,IF(D25&lt;50,0,IF(A25&lt;2025,$N$5*(1+$B$10)^(C25-1),IF(AND(D25&gt;59,D25&lt;64),$N$5*IF($N$3=2,1.5,1)*(1+$B$10)^(C25-1),$N$5*(1+$B$10)^(C25-1)))))</f>
        <v>4264.41014128471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2745175.44457167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2745175.44457167</v>
      </c>
      <c r="K26" s="99" t="n">
        <f aca="false">J26*E26</f>
        <v>175965.745997044</v>
      </c>
      <c r="L26" s="99" t="n">
        <f aca="false">J26+K26</f>
        <v>2921141.19056872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2796254.89357395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19357.3760341888</v>
      </c>
      <c r="U26" s="99" t="n">
        <f aca="false">IF(AND($F$3=4,D26&lt;55),0,IF(D26&lt;50,0,IF(A26&lt;2025,$N$5*(1+$B$10)^(C26-1),IF(AND(D26&gt;59,D26&lt;64),$N$5*IF($N$3=2,1.5,1)*(1+$B$10)^(C26-1),$N$5*(1+$B$10)^(C26-1)))))</f>
        <v>4371.02039481683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2796254.89357395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2796254.89357395</v>
      </c>
      <c r="K27" s="99" t="n">
        <f aca="false">J27*E27</f>
        <v>299478.89910177</v>
      </c>
      <c r="L27" s="99" t="n">
        <f aca="false">J27+K27</f>
        <v>3095733.79267572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2967725.33825609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19841.3104350435</v>
      </c>
      <c r="U27" s="99" t="n">
        <f aca="false">IF(AND($F$3=4,D27&lt;55),0,IF(D27&lt;50,0,IF(A27&lt;2025,$N$5*(1+$B$10)^(C27-1),IF(AND(D27&gt;59,D27&lt;64),$N$5*IF($N$3=2,1.5,1)*(1+$B$10)^(C27-1),$N$5*(1+$B$10)^(C27-1)))))</f>
        <v>4480.29590468725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2967725.33825609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2967725.33825609</v>
      </c>
      <c r="K28" s="99" t="n">
        <f aca="false">J28*E28</f>
        <v>193198.919520471</v>
      </c>
      <c r="L28" s="99" t="n">
        <f aca="false">J28+K28</f>
        <v>3160924.25777656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3029715.59199643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20337.3431959196</v>
      </c>
      <c r="U28" s="99" t="n">
        <f aca="false">IF(AND($F$3=4,D28&lt;55),0,IF(D28&lt;50,0,IF(A28&lt;2025,$N$5*(1+$B$10)^(C28-1),IF(AND(D28&gt;59,D28&lt;64),$N$5*IF($N$3=2,1.5,1)*(1+$B$10)^(C28-1),$N$5*(1+$B$10)^(C28-1)))))</f>
        <v>4592.30330230443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3029715.59199643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3029715.59199643</v>
      </c>
      <c r="K29" s="99" t="n">
        <f aca="false">J29*E29</f>
        <v>242377.247359714</v>
      </c>
      <c r="L29" s="99" t="n">
        <f aca="false">J29+K29</f>
        <v>3272092.83935614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3137603.95693152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20845.7767758176</v>
      </c>
      <c r="U29" s="99" t="n">
        <f aca="false">IF(AND($F$3=4,D29&lt;55),0,IF(D29&lt;50,0,IF(A29&lt;2025,$N$5*(1+$B$10)^(C29-1),IF(AND(D29&gt;59,D29&lt;64),$N$5*IF($N$3=2,1.5,1)*(1+$B$10)^(C29-1),$N$5*(1+$B$10)^(C29-1)))))</f>
        <v>4707.11088486204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3137603.95693152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3137603.95693152</v>
      </c>
      <c r="K30" s="99" t="n">
        <f aca="false">J30*E30</f>
        <v>97579.4830605701</v>
      </c>
      <c r="L30" s="99" t="n">
        <f aca="false">J30+K30</f>
        <v>3235183.43999209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3097332.33550684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21366.921195213</v>
      </c>
      <c r="U30" s="99" t="n">
        <f aca="false">IF(AND($F$3=4,D30&lt;55),0,IF(D30&lt;50,0,IF(A30&lt;2025,$N$5*(1+$B$10)^(C30-1),IF(AND(D30&gt;59,D30&lt;64),$N$5*IF($N$3=2,1.5,1)*(1+$B$10)^(C30-1),$N$5*(1+$B$10)^(C30-1)))))</f>
        <v>4824.78865698359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3097332.33550684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3097332.33550684</v>
      </c>
      <c r="K31" s="99" t="n">
        <f aca="false">J31*E31</f>
        <v>174379.810489035</v>
      </c>
      <c r="L31" s="99" t="n">
        <f aca="false">J31+K31</f>
        <v>3271712.14599587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125907.818516538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3130414.7638985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21901.0942250934</v>
      </c>
      <c r="U31" s="99" t="n">
        <f aca="false">IF(AND($F$3=4,D31&lt;55),0,IF(D31&lt;50,0,IF(A31&lt;2025,$N$5*(1+$B$10)^(C31-1),IF(AND(D31&gt;59,D31&lt;64),$N$5*IF($N$3=2,1.5,1)*(1+$B$10)^(C31-1),$N$5*(1+$B$10)^(C31-1)))))</f>
        <v>4945.40837340818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3130414.7638985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3130414.7638985</v>
      </c>
      <c r="K32" s="99" t="n">
        <f aca="false">J32*E32</f>
        <v>85147.2815780392</v>
      </c>
      <c r="L32" s="99" t="n">
        <f aca="false">J32+K32</f>
        <v>3215562.04547654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132085.011134958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3070732.22882673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22448.6215807207</v>
      </c>
      <c r="U32" s="99" t="n">
        <f aca="false">IF(AND($F$3=4,D32&lt;55),0,IF(D32&lt;50,0,IF(A32&lt;2025,$N$5*(1+$B$10)^(C32-1),IF(AND(D32&gt;59,D32&lt;64),$N$5*IF($N$3=2,1.5,1)*(1+$B$10)^(C32-1),$N$5*(1+$B$10)^(C32-1)))))</f>
        <v>5069.04358274338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3070732.22882673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3070732.22882673</v>
      </c>
      <c r="K33" s="99" t="n">
        <f aca="false">J33*E33</f>
        <v>506056.671310645</v>
      </c>
      <c r="L33" s="99" t="n">
        <f aca="false">J33+K33</f>
        <v>3576788.90013737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134093.110429115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3428338.33807131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23009.8371202387</v>
      </c>
      <c r="U33" s="99" t="n">
        <f aca="false">IF(AND($F$3=4,D33&lt;55),0,IF(D33&lt;50,0,IF(A33&lt;2025,$N$5*(1+$B$10)^(C33-1),IF(AND(D33&gt;59,D33&lt;64),$N$5*IF($N$3=2,1.5,1)*(1+$B$10)^(C33-1),$N$5*(1+$B$10)^(C33-1)))))</f>
        <v>5195.76967231197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3428338.33807131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3428338.33807131</v>
      </c>
      <c r="K34" s="99" t="n">
        <f aca="false">J34*E34</f>
        <v>-231412.837819814</v>
      </c>
      <c r="L34" s="99" t="n">
        <f aca="false">J34+K34</f>
        <v>3196925.5002515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155833.560821423</v>
      </c>
      <c r="O34" s="99" t="n">
        <f aca="false">IF(D34&gt;$B$4,0,IF(D34&lt;$B$3,0,$B$8*(1+$B$10)^(C34-1)))</f>
        <v>152161.826117708</v>
      </c>
      <c r="P34" s="99" t="n">
        <f aca="false">MAX(N34,O34)</f>
        <v>155833.560821423</v>
      </c>
      <c r="Q34" s="99" t="n">
        <f aca="false">MAX(0,L34-P34)</f>
        <v>3041091.93943008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23585.0830482447</v>
      </c>
      <c r="U34" s="99" t="n">
        <f aca="false">IF(AND($F$3=4,D34&lt;55),0,IF(D34&lt;50,0,IF(A34&lt;2025,$N$5*(1+$B$10)^(C34-1),IF(AND(D34&gt;59,D34&lt;64),$N$5*IF($N$3=2,1.5,1)*(1+$B$10)^(C34-1),$N$5*(1+$B$10)^(C34-1)))))</f>
        <v>5325.66391411977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3041091.93943008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3041091.93943008</v>
      </c>
      <c r="K35" s="99" t="n">
        <f aca="false">J35*E35</f>
        <v>403857.009556314</v>
      </c>
      <c r="L35" s="99" t="n">
        <f aca="false">J35+K35</f>
        <v>3444948.94898639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144127.580067776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3288983.07721574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24174.7101244508</v>
      </c>
      <c r="U35" s="99" t="n">
        <f aca="false">IF(AND($F$3=4,D35&lt;55),0,IF(D35&lt;50,0,IF(A35&lt;2025,$N$5*(1+$B$10)^(C35-1),IF(AND(D35&gt;59,D35&lt;64),$N$5*IF($N$3=2,1.5,1)*(1+$B$10)^(C35-1),$N$5*(1+$B$10)^(C35-1)))))</f>
        <v>5458.80551197276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3288983.07721574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3288983.07721574</v>
      </c>
      <c r="K36" s="99" t="n">
        <f aca="false">J36*E36</f>
        <v>150635.424936481</v>
      </c>
      <c r="L36" s="99" t="n">
        <f aca="false">J36+K36</f>
        <v>3439618.50215222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162820.944416621</v>
      </c>
      <c r="O36" s="99" t="n">
        <f aca="false">IF(D36&gt;$B$4,0,IF(D36&lt;$B$3,0,$B$8*(1+$B$10)^(C36-1)))</f>
        <v>159865.018564917</v>
      </c>
      <c r="P36" s="99" t="n">
        <f aca="false">MAX(N36,O36)</f>
        <v>162820.944416621</v>
      </c>
      <c r="Q36" s="99" t="n">
        <f aca="false">MAX(0,L36-P36)</f>
        <v>3276797.5577356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24779.0778775621</v>
      </c>
      <c r="U36" s="99" t="n">
        <f aca="false">IF(AND($F$3=4,D36&lt;55),0,IF(D36&lt;50,0,IF(A36&lt;2025,$N$5*(1+$B$10)^(C36-1),IF(AND(D36&gt;59,D36&lt;64),$N$5*IF($N$3=2,1.5,1)*(1+$B$10)^(C36-1),$N$5*(1+$B$10)^(C36-1)))))</f>
        <v>5595.27564977208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3276797.5577356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3276797.5577356</v>
      </c>
      <c r="K37" s="99" t="n">
        <f aca="false">J37*E37</f>
        <v>296222.499219298</v>
      </c>
      <c r="L37" s="99" t="n">
        <f aca="false">J37+K37</f>
        <v>3573020.0569549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168907.090604928</v>
      </c>
      <c r="O37" s="99" t="n">
        <f aca="false">IF(D37&gt;$B$4,0,IF(D37&lt;$B$3,0,$B$8*(1+$B$10)^(C37-1)))</f>
        <v>163861.644029039</v>
      </c>
      <c r="P37" s="99" t="n">
        <f aca="false">MAX(N37,O37)</f>
        <v>168907.090604928</v>
      </c>
      <c r="Q37" s="99" t="n">
        <f aca="false">MAX(0,L37-P37)</f>
        <v>3404112.96634997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25398.5548245011</v>
      </c>
      <c r="U37" s="99" t="n">
        <f aca="false">IF(AND($F$3=4,D37&lt;55),0,IF(D37&lt;50,0,IF(A37&lt;2025,$N$5*(1+$B$10)^(C37-1),IF(AND(D37&gt;59,D37&lt;64),$N$5*IF($N$3=2,1.5,1)*(1+$B$10)^(C37-1),$N$5*(1+$B$10)^(C37-1)))))</f>
        <v>5735.15754101638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3404112.96634997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3404112.96634997</v>
      </c>
      <c r="K38" s="99" t="n">
        <f aca="false">J38*E38</f>
        <v>230798.859118528</v>
      </c>
      <c r="L38" s="99" t="n">
        <f aca="false">J38+K38</f>
        <v>3634911.8254685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184006.106289188</v>
      </c>
      <c r="O38" s="99" t="n">
        <f aca="false">IF(D38&gt;$B$4,0,IF(D38&lt;$B$3,0,$B$8*(1+$B$10)^(C38-1)))</f>
        <v>167958.185129765</v>
      </c>
      <c r="P38" s="99" t="n">
        <f aca="false">MAX(N38,O38)</f>
        <v>184006.106289188</v>
      </c>
      <c r="Q38" s="99" t="n">
        <f aca="false">MAX(0,L38-P38)</f>
        <v>3450905.71917931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26033.5186951136</v>
      </c>
      <c r="U38" s="99" t="n">
        <f aca="false">IF(AND($F$3=4,D38&lt;55),0,IF(D38&lt;50,0,IF(A38&lt;2025,$N$5*(1+$B$10)^(C38-1),IF(AND(D38&gt;59,D38&lt;64),$N$5*IF($N$3=2,1.5,1)*(1+$B$10)^(C38-1),$N$5*(1+$B$10)^(C38-1)))))</f>
        <v>5878.53647954179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3450905.71917931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3450905.71917931</v>
      </c>
      <c r="K39" s="99" t="n">
        <f aca="false">J39*E39</f>
        <v>183933.274832257</v>
      </c>
      <c r="L39" s="99" t="n">
        <f aca="false">J39+K39</f>
        <v>3634838.99401157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194966.424812391</v>
      </c>
      <c r="O39" s="99" t="n">
        <f aca="false">IF(D39&gt;$B$4,0,IF(D39&lt;$B$3,0,$B$8*(1+$B$10)^(C39-1)))</f>
        <v>172157.13975801</v>
      </c>
      <c r="P39" s="99" t="n">
        <f aca="false">MAX(N39,O39)</f>
        <v>194966.424812391</v>
      </c>
      <c r="Q39" s="99" t="n">
        <f aca="false">MAX(0,L39-P39)</f>
        <v>3439872.56919918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26684.3566624915</v>
      </c>
      <c r="U39" s="99" t="n">
        <f aca="false">IF(AND($F$3=4,D39&lt;55),0,IF(D39&lt;50,0,IF(A39&lt;2025,$N$5*(1+$B$10)^(C39-1),IF(AND(D39&gt;59,D39&lt;64),$N$5*IF($N$3=2,1.5,1)*(1+$B$10)^(C39-1),$N$5*(1+$B$10)^(C39-1)))))</f>
        <v>6025.49989153033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3439872.56919918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3439872.56919918</v>
      </c>
      <c r="K40" s="99" t="n">
        <f aca="false">J40*E40</f>
        <v>255238.544634579</v>
      </c>
      <c r="L40" s="99" t="n">
        <f aca="false">J40+K40</f>
        <v>3695111.11383376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204754.319595189</v>
      </c>
      <c r="O40" s="99" t="n">
        <f aca="false">IF(D40&gt;$B$4,0,IF(D40&lt;$B$3,0,$B$8*(1+$B$10)^(C40-1)))</f>
        <v>176461.06825196</v>
      </c>
      <c r="P40" s="99" t="n">
        <f aca="false">MAX(N40,O40)</f>
        <v>204754.319595189</v>
      </c>
      <c r="Q40" s="99" t="n">
        <f aca="false">MAX(0,L40-P40)</f>
        <v>3490356.79423857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27351.4655790538</v>
      </c>
      <c r="U40" s="99" t="n">
        <f aca="false">IF(AND($F$3=4,D40&lt;55),0,IF(D40&lt;50,0,IF(A40&lt;2025,$N$5*(1+$B$10)^(C40-1),IF(AND(D40&gt;59,D40&lt;64),$N$5*IF($N$3=2,1.5,1)*(1+$B$10)^(C40-1),$N$5*(1+$B$10)^(C40-1)))))</f>
        <v>6176.13738881859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3490356.79423857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3490356.79423857</v>
      </c>
      <c r="K41" s="99" t="n">
        <f aca="false">J41*E41</f>
        <v>226873.191625507</v>
      </c>
      <c r="L41" s="99" t="n">
        <f aca="false">J41+K41</f>
        <v>3717229.98586408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218147.299639911</v>
      </c>
      <c r="O41" s="99" t="n">
        <f aca="false">IF(D41&gt;$B$4,0,IF(D41&lt;$B$3,0,$B$8*(1+$B$10)^(C41-1)))</f>
        <v>180872.594958259</v>
      </c>
      <c r="P41" s="99" t="n">
        <f aca="false">MAX(N41,O41)</f>
        <v>218147.299639911</v>
      </c>
      <c r="Q41" s="99" t="n">
        <f aca="false">MAX(0,L41-P41)</f>
        <v>3499082.68622417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28035.2522185301</v>
      </c>
      <c r="U41" s="99" t="n">
        <f aca="false">IF(AND($F$3=4,D41&lt;55),0,IF(D41&lt;50,0,IF(A41&lt;2025,$N$5*(1+$B$10)^(C41-1),IF(AND(D41&gt;59,D41&lt;64),$N$5*IF($N$3=2,1.5,1)*(1+$B$10)^(C41-1),$N$5*(1+$B$10)^(C41-1)))))</f>
        <v>6330.54082353906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3499082.68622417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3499082.68622417</v>
      </c>
      <c r="K42" s="99" t="n">
        <f aca="false">J42*E42</f>
        <v>-122467.894017846</v>
      </c>
      <c r="L42" s="99" t="n">
        <f aca="false">J42+K42</f>
        <v>3376614.79220632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230202.808304222</v>
      </c>
      <c r="O42" s="99" t="n">
        <f aca="false">IF(D42&gt;$B$4,0,IF(D42&lt;$B$3,0,$B$8*(1+$B$10)^(C42-1)))</f>
        <v>185394.409832215</v>
      </c>
      <c r="P42" s="99" t="n">
        <f aca="false">MAX(N42,O42)</f>
        <v>230202.808304222</v>
      </c>
      <c r="Q42" s="99" t="n">
        <f aca="false">MAX(0,L42-P42)</f>
        <v>3146411.9839021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28736.1335239934</v>
      </c>
      <c r="U42" s="99" t="n">
        <f aca="false">IF(AND($F$3=4,D42&lt;55),0,IF(D42&lt;50,0,IF(A42&lt;2025,$N$5*(1+$B$10)^(C42-1),IF(AND(D42&gt;59,D42&lt;64),$N$5*IF($N$3=2,1.5,1)*(1+$B$10)^(C42-1),$N$5*(1+$B$10)^(C42-1)))))</f>
        <v>6488.80434412753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3146411.9839021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3146411.9839021</v>
      </c>
      <c r="K43" s="99" t="n">
        <f aca="false">J43*E43</f>
        <v>251712.958712168</v>
      </c>
      <c r="L43" s="99" t="n">
        <f aca="false">J43+K43</f>
        <v>3398124.94261427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218500.832215424</v>
      </c>
      <c r="O43" s="99" t="n">
        <f aca="false">IF(D43&gt;$B$4,0,IF(D43&lt;$B$3,0,$B$8*(1+$B$10)^(C43-1)))</f>
        <v>190029.270078021</v>
      </c>
      <c r="P43" s="99" t="n">
        <f aca="false">MAX(N43,O43)</f>
        <v>218500.832215424</v>
      </c>
      <c r="Q43" s="99" t="n">
        <f aca="false">MAX(0,L43-P43)</f>
        <v>3179624.11039884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29454.5368620932</v>
      </c>
      <c r="U43" s="99" t="n">
        <f aca="false">IF(AND($F$3=4,D43&lt;55),0,IF(D43&lt;50,0,IF(A43&lt;2025,$N$5*(1+$B$10)^(C43-1),IF(AND(D43&gt;59,D43&lt;64),$N$5*IF($N$3=2,1.5,1)*(1+$B$10)^(C43-1),$N$5*(1+$B$10)^(C43-1)))))</f>
        <v>6651.02445273072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3179624.11039884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3179624.11039884</v>
      </c>
      <c r="K44" s="99" t="n">
        <f aca="false">J44*E44</f>
        <v>172335.626783617</v>
      </c>
      <c r="L44" s="99" t="n">
        <f aca="false">J44+K44</f>
        <v>3351959.73718246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232089.351124003</v>
      </c>
      <c r="O44" s="99" t="n">
        <f aca="false">IF(D44&gt;$B$4,0,IF(D44&lt;$B$3,0,$B$8*(1+$B$10)^(C44-1)))</f>
        <v>194780.001829971</v>
      </c>
      <c r="P44" s="99" t="n">
        <f aca="false">MAX(N44,O44)</f>
        <v>232089.351124003</v>
      </c>
      <c r="Q44" s="99" t="n">
        <f aca="false">MAX(0,L44-P44)</f>
        <v>3119870.38605846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30190.9002836455</v>
      </c>
      <c r="U44" s="99" t="n">
        <f aca="false">IF(AND($F$3=4,D44&lt;55),0,IF(D44&lt;50,0,IF(A44&lt;2025,$N$5*(1+$B$10)^(C44-1),IF(AND(D44&gt;59,D44&lt;64),$N$5*IF($N$3=2,1.5,1)*(1+$B$10)^(C44-1),$N$5*(1+$B$10)^(C44-1)))))</f>
        <v>6817.30006404899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3119870.38605846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3119870.38605846</v>
      </c>
      <c r="K45" s="99" t="n">
        <f aca="false">J45*E45</f>
        <v>246781.747537224</v>
      </c>
      <c r="L45" s="99" t="n">
        <f aca="false">J45+K45</f>
        <v>3366652.13359568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241850.417523911</v>
      </c>
      <c r="O45" s="99" t="n">
        <f aca="false">IF(D45&gt;$B$4,0,IF(D45&lt;$B$3,0,$B$8*(1+$B$10)^(C45-1)))</f>
        <v>199649.50187572</v>
      </c>
      <c r="P45" s="99" t="n">
        <f aca="false">MAX(N45,O45)</f>
        <v>241850.417523911</v>
      </c>
      <c r="Q45" s="99" t="n">
        <f aca="false">MAX(0,L45-P45)</f>
        <v>3124801.71607177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30945.6727907366</v>
      </c>
      <c r="U45" s="99" t="n">
        <f aca="false">IF(AND($F$3=4,D45&lt;55),0,IF(D45&lt;50,0,IF(A45&lt;2025,$N$5*(1+$B$10)^(C45-1),IF(AND(D45&gt;59,D45&lt;64),$N$5*IF($N$3=2,1.5,1)*(1+$B$10)^(C45-1),$N$5*(1+$B$10)^(C45-1)))))</f>
        <v>6987.73256565021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3124801.71607177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3124801.71607177</v>
      </c>
      <c r="K46" s="99" t="n">
        <f aca="false">J46*E46</f>
        <v>117805.024695906</v>
      </c>
      <c r="L46" s="99" t="n">
        <f aca="false">J46+K46</f>
        <v>3242606.74076768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256131.288202604</v>
      </c>
      <c r="O46" s="99" t="n">
        <f aca="false">IF(D46&gt;$B$4,0,IF(D46&lt;$B$3,0,$B$8*(1+$B$10)^(C46-1)))</f>
        <v>204640.739422613</v>
      </c>
      <c r="P46" s="99" t="n">
        <f aca="false">MAX(N46,O46)</f>
        <v>256131.288202604</v>
      </c>
      <c r="Q46" s="99" t="n">
        <f aca="false">MAX(0,L46-P46)</f>
        <v>2986475.45256507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31719.3146105051</v>
      </c>
      <c r="U46" s="99" t="n">
        <f aca="false">IF(AND($F$3=4,D46&lt;55),0,IF(D46&lt;50,0,IF(A46&lt;2025,$N$5*(1+$B$10)^(C46-1),IF(AND(D46&gt;59,D46&lt;64),$N$5*IF($N$3=2,1.5,1)*(1+$B$10)^(C46-1),$N$5*(1+$B$10)^(C46-1)))))</f>
        <v>7162.42587979147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2986475.45256507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2986475.45256507</v>
      </c>
      <c r="K47" s="99" t="n">
        <f aca="false">J47*E47</f>
        <v>274457.09409073</v>
      </c>
      <c r="L47" s="99" t="n">
        <f aca="false">J47+K47</f>
        <v>3260932.5466558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3260932.5466558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32512.2974757677</v>
      </c>
      <c r="U47" s="99" t="n">
        <f aca="false">IF(AND($F$3=4,D47&lt;55),0,IF(D47&lt;50,0,IF(A47&lt;2025,$N$5*(1+$B$10)^(C47-1),IF(AND(D47&gt;59,D47&lt;64),$N$5*IF($N$3=2,1.5,1)*(1+$B$10)^(C47-1),$N$5*(1+$B$10)^(C47-1)))))</f>
        <v>7341.48652678625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3260932.5466558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3260932.5466558</v>
      </c>
      <c r="K48" s="99" t="n">
        <f aca="false">J48*E48</f>
        <v>109893.426822301</v>
      </c>
      <c r="L48" s="99" t="n">
        <f aca="false">J48+K48</f>
        <v>3370825.9734781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3370825.9734781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33325.1049126619</v>
      </c>
      <c r="U48" s="99" t="n">
        <f aca="false">IF(AND($F$3=4,D48&lt;55),0,IF(D48&lt;50,0,IF(A48&lt;2025,$N$5*(1+$B$10)^(C48-1),IF(AND(D48&gt;59,D48&lt;64),$N$5*IF($N$3=2,1.5,1)*(1+$B$10)^(C48-1),$N$5*(1+$B$10)^(C48-1)))))</f>
        <v>7525.02368995591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3370825.9734781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3370825.9734781</v>
      </c>
      <c r="K49" s="99" t="n">
        <f aca="false">J49*E49</f>
        <v>151687.168806515</v>
      </c>
      <c r="L49" s="99" t="n">
        <f aca="false">J49+K49</f>
        <v>3522513.14228462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3522513.14228462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34158.2325354784</v>
      </c>
      <c r="U49" s="99" t="n">
        <f aca="false">IF(AND($F$3=4,D49&lt;55),0,IF(D49&lt;50,0,IF(A49&lt;2025,$N$5*(1+$B$10)^(C49-1),IF(AND(D49&gt;59,D49&lt;64),$N$5*IF($N$3=2,1.5,1)*(1+$B$10)^(C49-1),$N$5*(1+$B$10)^(C49-1)))))</f>
        <v>7713.1492822048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3522513.14228462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3522513.14228462</v>
      </c>
      <c r="K50" s="99" t="n">
        <f aca="false">J50*E50</f>
        <v>387476.445651308</v>
      </c>
      <c r="L50" s="99" t="n">
        <f aca="false">J50+K50</f>
        <v>3909989.58793593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3909989.58793593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35012.1883488654</v>
      </c>
      <c r="U50" s="99" t="n">
        <f aca="false">IF(AND($F$3=4,D50&lt;55),0,IF(D50&lt;50,0,IF(A50&lt;2025,$N$5*(1+$B$10)^(C50-1),IF(AND(D50&gt;59,D50&lt;64),$N$5*IF($N$3=2,1.5,1)*(1+$B$10)^(C50-1),$N$5*(1+$B$10)^(C50-1)))))</f>
        <v>7905.97801425992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3909989.58793593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3909989.58793593</v>
      </c>
      <c r="K51" s="99" t="n">
        <f aca="false">J51*E51</f>
        <v>342124.088944393</v>
      </c>
      <c r="L51" s="99" t="n">
        <f aca="false">J51+K51</f>
        <v>4252113.67688032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4252113.67688032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35887.493057587</v>
      </c>
      <c r="U51" s="99" t="n">
        <f aca="false">IF(AND($F$3=4,D51&lt;55),0,IF(D51&lt;50,0,IF(A51&lt;2025,$N$5*(1+$B$10)^(C51-1),IF(AND(D51&gt;59,D51&lt;64),$N$5*IF($N$3=2,1.5,1)*(1+$B$10)^(C51-1),$N$5*(1+$B$10)^(C51-1)))))</f>
        <v>8103.62746461642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4252113.67688032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4252113.67688032</v>
      </c>
      <c r="K52" s="99" t="n">
        <f aca="false">J52*E52</f>
        <v>-198573.708710311</v>
      </c>
      <c r="L52" s="99" t="n">
        <f aca="false">J52+K52</f>
        <v>4053539.96817001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4053539.96817001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36784.6803840267</v>
      </c>
      <c r="U52" s="99" t="n">
        <f aca="false">IF(AND($F$3=4,D52&lt;55),0,IF(D52&lt;50,0,IF(A52&lt;2025,$N$5*(1+$B$10)^(C52-1),IF(AND(D52&gt;59,D52&lt;64),$N$5*IF($N$3=2,1.5,1)*(1+$B$10)^(C52-1),$N$5*(1+$B$10)^(C52-1)))))</f>
        <v>8306.21815123183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4053539.96817001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4053539.96817001</v>
      </c>
      <c r="K53" s="99" t="n">
        <f aca="false">J53*E53</f>
        <v>-286990.629746437</v>
      </c>
      <c r="L53" s="99" t="n">
        <f aca="false">J53+K53</f>
        <v>3766549.33842357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3766549.33842357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37704.2973936273</v>
      </c>
      <c r="U53" s="99" t="n">
        <f aca="false">IF(AND($F$3=4,D53&lt;55),0,IF(D53&lt;50,0,IF(A53&lt;2025,$N$5*(1+$B$10)^(C53-1),IF(AND(D53&gt;59,D53&lt;64),$N$5*IF($N$3=2,1.5,1)*(1+$B$10)^(C53-1),$N$5*(1+$B$10)^(C53-1)))))</f>
        <v>8513.87360501263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3766549.33842357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3766549.33842357</v>
      </c>
      <c r="K54" s="99" t="n">
        <f aca="false">J54*E54</f>
        <v>-507730.850819497</v>
      </c>
      <c r="L54" s="99" t="n">
        <f aca="false">J54+K54</f>
        <v>3258818.48760407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3258818.48760407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38646.904828468</v>
      </c>
      <c r="U54" s="99" t="n">
        <f aca="false">IF(AND($F$3=4,D54&lt;55),0,IF(D54&lt;50,0,IF(A54&lt;2025,$N$5*(1+$B$10)^(C54-1),IF(AND(D54&gt;59,D54&lt;64),$N$5*IF($N$3=2,1.5,1)*(1+$B$10)^(C54-1),$N$5*(1+$B$10)^(C54-1)))))</f>
        <v>8726.72044513794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3258818.48760407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61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Monthly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SIMPLE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SIMPLE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3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3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15500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3500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0.08</v>
      </c>
      <c r="C6" s="57"/>
      <c r="D6" s="64" t="s">
        <v>17</v>
      </c>
      <c r="E6" s="79" t="n">
        <f aca="false">VLOOKUP($A$14,Scenarios!$A:$CE,HLOOKUP(D6,Scenarios!$1:$2,2,FALSE()),FALSE())</f>
        <v>1000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212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SIMPLE with Monthly / Monthly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0.1459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291800</v>
      </c>
      <c r="L17" s="99" t="n">
        <f aca="false">J17+K17</f>
        <v>2291800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2291800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12000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12000</v>
      </c>
      <c r="T17" s="99" t="n">
        <f aca="false">$N$4*(1+$B$10)^(C17-1)</f>
        <v>15500</v>
      </c>
      <c r="U17" s="99" t="n">
        <f aca="false">IF(AND($F$3=4,D17&lt;55),0,IF(D17&lt;50,0,IF(A17&lt;2025,$N$5*(1+$B$10)^(C17-1),IF(AND(D17&gt;59,D17&lt;64),$N$5*IF($N$3=2,1.5,1)*(1+$B$10)^(C17-1),$N$5*(1+$B$10)^(C17-1)))))</f>
        <v>3500</v>
      </c>
      <c r="V17" s="99" t="n">
        <f aca="false">IF($N$3=1,0,$N$6*(1+$B$10)^(C17-1)-W17)</f>
        <v>99987999</v>
      </c>
      <c r="W17" s="99" t="n">
        <f aca="false">MIN(R17,T17)</f>
        <v>12000</v>
      </c>
      <c r="X17" s="99" t="n">
        <f aca="false">MIN(U17,R17-W17)</f>
        <v>0</v>
      </c>
      <c r="Y17" s="99" t="n">
        <f aca="false">MIN(S17,V17)</f>
        <v>12000</v>
      </c>
      <c r="Z17" s="99" t="n">
        <f aca="false">W17+X17+Y17</f>
        <v>24000</v>
      </c>
      <c r="AA17" s="100" t="n">
        <f aca="false">Q17+Z17</f>
        <v>2315800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0.0767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2315800</v>
      </c>
      <c r="K18" s="99" t="n">
        <f aca="false">J18*E18</f>
        <v>177621.86</v>
      </c>
      <c r="L18" s="99" t="n">
        <f aca="false">J18+K18</f>
        <v>2493421.86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2493421.86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12000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12000</v>
      </c>
      <c r="T18" s="99" t="n">
        <f aca="false">$N$4*(1+$B$10)^(C18-1)</f>
        <v>15887.5</v>
      </c>
      <c r="U18" s="99" t="n">
        <f aca="false">IF(AND($F$3=4,D18&lt;55),0,IF(D18&lt;50,0,IF(A18&lt;2025,$N$5*(1+$B$10)^(C18-1),IF(AND(D18&gt;59,D18&lt;64),$N$5*IF($N$3=2,1.5,1)*(1+$B$10)^(C18-1),$N$5*(1+$B$10)^(C18-1)))))</f>
        <v>3587.5</v>
      </c>
      <c r="V18" s="99" t="n">
        <f aca="false">IF($N$3=1,0,$N$6*(1+$B$10)^(C18-1)-W18)</f>
        <v>102487998.975</v>
      </c>
      <c r="W18" s="99" t="n">
        <f aca="false">MIN(R18,T18)</f>
        <v>12000</v>
      </c>
      <c r="X18" s="99" t="n">
        <f aca="false">MIN(U18,R18-W18)</f>
        <v>0</v>
      </c>
      <c r="Y18" s="99" t="n">
        <f aca="false">MIN(S18,V18)</f>
        <v>12000</v>
      </c>
      <c r="Z18" s="99" t="n">
        <f aca="false">W18+X18+Y18</f>
        <v>24000</v>
      </c>
      <c r="AA18" s="100" t="n">
        <f aca="false">Q18+W18+X18+Y18</f>
        <v>2517421.86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0.0341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2517421.86</v>
      </c>
      <c r="K19" s="99" t="n">
        <f aca="false">J19*E19</f>
        <v>85844.085426</v>
      </c>
      <c r="L19" s="99" t="n">
        <f aca="false">J19+K19</f>
        <v>2603265.945426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2603265.945426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12000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12000</v>
      </c>
      <c r="T19" s="99" t="n">
        <f aca="false">$N$4*(1+$B$10)^(C19-1)</f>
        <v>16284.6875</v>
      </c>
      <c r="U19" s="99" t="n">
        <f aca="false">IF(AND($F$3=4,D19&lt;55),0,IF(D19&lt;50,0,IF(A19&lt;2025,$N$5*(1+$B$10)^(C19-1),IF(AND(D19&gt;59,D19&lt;64),$N$5*IF($N$3=2,1.5,1)*(1+$B$10)^(C19-1),$N$5*(1+$B$10)^(C19-1)))))</f>
        <v>3677.1875</v>
      </c>
      <c r="V19" s="99" t="n">
        <f aca="false">IF($N$3=1,0,$N$6*(1+$B$10)^(C19-1)-W19)</f>
        <v>105050498.949375</v>
      </c>
      <c r="W19" s="99" t="n">
        <f aca="false">MIN(R19,T19)</f>
        <v>12000</v>
      </c>
      <c r="X19" s="99" t="n">
        <f aca="false">MIN(U19,R19-W19)</f>
        <v>0</v>
      </c>
      <c r="Y19" s="99" t="n">
        <f aca="false">MIN(S19,V19)</f>
        <v>12000</v>
      </c>
      <c r="Z19" s="99" t="n">
        <f aca="false">W19+X19+Y19</f>
        <v>24000</v>
      </c>
      <c r="AA19" s="100" t="n">
        <f aca="false">Q19+W19+X19+Y19</f>
        <v>2627265.945426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0.176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2627265.945426</v>
      </c>
      <c r="K20" s="99" t="n">
        <f aca="false">J20*E20</f>
        <v>462398.806394976</v>
      </c>
      <c r="L20" s="99" t="n">
        <f aca="false">J20+K20</f>
        <v>3089664.75182098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3089664.75182098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12000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12000</v>
      </c>
      <c r="T20" s="99" t="n">
        <f aca="false">$N$4*(1+$B$10)^(C20-1)</f>
        <v>16691.8046875</v>
      </c>
      <c r="U20" s="99" t="n">
        <f aca="false">IF(AND($F$3=4,D20&lt;55),0,IF(D20&lt;50,0,IF(A20&lt;2025,$N$5*(1+$B$10)^(C20-1),IF(AND(D20&gt;59,D20&lt;64),$N$5*IF($N$3=2,1.5,1)*(1+$B$10)^(C20-1),$N$5*(1+$B$10)^(C20-1)))))</f>
        <v>3769.1171875</v>
      </c>
      <c r="V20" s="99" t="n">
        <f aca="false">IF($N$3=1,0,$N$6*(1+$B$10)^(C20-1)-W20)</f>
        <v>107677061.423109</v>
      </c>
      <c r="W20" s="99" t="n">
        <f aca="false">MIN(R20,T20)</f>
        <v>12000</v>
      </c>
      <c r="X20" s="99" t="n">
        <f aca="false">MIN(U20,R20-W20)</f>
        <v>0</v>
      </c>
      <c r="Y20" s="99" t="n">
        <f aca="false">MIN(S20,V20)</f>
        <v>12000</v>
      </c>
      <c r="Z20" s="99" t="n">
        <f aca="false">W20+X20+Y20</f>
        <v>24000</v>
      </c>
      <c r="AA20" s="100" t="n">
        <f aca="false">Q20+W20+X20+Y20</f>
        <v>3113664.75182098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0.1283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3113664.75182098</v>
      </c>
      <c r="K21" s="99" t="n">
        <f aca="false">J21*E21</f>
        <v>399483.187658631</v>
      </c>
      <c r="L21" s="99" t="n">
        <f aca="false">J21+K21</f>
        <v>3513147.93947961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3402766.65041711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17109.0998046875</v>
      </c>
      <c r="U21" s="99" t="n">
        <f aca="false">IF(AND($F$3=4,D21&lt;55),0,IF(D21&lt;50,0,IF(A21&lt;2025,$N$5*(1+$B$10)^(C21-1),IF(AND(D21&gt;59,D21&lt;64),$N$5*IF($N$3=2,1.5,1)*(1+$B$10)^(C21-1),$N$5*(1+$B$10)^(C21-1)))))</f>
        <v>3863.3451171875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3402766.65041711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0.1308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3402766.65041711</v>
      </c>
      <c r="K22" s="99" t="n">
        <f aca="false">J22*E22</f>
        <v>445081.877874558</v>
      </c>
      <c r="L22" s="99" t="n">
        <f aca="false">J22+K22</f>
        <v>3847848.52829166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3734707.7070026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17536.8272998047</v>
      </c>
      <c r="U22" s="99" t="n">
        <f aca="false">IF(AND($F$3=4,D22&lt;55),0,IF(D22&lt;50,0,IF(A22&lt;2025,$N$5*(1+$B$10)^(C22-1),IF(AND(D22&gt;59,D22&lt;64),$N$5*IF($N$3=2,1.5,1)*(1+$B$10)^(C22-1),$N$5*(1+$B$10)^(C22-1)))))</f>
        <v>3959.92874511719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3734707.7070026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0.1613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3734707.7070026</v>
      </c>
      <c r="K23" s="99" t="n">
        <f aca="false">J23*E23</f>
        <v>602408.35313952</v>
      </c>
      <c r="L23" s="99" t="n">
        <f aca="false">J23+K23</f>
        <v>4337116.06014212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4221146.71832083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17975.2479822998</v>
      </c>
      <c r="U23" s="99" t="n">
        <f aca="false">IF(AND($F$3=4,D23&lt;55),0,IF(D23&lt;50,0,IF(A23&lt;2025,$N$5*(1+$B$10)^(C23-1),IF(AND(D23&gt;59,D23&lt;64),$N$5*IF($N$3=2,1.5,1)*(1+$B$10)^(C23-1),$N$5*(1+$B$10)^(C23-1)))))</f>
        <v>4058.92696374511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4221146.71832083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-0.0787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4221146.71832083</v>
      </c>
      <c r="K24" s="99" t="n">
        <f aca="false">J24*E24</f>
        <v>-332204.24673185</v>
      </c>
      <c r="L24" s="99" t="n">
        <f aca="false">J24+K24</f>
        <v>3888942.47158898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3770073.89622216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18424.6291818573</v>
      </c>
      <c r="U24" s="99" t="n">
        <f aca="false">IF(AND($F$3=4,D24&lt;55),0,IF(D24&lt;50,0,IF(A24&lt;2025,$N$5*(1+$B$10)^(C24-1),IF(AND(D24&gt;59,D24&lt;64),$N$5*IF($N$3=2,1.5,1)*(1+$B$10)^(C24-1),$N$5*(1+$B$10)^(C24-1)))))</f>
        <v>4160.40013783874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3770073.89622216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0.0196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3770073.89622216</v>
      </c>
      <c r="K25" s="99" t="n">
        <f aca="false">J25*E25</f>
        <v>73893.4483659544</v>
      </c>
      <c r="L25" s="99" t="n">
        <f aca="false">J25+K25</f>
        <v>3843967.34458812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3722127.05483713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18885.2449114037</v>
      </c>
      <c r="U25" s="99" t="n">
        <f aca="false">IF(AND($F$3=4,D25&lt;55),0,IF(D25&lt;50,0,IF(A25&lt;2025,$N$5*(1+$B$10)^(C25-1),IF(AND(D25&gt;59,D25&lt;64),$N$5*IF($N$3=2,1.5,1)*(1+$B$10)^(C25-1),$N$5*(1+$B$10)^(C25-1)))))</f>
        <v>4264.41014128471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3722127.05483713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0.1025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3722127.05483713</v>
      </c>
      <c r="K26" s="99" t="n">
        <f aca="false">J26*E26</f>
        <v>381518.023120805</v>
      </c>
      <c r="L26" s="99" t="n">
        <f aca="false">J26+K26</f>
        <v>4103645.07795793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3978758.78096316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19357.3760341888</v>
      </c>
      <c r="U26" s="99" t="n">
        <f aca="false">IF(AND($F$3=4,D26&lt;55),0,IF(D26&lt;50,0,IF(A26&lt;2025,$N$5*(1+$B$10)^(C26-1),IF(AND(D26&gt;59,D26&lt;64),$N$5*IF($N$3=2,1.5,1)*(1+$B$10)^(C26-1),$N$5*(1+$B$10)^(C26-1)))))</f>
        <v>4371.02039481683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3978758.78096316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0.1713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3978758.78096316</v>
      </c>
      <c r="K27" s="99" t="n">
        <f aca="false">J27*E27</f>
        <v>681561.37917899</v>
      </c>
      <c r="L27" s="99" t="n">
        <f aca="false">J27+K27</f>
        <v>4660320.16014215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4532311.70572252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19841.3104350435</v>
      </c>
      <c r="U27" s="99" t="n">
        <f aca="false">IF(AND($F$3=4,D27&lt;55),0,IF(D27&lt;50,0,IF(A27&lt;2025,$N$5*(1+$B$10)^(C27-1),IF(AND(D27&gt;59,D27&lt;64),$N$5*IF($N$3=2,1.5,1)*(1+$B$10)^(C27-1),$N$5*(1+$B$10)^(C27-1)))))</f>
        <v>4480.29590468725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4532311.70572252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0.1041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4532311.70572252</v>
      </c>
      <c r="K28" s="99" t="n">
        <f aca="false">J28*E28</f>
        <v>471813.648565714</v>
      </c>
      <c r="L28" s="99" t="n">
        <f aca="false">J28+K28</f>
        <v>5004125.35428823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4872916.68850811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20337.3431959196</v>
      </c>
      <c r="U28" s="99" t="n">
        <f aca="false">IF(AND($F$3=4,D28&lt;55),0,IF(D28&lt;50,0,IF(A28&lt;2025,$N$5*(1+$B$10)^(C28-1),IF(AND(D28&gt;59,D28&lt;64),$N$5*IF($N$3=2,1.5,1)*(1+$B$10)^(C28-1),$N$5*(1+$B$10)^(C28-1)))))</f>
        <v>4592.30330230443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4872916.68850811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0.128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4872916.68850811</v>
      </c>
      <c r="K29" s="99" t="n">
        <f aca="false">J29*E29</f>
        <v>623733.336129038</v>
      </c>
      <c r="L29" s="99" t="n">
        <f aca="false">J29+K29</f>
        <v>5496650.02463714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5362161.14221252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20845.7767758176</v>
      </c>
      <c r="U29" s="99" t="n">
        <f aca="false">IF(AND($F$3=4,D29&lt;55),0,IF(D29&lt;50,0,IF(A29&lt;2025,$N$5*(1+$B$10)^(C29-1),IF(AND(D29&gt;59,D29&lt;64),$N$5*IF($N$3=2,1.5,1)*(1+$B$10)^(C29-1),$N$5*(1+$B$10)^(C29-1)))))</f>
        <v>4707.11088486204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5362161.14221252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0.0497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5362161.14221252</v>
      </c>
      <c r="K30" s="99" t="n">
        <f aca="false">J30*E30</f>
        <v>266499.408767962</v>
      </c>
      <c r="L30" s="99" t="n">
        <f aca="false">J30+K30</f>
        <v>5628660.55098048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5490809.44649523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21366.921195213</v>
      </c>
      <c r="U30" s="99" t="n">
        <f aca="false">IF(AND($F$3=4,D30&lt;55),0,IF(D30&lt;50,0,IF(A30&lt;2025,$N$5*(1+$B$10)^(C30-1),IF(AND(D30&gt;59,D30&lt;64),$N$5*IF($N$3=2,1.5,1)*(1+$B$10)^(C30-1),$N$5*(1+$B$10)^(C30-1)))))</f>
        <v>4824.78865698359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5490809.44649523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0.0901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5490809.44649523</v>
      </c>
      <c r="K31" s="99" t="n">
        <f aca="false">J31*E31</f>
        <v>494721.93112922</v>
      </c>
      <c r="L31" s="99" t="n">
        <f aca="false">J31+K31</f>
        <v>5985531.37762445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223203.636036391</v>
      </c>
      <c r="O31" s="99" t="n">
        <f aca="false">IF(D31&gt;$B$4,0,IF(D31&lt;$B$3,0,$B$8*(1+$B$10)^(C31-1)))</f>
        <v>141297.382097377</v>
      </c>
      <c r="P31" s="99" t="n">
        <f aca="false">MAX(N31,O31)</f>
        <v>223203.636036391</v>
      </c>
      <c r="Q31" s="99" t="n">
        <f aca="false">MAX(0,L31-P31)</f>
        <v>5762327.74158806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21901.0942250934</v>
      </c>
      <c r="U31" s="99" t="n">
        <f aca="false">IF(AND($F$3=4,D31&lt;55),0,IF(D31&lt;50,0,IF(A31&lt;2025,$N$5*(1+$B$10)^(C31-1),IF(AND(D31&gt;59,D31&lt;64),$N$5*IF($N$3=2,1.5,1)*(1+$B$10)^(C31-1),$N$5*(1+$B$10)^(C31-1)))))</f>
        <v>4945.40837340818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5762327.74158806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0.0435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5762327.74158806</v>
      </c>
      <c r="K32" s="99" t="n">
        <f aca="false">J32*E32</f>
        <v>250661.256759081</v>
      </c>
      <c r="L32" s="99" t="n">
        <f aca="false">J32+K32</f>
        <v>6012988.99834714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243136.191628188</v>
      </c>
      <c r="O32" s="99" t="n">
        <f aca="false">IF(D32&gt;$B$4,0,IF(D32&lt;$B$3,0,$B$8*(1+$B$10)^(C32-1)))</f>
        <v>144829.816649811</v>
      </c>
      <c r="P32" s="99" t="n">
        <f aca="false">MAX(N32,O32)</f>
        <v>243136.191628188</v>
      </c>
      <c r="Q32" s="99" t="n">
        <f aca="false">MAX(0,L32-P32)</f>
        <v>5769852.80671895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22448.6215807207</v>
      </c>
      <c r="U32" s="99" t="n">
        <f aca="false">IF(AND($F$3=4,D32&lt;55),0,IF(D32&lt;50,0,IF(A32&lt;2025,$N$5*(1+$B$10)^(C32-1),IF(AND(D32&gt;59,D32&lt;64),$N$5*IF($N$3=2,1.5,1)*(1+$B$10)^(C32-1),$N$5*(1+$B$10)^(C32-1)))))</f>
        <v>5069.04358274338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5769852.80671895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0.2636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5769852.80671895</v>
      </c>
      <c r="K33" s="99" t="n">
        <f aca="false">J33*E33</f>
        <v>1520933.19985112</v>
      </c>
      <c r="L33" s="99" t="n">
        <f aca="false">J33+K33</f>
        <v>7290786.00657007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251958.637847989</v>
      </c>
      <c r="O33" s="99" t="n">
        <f aca="false">IF(D33&gt;$B$4,0,IF(D33&lt;$B$3,0,$B$8*(1+$B$10)^(C33-1)))</f>
        <v>148450.562066056</v>
      </c>
      <c r="P33" s="99" t="n">
        <f aca="false">MAX(N33,O33)</f>
        <v>251958.637847989</v>
      </c>
      <c r="Q33" s="99" t="n">
        <f aca="false">MAX(0,L33-P33)</f>
        <v>7038827.36872208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23009.8371202387</v>
      </c>
      <c r="U33" s="99" t="n">
        <f aca="false">IF(AND($F$3=4,D33&lt;55),0,IF(D33&lt;50,0,IF(A33&lt;2025,$N$5*(1+$B$10)^(C33-1),IF(AND(D33&gt;59,D33&lt;64),$N$5*IF($N$3=2,1.5,1)*(1+$B$10)^(C33-1),$N$5*(1+$B$10)^(C33-1)))))</f>
        <v>5195.76967231197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7038827.36872208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-0.108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7038827.36872208</v>
      </c>
      <c r="K34" s="99" t="n">
        <f aca="false">J34*E34</f>
        <v>-760193.355821985</v>
      </c>
      <c r="L34" s="99" t="n">
        <f aca="false">J34+K34</f>
        <v>6278634.0129001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319946.698578276</v>
      </c>
      <c r="O34" s="99" t="n">
        <f aca="false">IF(D34&gt;$B$4,0,IF(D34&lt;$B$3,0,$B$8*(1+$B$10)^(C34-1)))</f>
        <v>152161.826117708</v>
      </c>
      <c r="P34" s="99" t="n">
        <f aca="false">MAX(N34,O34)</f>
        <v>319946.698578276</v>
      </c>
      <c r="Q34" s="99" t="n">
        <f aca="false">MAX(0,L34-P34)</f>
        <v>5958687.31432182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23585.0830482447</v>
      </c>
      <c r="U34" s="99" t="n">
        <f aca="false">IF(AND($F$3=4,D34&lt;55),0,IF(D34&lt;50,0,IF(A34&lt;2025,$N$5*(1+$B$10)^(C34-1),IF(AND(D34&gt;59,D34&lt;64),$N$5*IF($N$3=2,1.5,1)*(1+$B$10)^(C34-1),$N$5*(1+$B$10)^(C34-1)))))</f>
        <v>5325.66391411977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5958687.31432182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0.2124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5958687.31432182</v>
      </c>
      <c r="K35" s="99" t="n">
        <f aca="false">J35*E35</f>
        <v>1265625.18556195</v>
      </c>
      <c r="L35" s="99" t="n">
        <f aca="false">J35+K35</f>
        <v>7224312.49988377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282402.24238492</v>
      </c>
      <c r="O35" s="99" t="n">
        <f aca="false">IF(D35&gt;$B$4,0,IF(D35&lt;$B$3,0,$B$8*(1+$B$10)^(C35-1)))</f>
        <v>155965.87177065</v>
      </c>
      <c r="P35" s="99" t="n">
        <f aca="false">MAX(N35,O35)</f>
        <v>282402.24238492</v>
      </c>
      <c r="Q35" s="99" t="n">
        <f aca="false">MAX(0,L35-P35)</f>
        <v>6941910.25749885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24174.7101244508</v>
      </c>
      <c r="U35" s="99" t="n">
        <f aca="false">IF(AND($F$3=4,D35&lt;55),0,IF(D35&lt;50,0,IF(A35&lt;2025,$N$5*(1+$B$10)^(C35-1),IF(AND(D35&gt;59,D35&lt;64),$N$5*IF($N$3=2,1.5,1)*(1+$B$10)^(C35-1),$N$5*(1+$B$10)^(C35-1)))))</f>
        <v>5458.80551197276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6941910.25749885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0.0733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6941910.25749885</v>
      </c>
      <c r="K36" s="99" t="n">
        <f aca="false">J36*E36</f>
        <v>508842.021874666</v>
      </c>
      <c r="L36" s="99" t="n">
        <f aca="false">J36+K36</f>
        <v>7450752.27937352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343658.923638557</v>
      </c>
      <c r="O36" s="99" t="n">
        <f aca="false">IF(D36&gt;$B$4,0,IF(D36&lt;$B$3,0,$B$8*(1+$B$10)^(C36-1)))</f>
        <v>159865.018564917</v>
      </c>
      <c r="P36" s="99" t="n">
        <f aca="false">MAX(N36,O36)</f>
        <v>343658.923638557</v>
      </c>
      <c r="Q36" s="99" t="n">
        <f aca="false">MAX(0,L36-P36)</f>
        <v>7107093.35573496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24779.0778775621</v>
      </c>
      <c r="U36" s="99" t="n">
        <f aca="false">IF(AND($F$3=4,D36&lt;55),0,IF(D36&lt;50,0,IF(A36&lt;2025,$N$5*(1+$B$10)^(C36-1),IF(AND(D36&gt;59,D36&lt;64),$N$5*IF($N$3=2,1.5,1)*(1+$B$10)^(C36-1),$N$5*(1+$B$10)^(C36-1)))))</f>
        <v>5595.27564977208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7107093.35573496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0.1447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7107093.35573496</v>
      </c>
      <c r="K37" s="99" t="n">
        <f aca="false">J37*E37</f>
        <v>1028396.40857485</v>
      </c>
      <c r="L37" s="99" t="n">
        <f aca="false">J37+K37</f>
        <v>8135489.76430981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366345.018336854</v>
      </c>
      <c r="O37" s="99" t="n">
        <f aca="false">IF(D37&gt;$B$4,0,IF(D37&lt;$B$3,0,$B$8*(1+$B$10)^(C37-1)))</f>
        <v>163861.644029039</v>
      </c>
      <c r="P37" s="99" t="n">
        <f aca="false">MAX(N37,O37)</f>
        <v>366345.018336854</v>
      </c>
      <c r="Q37" s="99" t="n">
        <f aca="false">MAX(0,L37-P37)</f>
        <v>7769144.74597296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25398.5548245011</v>
      </c>
      <c r="U37" s="99" t="n">
        <f aca="false">IF(AND($F$3=4,D37&lt;55),0,IF(D37&lt;50,0,IF(A37&lt;2025,$N$5*(1+$B$10)^(C37-1),IF(AND(D37&gt;59,D37&lt;64),$N$5*IF($N$3=2,1.5,1)*(1+$B$10)^(C37-1),$N$5*(1+$B$10)^(C37-1)))))</f>
        <v>5735.15754101638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7769144.74597296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0.1084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7769144.74597296</v>
      </c>
      <c r="K38" s="99" t="n">
        <f aca="false">J38*E38</f>
        <v>842175.290463469</v>
      </c>
      <c r="L38" s="99" t="n">
        <f aca="false">J38+K38</f>
        <v>8611320.03643643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419953.770052592</v>
      </c>
      <c r="O38" s="99" t="n">
        <f aca="false">IF(D38&gt;$B$4,0,IF(D38&lt;$B$3,0,$B$8*(1+$B$10)^(C38-1)))</f>
        <v>167958.185129765</v>
      </c>
      <c r="P38" s="99" t="n">
        <f aca="false">MAX(N38,O38)</f>
        <v>419953.770052592</v>
      </c>
      <c r="Q38" s="99" t="n">
        <f aca="false">MAX(0,L38-P38)</f>
        <v>8191366.26638383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26033.5186951136</v>
      </c>
      <c r="U38" s="99" t="n">
        <f aca="false">IF(AND($F$3=4,D38&lt;55),0,IF(D38&lt;50,0,IF(A38&lt;2025,$N$5*(1+$B$10)^(C38-1),IF(AND(D38&gt;59,D38&lt;64),$N$5*IF($N$3=2,1.5,1)*(1+$B$10)^(C38-1),$N$5*(1+$B$10)^(C38-1)))))</f>
        <v>5878.53647954179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8191366.26638383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0.0853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8191366.26638383</v>
      </c>
      <c r="K39" s="99" t="n">
        <f aca="false">J39*E39</f>
        <v>698723.542522541</v>
      </c>
      <c r="L39" s="99" t="n">
        <f aca="false">J39+K39</f>
        <v>8890089.80890637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462789.054597957</v>
      </c>
      <c r="O39" s="99" t="n">
        <f aca="false">IF(D39&gt;$B$4,0,IF(D39&lt;$B$3,0,$B$8*(1+$B$10)^(C39-1)))</f>
        <v>172157.13975801</v>
      </c>
      <c r="P39" s="99" t="n">
        <f aca="false">MAX(N39,O39)</f>
        <v>462789.054597957</v>
      </c>
      <c r="Q39" s="99" t="n">
        <f aca="false">MAX(0,L39-P39)</f>
        <v>8427300.75430842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26684.3566624915</v>
      </c>
      <c r="U39" s="99" t="n">
        <f aca="false">IF(AND($F$3=4,D39&lt;55),0,IF(D39&lt;50,0,IF(A39&lt;2025,$N$5*(1+$B$10)^(C39-1),IF(AND(D39&gt;59,D39&lt;64),$N$5*IF($N$3=2,1.5,1)*(1+$B$10)^(C39-1),$N$5*(1+$B$10)^(C39-1)))))</f>
        <v>6025.49989153033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8427300.75430842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0.1187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8427300.75430842</v>
      </c>
      <c r="K40" s="99" t="n">
        <f aca="false">J40*E40</f>
        <v>1000320.59953641</v>
      </c>
      <c r="L40" s="99" t="n">
        <f aca="false">J40+K40</f>
        <v>9427621.35384483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501625.044899311</v>
      </c>
      <c r="O40" s="99" t="n">
        <f aca="false">IF(D40&gt;$B$4,0,IF(D40&lt;$B$3,0,$B$8*(1+$B$10)^(C40-1)))</f>
        <v>176461.06825196</v>
      </c>
      <c r="P40" s="99" t="n">
        <f aca="false">MAX(N40,O40)</f>
        <v>501625.044899311</v>
      </c>
      <c r="Q40" s="99" t="n">
        <f aca="false">MAX(0,L40-P40)</f>
        <v>8925996.30894552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27351.4655790538</v>
      </c>
      <c r="U40" s="99" t="n">
        <f aca="false">IF(AND($F$3=4,D40&lt;55),0,IF(D40&lt;50,0,IF(A40&lt;2025,$N$5*(1+$B$10)^(C40-1),IF(AND(D40&gt;59,D40&lt;64),$N$5*IF($N$3=2,1.5,1)*(1+$B$10)^(C40-1),$N$5*(1+$B$10)^(C40-1)))))</f>
        <v>6176.13738881859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8925996.30894552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0.104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8925996.30894552</v>
      </c>
      <c r="K41" s="99" t="n">
        <f aca="false">J41*E41</f>
        <v>928303.616130334</v>
      </c>
      <c r="L41" s="99" t="n">
        <f aca="false">J41+K41</f>
        <v>9854299.92507585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557874.769309095</v>
      </c>
      <c r="O41" s="99" t="n">
        <f aca="false">IF(D41&gt;$B$4,0,IF(D41&lt;$B$3,0,$B$8*(1+$B$10)^(C41-1)))</f>
        <v>180872.594958259</v>
      </c>
      <c r="P41" s="99" t="n">
        <f aca="false">MAX(N41,O41)</f>
        <v>557874.769309095</v>
      </c>
      <c r="Q41" s="99" t="n">
        <f aca="false">MAX(0,L41-P41)</f>
        <v>9296425.15576676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28035.2522185301</v>
      </c>
      <c r="U41" s="99" t="n">
        <f aca="false">IF(AND($F$3=4,D41&lt;55),0,IF(D41&lt;50,0,IF(A41&lt;2025,$N$5*(1+$B$10)^(C41-1),IF(AND(D41&gt;59,D41&lt;64),$N$5*IF($N$3=2,1.5,1)*(1+$B$10)^(C41-1),$N$5*(1+$B$10)^(C41-1)))))</f>
        <v>6330.54082353906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9296425.15576676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-0.056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9296425.15576676</v>
      </c>
      <c r="K42" s="99" t="n">
        <f aca="false">J42*E42</f>
        <v>-520599.808722938</v>
      </c>
      <c r="L42" s="99" t="n">
        <f aca="false">J42+K42</f>
        <v>8775825.34704382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611606.91814255</v>
      </c>
      <c r="O42" s="99" t="n">
        <f aca="false">IF(D42&gt;$B$4,0,IF(D42&lt;$B$3,0,$B$8*(1+$B$10)^(C42-1)))</f>
        <v>185394.409832215</v>
      </c>
      <c r="P42" s="99" t="n">
        <f aca="false">MAX(N42,O42)</f>
        <v>611606.91814255</v>
      </c>
      <c r="Q42" s="99" t="n">
        <f aca="false">MAX(0,L42-P42)</f>
        <v>8164218.42890127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28736.1335239934</v>
      </c>
      <c r="U42" s="99" t="n">
        <f aca="false">IF(AND($F$3=4,D42&lt;55),0,IF(D42&lt;50,0,IF(A42&lt;2025,$N$5*(1+$B$10)^(C42-1),IF(AND(D42&gt;59,D42&lt;64),$N$5*IF($N$3=2,1.5,1)*(1+$B$10)^(C42-1),$N$5*(1+$B$10)^(C42-1)))))</f>
        <v>6488.80434412753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8164218.42890127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0.128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8164218.42890127</v>
      </c>
      <c r="K43" s="99" t="n">
        <f aca="false">J43*E43</f>
        <v>1045019.95889936</v>
      </c>
      <c r="L43" s="99" t="n">
        <f aca="false">J43+K43</f>
        <v>9209238.38780063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566959.613118144</v>
      </c>
      <c r="O43" s="99" t="n">
        <f aca="false">IF(D43&gt;$B$4,0,IF(D43&lt;$B$3,0,$B$8*(1+$B$10)^(C43-1)))</f>
        <v>190029.270078021</v>
      </c>
      <c r="P43" s="99" t="n">
        <f aca="false">MAX(N43,O43)</f>
        <v>566959.613118144</v>
      </c>
      <c r="Q43" s="99" t="n">
        <f aca="false">MAX(0,L43-P43)</f>
        <v>8642278.77468249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29454.5368620932</v>
      </c>
      <c r="U43" s="99" t="n">
        <f aca="false">IF(AND($F$3=4,D43&lt;55),0,IF(D43&lt;50,0,IF(A43&lt;2025,$N$5*(1+$B$10)^(C43-1),IF(AND(D43&gt;59,D43&lt;64),$N$5*IF($N$3=2,1.5,1)*(1+$B$10)^(C43-1),$N$5*(1+$B$10)^(C43-1)))))</f>
        <v>6651.02445273072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8642278.77468249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0.0867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8642278.77468249</v>
      </c>
      <c r="K44" s="99" t="n">
        <f aca="false">J44*E44</f>
        <v>749285.569764972</v>
      </c>
      <c r="L44" s="99" t="n">
        <f aca="false">J44+K44</f>
        <v>9391564.34444746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630823.268224999</v>
      </c>
      <c r="O44" s="99" t="n">
        <f aca="false">IF(D44&gt;$B$4,0,IF(D44&lt;$B$3,0,$B$8*(1+$B$10)^(C44-1)))</f>
        <v>194780.001829971</v>
      </c>
      <c r="P44" s="99" t="n">
        <f aca="false">MAX(N44,O44)</f>
        <v>630823.268224999</v>
      </c>
      <c r="Q44" s="99" t="n">
        <f aca="false">MAX(0,L44-P44)</f>
        <v>8760741.07622246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30190.9002836455</v>
      </c>
      <c r="U44" s="99" t="n">
        <f aca="false">IF(AND($F$3=4,D44&lt;55),0,IF(D44&lt;50,0,IF(A44&lt;2025,$N$5*(1+$B$10)^(C44-1),IF(AND(D44&gt;59,D44&lt;64),$N$5*IF($N$3=2,1.5,1)*(1+$B$10)^(C44-1),$N$5*(1+$B$10)^(C44-1)))))</f>
        <v>6817.30006404899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8760741.07622246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0.1265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8760741.07622246</v>
      </c>
      <c r="K45" s="99" t="n">
        <f aca="false">J45*E45</f>
        <v>1108233.74614214</v>
      </c>
      <c r="L45" s="99" t="n">
        <f aca="false">J45+K45</f>
        <v>9868974.8223646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679127.215211043</v>
      </c>
      <c r="O45" s="99" t="n">
        <f aca="false">IF(D45&gt;$B$4,0,IF(D45&lt;$B$3,0,$B$8*(1+$B$10)^(C45-1)))</f>
        <v>199649.50187572</v>
      </c>
      <c r="P45" s="99" t="n">
        <f aca="false">MAX(N45,O45)</f>
        <v>679127.215211043</v>
      </c>
      <c r="Q45" s="99" t="n">
        <f aca="false">MAX(0,L45-P45)</f>
        <v>9189847.60715356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30945.6727907366</v>
      </c>
      <c r="U45" s="99" t="n">
        <f aca="false">IF(AND($F$3=4,D45&lt;55),0,IF(D45&lt;50,0,IF(A45&lt;2025,$N$5*(1+$B$10)^(C45-1),IF(AND(D45&gt;59,D45&lt;64),$N$5*IF($N$3=2,1.5,1)*(1+$B$10)^(C45-1),$N$5*(1+$B$10)^(C45-1)))))</f>
        <v>6987.73256565021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9189847.60715356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0.0603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9189847.60715356</v>
      </c>
      <c r="K46" s="99" t="n">
        <f aca="false">J46*E46</f>
        <v>554147.81071136</v>
      </c>
      <c r="L46" s="99" t="n">
        <f aca="false">J46+K46</f>
        <v>9743995.41786492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753266.197307669</v>
      </c>
      <c r="O46" s="99" t="n">
        <f aca="false">IF(D46&gt;$B$4,0,IF(D46&lt;$B$3,0,$B$8*(1+$B$10)^(C46-1)))</f>
        <v>204640.739422613</v>
      </c>
      <c r="P46" s="99" t="n">
        <f aca="false">MAX(N46,O46)</f>
        <v>753266.197307669</v>
      </c>
      <c r="Q46" s="99" t="n">
        <f aca="false">MAX(0,L46-P46)</f>
        <v>8990729.22055725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31719.3146105051</v>
      </c>
      <c r="U46" s="99" t="n">
        <f aca="false">IF(AND($F$3=4,D46&lt;55),0,IF(D46&lt;50,0,IF(A46&lt;2025,$N$5*(1+$B$10)^(C46-1),IF(AND(D46&gt;59,D46&lt;64),$N$5*IF($N$3=2,1.5,1)*(1+$B$10)^(C46-1),$N$5*(1+$B$10)^(C46-1)))))</f>
        <v>7162.42587979147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8990729.22055725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0.1471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8990729.22055725</v>
      </c>
      <c r="K47" s="99" t="n">
        <f aca="false">J47*E47</f>
        <v>1322536.26834397</v>
      </c>
      <c r="L47" s="99" t="n">
        <f aca="false">J47+K47</f>
        <v>10313265.4889012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10313265.4889012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32512.2974757677</v>
      </c>
      <c r="U47" s="99" t="n">
        <f aca="false">IF(AND($F$3=4,D47&lt;55),0,IF(D47&lt;50,0,IF(A47&lt;2025,$N$5*(1+$B$10)^(C47-1),IF(AND(D47&gt;59,D47&lt;64),$N$5*IF($N$3=2,1.5,1)*(1+$B$10)^(C47-1),$N$5*(1+$B$10)^(C47-1)))))</f>
        <v>7341.48652678625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10313265.4889012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0.0539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10313265.4889012</v>
      </c>
      <c r="K48" s="99" t="n">
        <f aca="false">J48*E48</f>
        <v>555885.009851776</v>
      </c>
      <c r="L48" s="99" t="n">
        <f aca="false">J48+K48</f>
        <v>10869150.498753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10869150.498753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33325.1049126619</v>
      </c>
      <c r="U48" s="99" t="n">
        <f aca="false">IF(AND($F$3=4,D48&lt;55),0,IF(D48&lt;50,0,IF(A48&lt;2025,$N$5*(1+$B$10)^(C48-1),IF(AND(D48&gt;59,D48&lt;64),$N$5*IF($N$3=2,1.5,1)*(1+$B$10)^(C48-1),$N$5*(1+$B$10)^(C48-1)))))</f>
        <v>7525.02368995591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10869150.498753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0.072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10869150.498753</v>
      </c>
      <c r="K49" s="99" t="n">
        <f aca="false">J49*E49</f>
        <v>782578.835910216</v>
      </c>
      <c r="L49" s="99" t="n">
        <f aca="false">J49+K49</f>
        <v>11651729.3346632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11651729.3346632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34158.2325354784</v>
      </c>
      <c r="U49" s="99" t="n">
        <f aca="false">IF(AND($F$3=4,D49&lt;55),0,IF(D49&lt;50,0,IF(A49&lt;2025,$N$5*(1+$B$10)^(C49-1),IF(AND(D49&gt;59,D49&lt;64),$N$5*IF($N$3=2,1.5,1)*(1+$B$10)^(C49-1),$N$5*(1+$B$10)^(C49-1)))))</f>
        <v>7713.1492822048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11651729.3346632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0.176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11651729.3346632</v>
      </c>
      <c r="K50" s="99" t="n">
        <f aca="false">J50*E50</f>
        <v>2050704.36290073</v>
      </c>
      <c r="L50" s="99" t="n">
        <f aca="false">J50+K50</f>
        <v>13702433.6975639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13702433.6975639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35012.1883488654</v>
      </c>
      <c r="U50" s="99" t="n">
        <f aca="false">IF(AND($F$3=4,D50&lt;55),0,IF(D50&lt;50,0,IF(A50&lt;2025,$N$5*(1+$B$10)^(C50-1),IF(AND(D50&gt;59,D50&lt;64),$N$5*IF($N$3=2,1.5,1)*(1+$B$10)^(C50-1),$N$5*(1+$B$10)^(C50-1)))))</f>
        <v>7905.97801425992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13702433.6975639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0.14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13702433.6975639</v>
      </c>
      <c r="K51" s="99" t="n">
        <f aca="false">J51*E51</f>
        <v>1918340.71765895</v>
      </c>
      <c r="L51" s="99" t="n">
        <f aca="false">J51+K51</f>
        <v>15620774.4152229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15620774.4152229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35887.493057587</v>
      </c>
      <c r="U51" s="99" t="n">
        <f aca="false">IF(AND($F$3=4,D51&lt;55),0,IF(D51&lt;50,0,IF(A51&lt;2025,$N$5*(1+$B$10)^(C51-1),IF(AND(D51&gt;59,D51&lt;64),$N$5*IF($N$3=2,1.5,1)*(1+$B$10)^(C51-1),$N$5*(1+$B$10)^(C51-1)))))</f>
        <v>8103.62746461642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15620774.4152229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-0.0747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15620774.4152229</v>
      </c>
      <c r="K52" s="99" t="n">
        <f aca="false">J52*E52</f>
        <v>-1166871.84881715</v>
      </c>
      <c r="L52" s="99" t="n">
        <f aca="false">J52+K52</f>
        <v>14453902.5664057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14453902.5664057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36784.6803840267</v>
      </c>
      <c r="U52" s="99" t="n">
        <f aca="false">IF(AND($F$3=4,D52&lt;55),0,IF(D52&lt;50,0,IF(A52&lt;2025,$N$5*(1+$B$10)^(C52-1),IF(AND(D52&gt;59,D52&lt;64),$N$5*IF($N$3=2,1.5,1)*(1+$B$10)^(C52-1),$N$5*(1+$B$10)^(C52-1)))))</f>
        <v>8306.21815123183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14453902.5664057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-0.1133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14453902.5664057</v>
      </c>
      <c r="K53" s="99" t="n">
        <f aca="false">J53*E53</f>
        <v>-1637627.16077377</v>
      </c>
      <c r="L53" s="99" t="n">
        <f aca="false">J53+K53</f>
        <v>12816275.405632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12816275.405632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37704.2973936273</v>
      </c>
      <c r="U53" s="99" t="n">
        <f aca="false">IF(AND($F$3=4,D53&lt;55),0,IF(D53&lt;50,0,IF(A53&lt;2025,$N$5*(1+$B$10)^(C53-1),IF(AND(D53&gt;59,D53&lt;64),$N$5*IF($N$3=2,1.5,1)*(1+$B$10)^(C53-1),$N$5*(1+$B$10)^(C53-1)))))</f>
        <v>8513.87360501263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12816275.405632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-0.2157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12816275.405632</v>
      </c>
      <c r="K54" s="99" t="n">
        <f aca="false">J54*E54</f>
        <v>-2764470.60499482</v>
      </c>
      <c r="L54" s="99" t="n">
        <f aca="false">J54+K54</f>
        <v>10051804.8006372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10051804.8006372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38646.904828468</v>
      </c>
      <c r="U54" s="99" t="n">
        <f aca="false">IF(AND($F$3=4,D54&lt;55),0,IF(D54&lt;50,0,IF(A54&lt;2025,$N$5*(1+$B$10)^(C54-1),IF(AND(D54&gt;59,D54&lt;64),$N$5*IF($N$3=2,1.5,1)*(1+$B$10)^(C54-1),$N$5*(1+$B$10)^(C54-1)))))</f>
        <v>8726.72044513794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10051804.8006372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62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SIMPLE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SIMPLE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3</v>
      </c>
      <c r="G3" s="66" t="s">
        <v>24</v>
      </c>
      <c r="H3" s="73" t="n">
        <f aca="false">VLOOKUP($A$14,Scenarios!$A:$CE,HLOOKUP(G3,Scenarios!$1:$2,2,FALSE()),FALSE())</f>
        <v>30000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3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15500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3500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0.07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213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SIMPLE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0.1276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255200</v>
      </c>
      <c r="L17" s="99" t="n">
        <f aca="false">J17+K17</f>
        <v>2255200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2255200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30000</v>
      </c>
      <c r="T17" s="99" t="n">
        <f aca="false">$N$4*(1+$B$10)^(C17-1)</f>
        <v>15500</v>
      </c>
      <c r="U17" s="99" t="n">
        <f aca="false">IF(AND($F$3=4,D17&lt;55),0,IF(D17&lt;50,0,IF(A17&lt;2025,$N$5*(1+$B$10)^(C17-1),IF(AND(D17&gt;59,D17&lt;64),$N$5*IF($N$3=2,1.5,1)*(1+$B$10)^(C17-1),$N$5*(1+$B$10)^(C17-1)))))</f>
        <v>3500</v>
      </c>
      <c r="V17" s="99" t="n">
        <f aca="false">IF($N$3=1,0,$N$6*(1+$B$10)^(C17-1)-W17)</f>
        <v>99984499</v>
      </c>
      <c r="W17" s="99" t="n">
        <f aca="false">MIN(R17,T17)</f>
        <v>15500</v>
      </c>
      <c r="X17" s="99" t="n">
        <f aca="false">MIN(U17,R17-W17)</f>
        <v>3500</v>
      </c>
      <c r="Y17" s="99" t="n">
        <f aca="false">MIN(S17,V17)</f>
        <v>30000</v>
      </c>
      <c r="Z17" s="99" t="n">
        <f aca="false">W17+X17+Y17</f>
        <v>49000</v>
      </c>
      <c r="AA17" s="100" t="n">
        <f aca="false">Q17+Z17</f>
        <v>2304200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0.0671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2304200</v>
      </c>
      <c r="K18" s="99" t="n">
        <f aca="false">J18*E18</f>
        <v>154611.82</v>
      </c>
      <c r="L18" s="99" t="n">
        <f aca="false">J18+K18</f>
        <v>2458811.82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2458811.82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30000</v>
      </c>
      <c r="T18" s="99" t="n">
        <f aca="false">$N$4*(1+$B$10)^(C18-1)</f>
        <v>15887.5</v>
      </c>
      <c r="U18" s="99" t="n">
        <f aca="false">IF(AND($F$3=4,D18&lt;55),0,IF(D18&lt;50,0,IF(A18&lt;2025,$N$5*(1+$B$10)^(C18-1),IF(AND(D18&gt;59,D18&lt;64),$N$5*IF($N$3=2,1.5,1)*(1+$B$10)^(C18-1),$N$5*(1+$B$10)^(C18-1)))))</f>
        <v>3587.5</v>
      </c>
      <c r="V18" s="99" t="n">
        <f aca="false">IF($N$3=1,0,$N$6*(1+$B$10)^(C18-1)-W18)</f>
        <v>102484111.475</v>
      </c>
      <c r="W18" s="99" t="n">
        <f aca="false">MIN(R18,T18)</f>
        <v>15887.5</v>
      </c>
      <c r="X18" s="99" t="n">
        <f aca="false">MIN(U18,R18-W18)</f>
        <v>3587.5</v>
      </c>
      <c r="Y18" s="99" t="n">
        <f aca="false">MIN(S18,V18)</f>
        <v>30000</v>
      </c>
      <c r="Z18" s="99" t="n">
        <f aca="false">W18+X18+Y18</f>
        <v>49475</v>
      </c>
      <c r="AA18" s="100" t="n">
        <f aca="false">Q18+W18+X18+Y18</f>
        <v>2508286.82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0.0299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2508286.82</v>
      </c>
      <c r="K19" s="99" t="n">
        <f aca="false">J19*E19</f>
        <v>74997.775918</v>
      </c>
      <c r="L19" s="99" t="n">
        <f aca="false">J19+K19</f>
        <v>2583284.595918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2583284.595918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30000</v>
      </c>
      <c r="T19" s="99" t="n">
        <f aca="false">$N$4*(1+$B$10)^(C19-1)</f>
        <v>16284.6875</v>
      </c>
      <c r="U19" s="99" t="n">
        <f aca="false">IF(AND($F$3=4,D19&lt;55),0,IF(D19&lt;50,0,IF(A19&lt;2025,$N$5*(1+$B$10)^(C19-1),IF(AND(D19&gt;59,D19&lt;64),$N$5*IF($N$3=2,1.5,1)*(1+$B$10)^(C19-1),$N$5*(1+$B$10)^(C19-1)))))</f>
        <v>3677.1875</v>
      </c>
      <c r="V19" s="99" t="n">
        <f aca="false">IF($N$3=1,0,$N$6*(1+$B$10)^(C19-1)-W19)</f>
        <v>105046214.261875</v>
      </c>
      <c r="W19" s="99" t="n">
        <f aca="false">MIN(R19,T19)</f>
        <v>16284.6875</v>
      </c>
      <c r="X19" s="99" t="n">
        <f aca="false">MIN(U19,R19-W19)</f>
        <v>3677.1875</v>
      </c>
      <c r="Y19" s="99" t="n">
        <f aca="false">MIN(S19,V19)</f>
        <v>30000</v>
      </c>
      <c r="Z19" s="99" t="n">
        <f aca="false">W19+X19+Y19</f>
        <v>49961.875</v>
      </c>
      <c r="AA19" s="100" t="n">
        <f aca="false">Q19+W19+X19+Y19</f>
        <v>2633246.470918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0.154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2633246.470918</v>
      </c>
      <c r="K20" s="99" t="n">
        <f aca="false">J20*E20</f>
        <v>405519.956521372</v>
      </c>
      <c r="L20" s="99" t="n">
        <f aca="false">J20+K20</f>
        <v>3038766.42743937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3038766.42743937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30000</v>
      </c>
      <c r="T20" s="99" t="n">
        <f aca="false">$N$4*(1+$B$10)^(C20-1)</f>
        <v>16691.8046875</v>
      </c>
      <c r="U20" s="99" t="n">
        <f aca="false">IF(AND($F$3=4,D20&lt;55),0,IF(D20&lt;50,0,IF(A20&lt;2025,$N$5*(1+$B$10)^(C20-1),IF(AND(D20&gt;59,D20&lt;64),$N$5*IF($N$3=2,1.5,1)*(1+$B$10)^(C20-1),$N$5*(1+$B$10)^(C20-1)))))</f>
        <v>3769.1171875</v>
      </c>
      <c r="V20" s="99" t="n">
        <f aca="false">IF($N$3=1,0,$N$6*(1+$B$10)^(C20-1)-W20)</f>
        <v>107672369.618422</v>
      </c>
      <c r="W20" s="99" t="n">
        <f aca="false">MIN(R20,T20)</f>
        <v>16691.8046875</v>
      </c>
      <c r="X20" s="99" t="n">
        <f aca="false">MIN(U20,R20-W20)</f>
        <v>3769.1171875</v>
      </c>
      <c r="Y20" s="99" t="n">
        <f aca="false">MIN(S20,V20)</f>
        <v>30000</v>
      </c>
      <c r="Z20" s="99" t="n">
        <f aca="false">W20+X20+Y20</f>
        <v>50460.921875</v>
      </c>
      <c r="AA20" s="100" t="n">
        <f aca="false">Q20+W20+X20+Y20</f>
        <v>3089227.34931437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0.1122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3089227.34931437</v>
      </c>
      <c r="K21" s="99" t="n">
        <f aca="false">J21*E21</f>
        <v>346611.308593072</v>
      </c>
      <c r="L21" s="99" t="n">
        <f aca="false">J21+K21</f>
        <v>3435838.65790744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3325457.36884494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17109.0998046875</v>
      </c>
      <c r="U21" s="99" t="n">
        <f aca="false">IF(AND($F$3=4,D21&lt;55),0,IF(D21&lt;50,0,IF(A21&lt;2025,$N$5*(1+$B$10)^(C21-1),IF(AND(D21&gt;59,D21&lt;64),$N$5*IF($N$3=2,1.5,1)*(1+$B$10)^(C21-1),$N$5*(1+$B$10)^(C21-1)))))</f>
        <v>3863.3451171875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3325457.36884494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0.1144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3325457.36884494</v>
      </c>
      <c r="K22" s="99" t="n">
        <f aca="false">J22*E22</f>
        <v>380432.322995862</v>
      </c>
      <c r="L22" s="99" t="n">
        <f aca="false">J22+K22</f>
        <v>3705889.69184081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3592748.87055174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17536.8272998047</v>
      </c>
      <c r="U22" s="99" t="n">
        <f aca="false">IF(AND($F$3=4,D22&lt;55),0,IF(D22&lt;50,0,IF(A22&lt;2025,$N$5*(1+$B$10)^(C22-1),IF(AND(D22&gt;59,D22&lt;64),$N$5*IF($N$3=2,1.5,1)*(1+$B$10)^(C22-1),$N$5*(1+$B$10)^(C22-1)))))</f>
        <v>3959.92874511719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3592748.87055174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0.1412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3592748.87055174</v>
      </c>
      <c r="K23" s="99" t="n">
        <f aca="false">J23*E23</f>
        <v>507296.140521906</v>
      </c>
      <c r="L23" s="99" t="n">
        <f aca="false">J23+K23</f>
        <v>4100045.01107365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3984075.66925236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17975.2479822998</v>
      </c>
      <c r="U23" s="99" t="n">
        <f aca="false">IF(AND($F$3=4,D23&lt;55),0,IF(D23&lt;50,0,IF(A23&lt;2025,$N$5*(1+$B$10)^(C23-1),IF(AND(D23&gt;59,D23&lt;64),$N$5*IF($N$3=2,1.5,1)*(1+$B$10)^(C23-1),$N$5*(1+$B$10)^(C23-1)))))</f>
        <v>4058.92696374511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3984075.66925236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-0.0688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3984075.66925236</v>
      </c>
      <c r="K24" s="99" t="n">
        <f aca="false">J24*E24</f>
        <v>-274104.406044562</v>
      </c>
      <c r="L24" s="99" t="n">
        <f aca="false">J24+K24</f>
        <v>3709971.2632078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3591102.68784098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18424.6291818573</v>
      </c>
      <c r="U24" s="99" t="n">
        <f aca="false">IF(AND($F$3=4,D24&lt;55),0,IF(D24&lt;50,0,IF(A24&lt;2025,$N$5*(1+$B$10)^(C24-1),IF(AND(D24&gt;59,D24&lt;64),$N$5*IF($N$3=2,1.5,1)*(1+$B$10)^(C24-1),$N$5*(1+$B$10)^(C24-1)))))</f>
        <v>4160.40013783874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3591102.68784098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0.0171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3591102.68784098</v>
      </c>
      <c r="K25" s="99" t="n">
        <f aca="false">J25*E25</f>
        <v>61407.8559620807</v>
      </c>
      <c r="L25" s="99" t="n">
        <f aca="false">J25+K25</f>
        <v>3652510.54380306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3530670.25405207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18885.2449114037</v>
      </c>
      <c r="U25" s="99" t="n">
        <f aca="false">IF(AND($F$3=4,D25&lt;55),0,IF(D25&lt;50,0,IF(A25&lt;2025,$N$5*(1+$B$10)^(C25-1),IF(AND(D25&gt;59,D25&lt;64),$N$5*IF($N$3=2,1.5,1)*(1+$B$10)^(C25-1),$N$5*(1+$B$10)^(C25-1)))))</f>
        <v>4264.41014128471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3530670.25405207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0.0897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3530670.25405207</v>
      </c>
      <c r="K26" s="99" t="n">
        <f aca="false">J26*E26</f>
        <v>316701.12178847</v>
      </c>
      <c r="L26" s="99" t="n">
        <f aca="false">J26+K26</f>
        <v>3847371.37584054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3722485.07884577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19357.3760341888</v>
      </c>
      <c r="U26" s="99" t="n">
        <f aca="false">IF(AND($F$3=4,D26&lt;55),0,IF(D26&lt;50,0,IF(A26&lt;2025,$N$5*(1+$B$10)^(C26-1),IF(AND(D26&gt;59,D26&lt;64),$N$5*IF($N$3=2,1.5,1)*(1+$B$10)^(C26-1),$N$5*(1+$B$10)^(C26-1)))))</f>
        <v>4371.02039481683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3722485.07884577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0.1499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3722485.07884577</v>
      </c>
      <c r="K27" s="99" t="n">
        <f aca="false">J27*E27</f>
        <v>558000.513318981</v>
      </c>
      <c r="L27" s="99" t="n">
        <f aca="false">J27+K27</f>
        <v>4280485.59216475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4152477.13774511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19841.3104350435</v>
      </c>
      <c r="U27" s="99" t="n">
        <f aca="false">IF(AND($F$3=4,D27&lt;55),0,IF(D27&lt;50,0,IF(A27&lt;2025,$N$5*(1+$B$10)^(C27-1),IF(AND(D27&gt;59,D27&lt;64),$N$5*IF($N$3=2,1.5,1)*(1+$B$10)^(C27-1),$N$5*(1+$B$10)^(C27-1)))))</f>
        <v>4480.29590468725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4152477.13774511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0.0911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4152477.13774511</v>
      </c>
      <c r="K28" s="99" t="n">
        <f aca="false">J28*E28</f>
        <v>378290.66724858</v>
      </c>
      <c r="L28" s="99" t="n">
        <f aca="false">J28+K28</f>
        <v>4530767.80499369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4399559.13921357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20337.3431959196</v>
      </c>
      <c r="U28" s="99" t="n">
        <f aca="false">IF(AND($F$3=4,D28&lt;55),0,IF(D28&lt;50,0,IF(A28&lt;2025,$N$5*(1+$B$10)^(C28-1),IF(AND(D28&gt;59,D28&lt;64),$N$5*IF($N$3=2,1.5,1)*(1+$B$10)^(C28-1),$N$5*(1+$B$10)^(C28-1)))))</f>
        <v>4592.30330230443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4399559.13921357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0.112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4399559.13921357</v>
      </c>
      <c r="K29" s="99" t="n">
        <f aca="false">J29*E29</f>
        <v>492750.62359192</v>
      </c>
      <c r="L29" s="99" t="n">
        <f aca="false">J29+K29</f>
        <v>4892309.76280549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4757820.88038086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20845.7767758176</v>
      </c>
      <c r="U29" s="99" t="n">
        <f aca="false">IF(AND($F$3=4,D29&lt;55),0,IF(D29&lt;50,0,IF(A29&lt;2025,$N$5*(1+$B$10)^(C29-1),IF(AND(D29&gt;59,D29&lt;64),$N$5*IF($N$3=2,1.5,1)*(1+$B$10)^(C29-1),$N$5*(1+$B$10)^(C29-1)))))</f>
        <v>4707.11088486204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4757820.88038086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0.0435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4757820.88038086</v>
      </c>
      <c r="K30" s="99" t="n">
        <f aca="false">J30*E30</f>
        <v>206965.208296567</v>
      </c>
      <c r="L30" s="99" t="n">
        <f aca="false">J30+K30</f>
        <v>4964786.08867742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4826934.98419218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21366.921195213</v>
      </c>
      <c r="U30" s="99" t="n">
        <f aca="false">IF(AND($F$3=4,D30&lt;55),0,IF(D30&lt;50,0,IF(A30&lt;2025,$N$5*(1+$B$10)^(C30-1),IF(AND(D30&gt;59,D30&lt;64),$N$5*IF($N$3=2,1.5,1)*(1+$B$10)^(C30-1),$N$5*(1+$B$10)^(C30-1)))))</f>
        <v>4824.78865698359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4826934.98419218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0.0789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4826934.98419218</v>
      </c>
      <c r="K31" s="99" t="n">
        <f aca="false">J31*E31</f>
        <v>380845.170252763</v>
      </c>
      <c r="L31" s="99" t="n">
        <f aca="false">J31+K31</f>
        <v>5207780.15444494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196216.869276105</v>
      </c>
      <c r="O31" s="99" t="n">
        <f aca="false">IF(D31&gt;$B$4,0,IF(D31&lt;$B$3,0,$B$8*(1+$B$10)^(C31-1)))</f>
        <v>141297.382097377</v>
      </c>
      <c r="P31" s="99" t="n">
        <f aca="false">MAX(N31,O31)</f>
        <v>196216.869276105</v>
      </c>
      <c r="Q31" s="99" t="n">
        <f aca="false">MAX(0,L31-P31)</f>
        <v>5011563.28516884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21901.0942250934</v>
      </c>
      <c r="U31" s="99" t="n">
        <f aca="false">IF(AND($F$3=4,D31&lt;55),0,IF(D31&lt;50,0,IF(A31&lt;2025,$N$5*(1+$B$10)^(C31-1),IF(AND(D31&gt;59,D31&lt;64),$N$5*IF($N$3=2,1.5,1)*(1+$B$10)^(C31-1),$N$5*(1+$B$10)^(C31-1)))))</f>
        <v>4945.40837340818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5011563.28516884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0.038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5011563.28516884</v>
      </c>
      <c r="K32" s="99" t="n">
        <f aca="false">J32*E32</f>
        <v>190439.404836416</v>
      </c>
      <c r="L32" s="99" t="n">
        <f aca="false">J32+K32</f>
        <v>5202002.69000525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211458.36646282</v>
      </c>
      <c r="O32" s="99" t="n">
        <f aca="false">IF(D32&gt;$B$4,0,IF(D32&lt;$B$3,0,$B$8*(1+$B$10)^(C32-1)))</f>
        <v>144829.816649811</v>
      </c>
      <c r="P32" s="99" t="n">
        <f aca="false">MAX(N32,O32)</f>
        <v>211458.36646282</v>
      </c>
      <c r="Q32" s="99" t="n">
        <f aca="false">MAX(0,L32-P32)</f>
        <v>4990544.32354243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22448.6215807207</v>
      </c>
      <c r="U32" s="99" t="n">
        <f aca="false">IF(AND($F$3=4,D32&lt;55),0,IF(D32&lt;50,0,IF(A32&lt;2025,$N$5*(1+$B$10)^(C32-1),IF(AND(D32&gt;59,D32&lt;64),$N$5*IF($N$3=2,1.5,1)*(1+$B$10)^(C32-1),$N$5*(1+$B$10)^(C32-1)))))</f>
        <v>5069.04358274338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4990544.32354243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0.2306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4990544.32354243</v>
      </c>
      <c r="K33" s="99" t="n">
        <f aca="false">J33*E33</f>
        <v>1150819.52100889</v>
      </c>
      <c r="L33" s="99" t="n">
        <f aca="false">J33+K33</f>
        <v>6141363.84455132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217927.69971801</v>
      </c>
      <c r="O33" s="99" t="n">
        <f aca="false">IF(D33&gt;$B$4,0,IF(D33&lt;$B$3,0,$B$8*(1+$B$10)^(C33-1)))</f>
        <v>148450.562066056</v>
      </c>
      <c r="P33" s="99" t="n">
        <f aca="false">MAX(N33,O33)</f>
        <v>217927.69971801</v>
      </c>
      <c r="Q33" s="99" t="n">
        <f aca="false">MAX(0,L33-P33)</f>
        <v>5923436.14483331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23009.8371202387</v>
      </c>
      <c r="U33" s="99" t="n">
        <f aca="false">IF(AND($F$3=4,D33&lt;55),0,IF(D33&lt;50,0,IF(A33&lt;2025,$N$5*(1+$B$10)^(C33-1),IF(AND(D33&gt;59,D33&lt;64),$N$5*IF($N$3=2,1.5,1)*(1+$B$10)^(C33-1),$N$5*(1+$B$10)^(C33-1)))))</f>
        <v>5195.76967231197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5923436.14483331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-0.0945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5923436.14483331</v>
      </c>
      <c r="K34" s="99" t="n">
        <f aca="false">J34*E34</f>
        <v>-559764.715686748</v>
      </c>
      <c r="L34" s="99" t="n">
        <f aca="false">J34+K34</f>
        <v>5363671.42914656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269247.097492423</v>
      </c>
      <c r="O34" s="99" t="n">
        <f aca="false">IF(D34&gt;$B$4,0,IF(D34&lt;$B$3,0,$B$8*(1+$B$10)^(C34-1)))</f>
        <v>152161.826117708</v>
      </c>
      <c r="P34" s="99" t="n">
        <f aca="false">MAX(N34,O34)</f>
        <v>269247.097492423</v>
      </c>
      <c r="Q34" s="99" t="n">
        <f aca="false">MAX(0,L34-P34)</f>
        <v>5094424.33165414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23585.0830482447</v>
      </c>
      <c r="U34" s="99" t="n">
        <f aca="false">IF(AND($F$3=4,D34&lt;55),0,IF(D34&lt;50,0,IF(A34&lt;2025,$N$5*(1+$B$10)^(C34-1),IF(AND(D34&gt;59,D34&lt;64),$N$5*IF($N$3=2,1.5,1)*(1+$B$10)^(C34-1),$N$5*(1+$B$10)^(C34-1)))))</f>
        <v>5325.66391411977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5094424.33165414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0.1859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5094424.33165414</v>
      </c>
      <c r="K35" s="99" t="n">
        <f aca="false">J35*E35</f>
        <v>947053.483254504</v>
      </c>
      <c r="L35" s="99" t="n">
        <f aca="false">J35+K35</f>
        <v>6041477.81490864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241441.911452803</v>
      </c>
      <c r="O35" s="99" t="n">
        <f aca="false">IF(D35&gt;$B$4,0,IF(D35&lt;$B$3,0,$B$8*(1+$B$10)^(C35-1)))</f>
        <v>155965.87177065</v>
      </c>
      <c r="P35" s="99" t="n">
        <f aca="false">MAX(N35,O35)</f>
        <v>241441.911452803</v>
      </c>
      <c r="Q35" s="99" t="n">
        <f aca="false">MAX(0,L35-P35)</f>
        <v>5800035.90345584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24174.7101244508</v>
      </c>
      <c r="U35" s="99" t="n">
        <f aca="false">IF(AND($F$3=4,D35&lt;55),0,IF(D35&lt;50,0,IF(A35&lt;2025,$N$5*(1+$B$10)^(C35-1),IF(AND(D35&gt;59,D35&lt;64),$N$5*IF($N$3=2,1.5,1)*(1+$B$10)^(C35-1),$N$5*(1+$B$10)^(C35-1)))))</f>
        <v>5458.80551197276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5800035.90345584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0.0642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5800035.90345584</v>
      </c>
      <c r="K36" s="99" t="n">
        <f aca="false">J36*E36</f>
        <v>372362.305001865</v>
      </c>
      <c r="L36" s="99" t="n">
        <f aca="false">J36+K36</f>
        <v>6172398.20845771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287130.490270091</v>
      </c>
      <c r="O36" s="99" t="n">
        <f aca="false">IF(D36&gt;$B$4,0,IF(D36&lt;$B$3,0,$B$8*(1+$B$10)^(C36-1)))</f>
        <v>159865.018564917</v>
      </c>
      <c r="P36" s="99" t="n">
        <f aca="false">MAX(N36,O36)</f>
        <v>287130.490270091</v>
      </c>
      <c r="Q36" s="99" t="n">
        <f aca="false">MAX(0,L36-P36)</f>
        <v>5885267.71818761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24779.0778775621</v>
      </c>
      <c r="U36" s="99" t="n">
        <f aca="false">IF(AND($F$3=4,D36&lt;55),0,IF(D36&lt;50,0,IF(A36&lt;2025,$N$5*(1+$B$10)^(C36-1),IF(AND(D36&gt;59,D36&lt;64),$N$5*IF($N$3=2,1.5,1)*(1+$B$10)^(C36-1),$N$5*(1+$B$10)^(C36-1)))))</f>
        <v>5595.27564977208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5885267.71818761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0.1266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5885267.71818761</v>
      </c>
      <c r="K37" s="99" t="n">
        <f aca="false">J37*E37</f>
        <v>745074.893122552</v>
      </c>
      <c r="L37" s="99" t="n">
        <f aca="false">J37+K37</f>
        <v>6630342.61131017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303364.315370496</v>
      </c>
      <c r="O37" s="99" t="n">
        <f aca="false">IF(D37&gt;$B$4,0,IF(D37&lt;$B$3,0,$B$8*(1+$B$10)^(C37-1)))</f>
        <v>163861.644029039</v>
      </c>
      <c r="P37" s="99" t="n">
        <f aca="false">MAX(N37,O37)</f>
        <v>303364.315370496</v>
      </c>
      <c r="Q37" s="99" t="n">
        <f aca="false">MAX(0,L37-P37)</f>
        <v>6326978.29593967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25398.5548245011</v>
      </c>
      <c r="U37" s="99" t="n">
        <f aca="false">IF(AND($F$3=4,D37&lt;55),0,IF(D37&lt;50,0,IF(A37&lt;2025,$N$5*(1+$B$10)^(C37-1),IF(AND(D37&gt;59,D37&lt;64),$N$5*IF($N$3=2,1.5,1)*(1+$B$10)^(C37-1),$N$5*(1+$B$10)^(C37-1)))))</f>
        <v>5735.15754101638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6326978.29593967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0.0948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6326978.29593967</v>
      </c>
      <c r="K38" s="99" t="n">
        <f aca="false">J38*E38</f>
        <v>599797.542455081</v>
      </c>
      <c r="L38" s="99" t="n">
        <f aca="false">J38+K38</f>
        <v>6926775.83839475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341998.82680755</v>
      </c>
      <c r="O38" s="99" t="n">
        <f aca="false">IF(D38&gt;$B$4,0,IF(D38&lt;$B$3,0,$B$8*(1+$B$10)^(C38-1)))</f>
        <v>167958.185129765</v>
      </c>
      <c r="P38" s="99" t="n">
        <f aca="false">MAX(N38,O38)</f>
        <v>341998.82680755</v>
      </c>
      <c r="Q38" s="99" t="n">
        <f aca="false">MAX(0,L38-P38)</f>
        <v>6584777.0115872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26033.5186951136</v>
      </c>
      <c r="U38" s="99" t="n">
        <f aca="false">IF(AND($F$3=4,D38&lt;55),0,IF(D38&lt;50,0,IF(A38&lt;2025,$N$5*(1+$B$10)^(C38-1),IF(AND(D38&gt;59,D38&lt;64),$N$5*IF($N$3=2,1.5,1)*(1+$B$10)^(C38-1),$N$5*(1+$B$10)^(C38-1)))))</f>
        <v>5878.53647954179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6584777.0115872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0.0747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6584777.0115872</v>
      </c>
      <c r="K39" s="99" t="n">
        <f aca="false">J39*E39</f>
        <v>491882.842765564</v>
      </c>
      <c r="L39" s="99" t="n">
        <f aca="false">J39+K39</f>
        <v>7076659.85435277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372021.300089672</v>
      </c>
      <c r="O39" s="99" t="n">
        <f aca="false">IF(D39&gt;$B$4,0,IF(D39&lt;$B$3,0,$B$8*(1+$B$10)^(C39-1)))</f>
        <v>172157.13975801</v>
      </c>
      <c r="P39" s="99" t="n">
        <f aca="false">MAX(N39,O39)</f>
        <v>372021.300089672</v>
      </c>
      <c r="Q39" s="99" t="n">
        <f aca="false">MAX(0,L39-P39)</f>
        <v>6704638.55426309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26684.3566624915</v>
      </c>
      <c r="U39" s="99" t="n">
        <f aca="false">IF(AND($F$3=4,D39&lt;55),0,IF(D39&lt;50,0,IF(A39&lt;2025,$N$5*(1+$B$10)^(C39-1),IF(AND(D39&gt;59,D39&lt;64),$N$5*IF($N$3=2,1.5,1)*(1+$B$10)^(C39-1),$N$5*(1+$B$10)^(C39-1)))))</f>
        <v>6025.49989153033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6704638.55426309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0.1038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6704638.55426309</v>
      </c>
      <c r="K40" s="99" t="n">
        <f aca="false">J40*E40</f>
        <v>695941.481932509</v>
      </c>
      <c r="L40" s="99" t="n">
        <f aca="false">J40+K40</f>
        <v>7400580.0361956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399085.628229946</v>
      </c>
      <c r="O40" s="99" t="n">
        <f aca="false">IF(D40&gt;$B$4,0,IF(D40&lt;$B$3,0,$B$8*(1+$B$10)^(C40-1)))</f>
        <v>176461.06825196</v>
      </c>
      <c r="P40" s="99" t="n">
        <f aca="false">MAX(N40,O40)</f>
        <v>399085.628229946</v>
      </c>
      <c r="Q40" s="99" t="n">
        <f aca="false">MAX(0,L40-P40)</f>
        <v>7001494.40796566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27351.4655790538</v>
      </c>
      <c r="U40" s="99" t="n">
        <f aca="false">IF(AND($F$3=4,D40&lt;55),0,IF(D40&lt;50,0,IF(A40&lt;2025,$N$5*(1+$B$10)^(C40-1),IF(AND(D40&gt;59,D40&lt;64),$N$5*IF($N$3=2,1.5,1)*(1+$B$10)^(C40-1),$N$5*(1+$B$10)^(C40-1)))))</f>
        <v>6176.13738881859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7001494.40796566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0.091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7001494.40796566</v>
      </c>
      <c r="K41" s="99" t="n">
        <f aca="false">J41*E41</f>
        <v>637135.991124875</v>
      </c>
      <c r="L41" s="99" t="n">
        <f aca="false">J41+K41</f>
        <v>7638630.39909053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437593.400497854</v>
      </c>
      <c r="O41" s="99" t="n">
        <f aca="false">IF(D41&gt;$B$4,0,IF(D41&lt;$B$3,0,$B$8*(1+$B$10)^(C41-1)))</f>
        <v>180872.594958259</v>
      </c>
      <c r="P41" s="99" t="n">
        <f aca="false">MAX(N41,O41)</f>
        <v>437593.400497854</v>
      </c>
      <c r="Q41" s="99" t="n">
        <f aca="false">MAX(0,L41-P41)</f>
        <v>7201036.99859268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28035.2522185301</v>
      </c>
      <c r="U41" s="99" t="n">
        <f aca="false">IF(AND($F$3=4,D41&lt;55),0,IF(D41&lt;50,0,IF(A41&lt;2025,$N$5*(1+$B$10)^(C41-1),IF(AND(D41&gt;59,D41&lt;64),$N$5*IF($N$3=2,1.5,1)*(1+$B$10)^(C41-1),$N$5*(1+$B$10)^(C41-1)))))</f>
        <v>6330.54082353906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7201036.99859268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-0.049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7201036.99859268</v>
      </c>
      <c r="K42" s="99" t="n">
        <f aca="false">J42*E42</f>
        <v>-352850.812931041</v>
      </c>
      <c r="L42" s="99" t="n">
        <f aca="false">J42+K42</f>
        <v>6848186.18566164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473752.434117939</v>
      </c>
      <c r="O42" s="99" t="n">
        <f aca="false">IF(D42&gt;$B$4,0,IF(D42&lt;$B$3,0,$B$8*(1+$B$10)^(C42-1)))</f>
        <v>185394.409832215</v>
      </c>
      <c r="P42" s="99" t="n">
        <f aca="false">MAX(N42,O42)</f>
        <v>473752.434117939</v>
      </c>
      <c r="Q42" s="99" t="n">
        <f aca="false">MAX(0,L42-P42)</f>
        <v>6374433.7515437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28736.1335239934</v>
      </c>
      <c r="U42" s="99" t="n">
        <f aca="false">IF(AND($F$3=4,D42&lt;55),0,IF(D42&lt;50,0,IF(A42&lt;2025,$N$5*(1+$B$10)^(C42-1),IF(AND(D42&gt;59,D42&lt;64),$N$5*IF($N$3=2,1.5,1)*(1+$B$10)^(C42-1),$N$5*(1+$B$10)^(C42-1)))))</f>
        <v>6488.80434412753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6374433.7515437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0.112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6374433.7515437</v>
      </c>
      <c r="K43" s="99" t="n">
        <f aca="false">J43*E43</f>
        <v>713936.580172894</v>
      </c>
      <c r="L43" s="99" t="n">
        <f aca="false">J43+K43</f>
        <v>7088370.33171659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442669.010523868</v>
      </c>
      <c r="O43" s="99" t="n">
        <f aca="false">IF(D43&gt;$B$4,0,IF(D43&lt;$B$3,0,$B$8*(1+$B$10)^(C43-1)))</f>
        <v>190029.270078021</v>
      </c>
      <c r="P43" s="99" t="n">
        <f aca="false">MAX(N43,O43)</f>
        <v>442669.010523868</v>
      </c>
      <c r="Q43" s="99" t="n">
        <f aca="false">MAX(0,L43-P43)</f>
        <v>6645701.32119272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29454.5368620932</v>
      </c>
      <c r="U43" s="99" t="n">
        <f aca="false">IF(AND($F$3=4,D43&lt;55),0,IF(D43&lt;50,0,IF(A43&lt;2025,$N$5*(1+$B$10)^(C43-1),IF(AND(D43&gt;59,D43&lt;64),$N$5*IF($N$3=2,1.5,1)*(1+$B$10)^(C43-1),$N$5*(1+$B$10)^(C43-1)))))</f>
        <v>6651.02445273072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6645701.32119272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0.0758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6645701.32119272</v>
      </c>
      <c r="K44" s="99" t="n">
        <f aca="false">J44*E44</f>
        <v>503744.160146408</v>
      </c>
      <c r="L44" s="99" t="n">
        <f aca="false">J44+K44</f>
        <v>7149445.48133913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485087.687678301</v>
      </c>
      <c r="O44" s="99" t="n">
        <f aca="false">IF(D44&gt;$B$4,0,IF(D44&lt;$B$3,0,$B$8*(1+$B$10)^(C44-1)))</f>
        <v>194780.001829971</v>
      </c>
      <c r="P44" s="99" t="n">
        <f aca="false">MAX(N44,O44)</f>
        <v>485087.687678301</v>
      </c>
      <c r="Q44" s="99" t="n">
        <f aca="false">MAX(0,L44-P44)</f>
        <v>6664357.79366083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30190.9002836455</v>
      </c>
      <c r="U44" s="99" t="n">
        <f aca="false">IF(AND($F$3=4,D44&lt;55),0,IF(D44&lt;50,0,IF(A44&lt;2025,$N$5*(1+$B$10)^(C44-1),IF(AND(D44&gt;59,D44&lt;64),$N$5*IF($N$3=2,1.5,1)*(1+$B$10)^(C44-1),$N$5*(1+$B$10)^(C44-1)))))</f>
        <v>6817.30006404899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6664357.79366083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0.1107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6664357.79366083</v>
      </c>
      <c r="K45" s="99" t="n">
        <f aca="false">J45*E45</f>
        <v>737744.407758254</v>
      </c>
      <c r="L45" s="99" t="n">
        <f aca="false">J45+K45</f>
        <v>7402102.20141908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516616.883229522</v>
      </c>
      <c r="O45" s="99" t="n">
        <f aca="false">IF(D45&gt;$B$4,0,IF(D45&lt;$B$3,0,$B$8*(1+$B$10)^(C45-1)))</f>
        <v>199649.50187572</v>
      </c>
      <c r="P45" s="99" t="n">
        <f aca="false">MAX(N45,O45)</f>
        <v>516616.883229522</v>
      </c>
      <c r="Q45" s="99" t="n">
        <f aca="false">MAX(0,L45-P45)</f>
        <v>6885485.31818956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30945.6727907366</v>
      </c>
      <c r="U45" s="99" t="n">
        <f aca="false">IF(AND($F$3=4,D45&lt;55),0,IF(D45&lt;50,0,IF(A45&lt;2025,$N$5*(1+$B$10)^(C45-1),IF(AND(D45&gt;59,D45&lt;64),$N$5*IF($N$3=2,1.5,1)*(1+$B$10)^(C45-1),$N$5*(1+$B$10)^(C45-1)))))</f>
        <v>6987.73256565021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6885485.31818956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0.0527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6885485.31818956</v>
      </c>
      <c r="K46" s="99" t="n">
        <f aca="false">J46*E46</f>
        <v>362865.07626859</v>
      </c>
      <c r="L46" s="99" t="n">
        <f aca="false">J46+K46</f>
        <v>7248350.39445815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564384.042474554</v>
      </c>
      <c r="O46" s="99" t="n">
        <f aca="false">IF(D46&gt;$B$4,0,IF(D46&lt;$B$3,0,$B$8*(1+$B$10)^(C46-1)))</f>
        <v>204640.739422613</v>
      </c>
      <c r="P46" s="99" t="n">
        <f aca="false">MAX(N46,O46)</f>
        <v>564384.042474554</v>
      </c>
      <c r="Q46" s="99" t="n">
        <f aca="false">MAX(0,L46-P46)</f>
        <v>6683966.3519836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31719.3146105051</v>
      </c>
      <c r="U46" s="99" t="n">
        <f aca="false">IF(AND($F$3=4,D46&lt;55),0,IF(D46&lt;50,0,IF(A46&lt;2025,$N$5*(1+$B$10)^(C46-1),IF(AND(D46&gt;59,D46&lt;64),$N$5*IF($N$3=2,1.5,1)*(1+$B$10)^(C46-1),$N$5*(1+$B$10)^(C46-1)))))</f>
        <v>7162.42587979147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6683966.3519836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0.1287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6683966.3519836</v>
      </c>
      <c r="K47" s="99" t="n">
        <f aca="false">J47*E47</f>
        <v>860226.469500289</v>
      </c>
      <c r="L47" s="99" t="n">
        <f aca="false">J47+K47</f>
        <v>7544192.82148389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7544192.82148389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32512.2974757677</v>
      </c>
      <c r="U47" s="99" t="n">
        <f aca="false">IF(AND($F$3=4,D47&lt;55),0,IF(D47&lt;50,0,IF(A47&lt;2025,$N$5*(1+$B$10)^(C47-1),IF(AND(D47&gt;59,D47&lt;64),$N$5*IF($N$3=2,1.5,1)*(1+$B$10)^(C47-1),$N$5*(1+$B$10)^(C47-1)))))</f>
        <v>7341.48652678625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7544192.82148389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0.0471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7544192.82148389</v>
      </c>
      <c r="K48" s="99" t="n">
        <f aca="false">J48*E48</f>
        <v>355331.481891891</v>
      </c>
      <c r="L48" s="99" t="n">
        <f aca="false">J48+K48</f>
        <v>7899524.30337578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7899524.30337578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33325.1049126619</v>
      </c>
      <c r="U48" s="99" t="n">
        <f aca="false">IF(AND($F$3=4,D48&lt;55),0,IF(D48&lt;50,0,IF(A48&lt;2025,$N$5*(1+$B$10)^(C48-1),IF(AND(D48&gt;59,D48&lt;64),$N$5*IF($N$3=2,1.5,1)*(1+$B$10)^(C48-1),$N$5*(1+$B$10)^(C48-1)))))</f>
        <v>7525.02368995591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7899524.30337578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0.063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7899524.30337578</v>
      </c>
      <c r="K49" s="99" t="n">
        <f aca="false">J49*E49</f>
        <v>497670.031112674</v>
      </c>
      <c r="L49" s="99" t="n">
        <f aca="false">J49+K49</f>
        <v>8397194.33448845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8397194.33448845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34158.2325354784</v>
      </c>
      <c r="U49" s="99" t="n">
        <f aca="false">IF(AND($F$3=4,D49&lt;55),0,IF(D49&lt;50,0,IF(A49&lt;2025,$N$5*(1+$B$10)^(C49-1),IF(AND(D49&gt;59,D49&lt;64),$N$5*IF($N$3=2,1.5,1)*(1+$B$10)^(C49-1),$N$5*(1+$B$10)^(C49-1)))))</f>
        <v>7713.1492822048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8397194.33448845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0.154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8397194.33448845</v>
      </c>
      <c r="K50" s="99" t="n">
        <f aca="false">J50*E50</f>
        <v>1293167.92751122</v>
      </c>
      <c r="L50" s="99" t="n">
        <f aca="false">J50+K50</f>
        <v>9690362.26199967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9690362.26199967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35012.1883488654</v>
      </c>
      <c r="U50" s="99" t="n">
        <f aca="false">IF(AND($F$3=4,D50&lt;55),0,IF(D50&lt;50,0,IF(A50&lt;2025,$N$5*(1+$B$10)^(C50-1),IF(AND(D50&gt;59,D50&lt;64),$N$5*IF($N$3=2,1.5,1)*(1+$B$10)^(C50-1),$N$5*(1+$B$10)^(C50-1)))))</f>
        <v>7905.97801425992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9690362.26199967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0.1225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9690362.26199967</v>
      </c>
      <c r="K51" s="99" t="n">
        <f aca="false">J51*E51</f>
        <v>1187069.37709496</v>
      </c>
      <c r="L51" s="99" t="n">
        <f aca="false">J51+K51</f>
        <v>10877431.6390946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10877431.6390946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35887.493057587</v>
      </c>
      <c r="U51" s="99" t="n">
        <f aca="false">IF(AND($F$3=4,D51&lt;55),0,IF(D51&lt;50,0,IF(A51&lt;2025,$N$5*(1+$B$10)^(C51-1),IF(AND(D51&gt;59,D51&lt;64),$N$5*IF($N$3=2,1.5,1)*(1+$B$10)^(C51-1),$N$5*(1+$B$10)^(C51-1)))))</f>
        <v>8103.62746461642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10877431.6390946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-0.0653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10877431.6390946</v>
      </c>
      <c r="K52" s="99" t="n">
        <f aca="false">J52*E52</f>
        <v>-710296.286032879</v>
      </c>
      <c r="L52" s="99" t="n">
        <f aca="false">J52+K52</f>
        <v>10167135.3530618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10167135.3530618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36784.6803840267</v>
      </c>
      <c r="U52" s="99" t="n">
        <f aca="false">IF(AND($F$3=4,D52&lt;55),0,IF(D52&lt;50,0,IF(A52&lt;2025,$N$5*(1+$B$10)^(C52-1),IF(AND(D52&gt;59,D52&lt;64),$N$5*IF($N$3=2,1.5,1)*(1+$B$10)^(C52-1),$N$5*(1+$B$10)^(C52-1)))))</f>
        <v>8306.21815123183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10167135.3530618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-0.0992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10167135.3530618</v>
      </c>
      <c r="K53" s="99" t="n">
        <f aca="false">J53*E53</f>
        <v>-1008579.82702373</v>
      </c>
      <c r="L53" s="99" t="n">
        <f aca="false">J53+K53</f>
        <v>9158555.52603803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9158555.52603803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37704.2973936273</v>
      </c>
      <c r="U53" s="99" t="n">
        <f aca="false">IF(AND($F$3=4,D53&lt;55),0,IF(D53&lt;50,0,IF(A53&lt;2025,$N$5*(1+$B$10)^(C53-1),IF(AND(D53&gt;59,D53&lt;64),$N$5*IF($N$3=2,1.5,1)*(1+$B$10)^(C53-1),$N$5*(1+$B$10)^(C53-1)))))</f>
        <v>8513.87360501263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9158555.52603803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-0.1888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9158555.52603803</v>
      </c>
      <c r="K54" s="99" t="n">
        <f aca="false">J54*E54</f>
        <v>-1729135.28331598</v>
      </c>
      <c r="L54" s="99" t="n">
        <f aca="false">J54+K54</f>
        <v>7429420.24272205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7429420.24272205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38646.904828468</v>
      </c>
      <c r="U54" s="99" t="n">
        <f aca="false">IF(AND($F$3=4,D54&lt;55),0,IF(D54&lt;50,0,IF(A54&lt;2025,$N$5*(1+$B$10)^(C54-1),IF(AND(D54&gt;59,D54&lt;64),$N$5*IF($N$3=2,1.5,1)*(1+$B$10)^(C54-1),$N$5*(1+$B$10)^(C54-1)))))</f>
        <v>8726.72044513794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7429420.24272205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63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% of Salary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SIMPLE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SIMPLE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3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3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0.05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15500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3500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0.07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214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SIMPLE with % of Salary / % of Salary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0.1276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255200</v>
      </c>
      <c r="L17" s="99" t="n">
        <f aca="false">J17+K17</f>
        <v>2255200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2255200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15500</v>
      </c>
      <c r="U17" s="99" t="n">
        <f aca="false">IF(AND($F$3=4,D17&lt;55),0,IF(D17&lt;50,0,IF(A17&lt;2025,$N$5*(1+$B$10)^(C17-1),IF(AND(D17&gt;59,D17&lt;64),$N$5*IF($N$3=2,1.5,1)*(1+$B$10)^(C17-1),$N$5*(1+$B$10)^(C17-1)))))</f>
        <v>3500</v>
      </c>
      <c r="V17" s="99" t="n">
        <f aca="false">IF($N$3=1,0,$N$6*(1+$B$10)^(C17-1)-W17)</f>
        <v>99994999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5000</v>
      </c>
      <c r="Z17" s="99" t="n">
        <f aca="false">W17+X17+Y17</f>
        <v>10000</v>
      </c>
      <c r="AA17" s="100" t="n">
        <f aca="false">Q17+Z17</f>
        <v>2265200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0.0671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2265200</v>
      </c>
      <c r="K18" s="99" t="n">
        <f aca="false">J18*E18</f>
        <v>151994.92</v>
      </c>
      <c r="L18" s="99" t="n">
        <f aca="false">J18+K18</f>
        <v>2417194.92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2417194.92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15887.5</v>
      </c>
      <c r="U18" s="99" t="n">
        <f aca="false">IF(AND($F$3=4,D18&lt;55),0,IF(D18&lt;50,0,IF(A18&lt;2025,$N$5*(1+$B$10)^(C18-1),IF(AND(D18&gt;59,D18&lt;64),$N$5*IF($N$3=2,1.5,1)*(1+$B$10)^(C18-1),$N$5*(1+$B$10)^(C18-1)))))</f>
        <v>3587.5</v>
      </c>
      <c r="V18" s="99" t="n">
        <f aca="false">IF($N$3=1,0,$N$6*(1+$B$10)^(C18-1)-W18)</f>
        <v>102494898.975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5100</v>
      </c>
      <c r="Z18" s="99" t="n">
        <f aca="false">W18+X18+Y18</f>
        <v>10200</v>
      </c>
      <c r="AA18" s="100" t="n">
        <f aca="false">Q18+W18+X18+Y18</f>
        <v>2427394.92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0.0299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2427394.92</v>
      </c>
      <c r="K19" s="99" t="n">
        <f aca="false">J19*E19</f>
        <v>72579.108108</v>
      </c>
      <c r="L19" s="99" t="n">
        <f aca="false">J19+K19</f>
        <v>2499974.028108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2499974.028108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16284.6875</v>
      </c>
      <c r="U19" s="99" t="n">
        <f aca="false">IF(AND($F$3=4,D19&lt;55),0,IF(D19&lt;50,0,IF(A19&lt;2025,$N$5*(1+$B$10)^(C19-1),IF(AND(D19&gt;59,D19&lt;64),$N$5*IF($N$3=2,1.5,1)*(1+$B$10)^(C19-1),$N$5*(1+$B$10)^(C19-1)))))</f>
        <v>3677.1875</v>
      </c>
      <c r="V19" s="99" t="n">
        <f aca="false">IF($N$3=1,0,$N$6*(1+$B$10)^(C19-1)-W19)</f>
        <v>105057296.949375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5202</v>
      </c>
      <c r="Z19" s="99" t="n">
        <f aca="false">W19+X19+Y19</f>
        <v>10404</v>
      </c>
      <c r="AA19" s="100" t="n">
        <f aca="false">Q19+W19+X19+Y19</f>
        <v>2510378.028108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0.154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2510378.028108</v>
      </c>
      <c r="K20" s="99" t="n">
        <f aca="false">J20*E20</f>
        <v>386598.216328632</v>
      </c>
      <c r="L20" s="99" t="n">
        <f aca="false">J20+K20</f>
        <v>2896976.24443663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2896976.24443663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16691.8046875</v>
      </c>
      <c r="U20" s="99" t="n">
        <f aca="false">IF(AND($F$3=4,D20&lt;55),0,IF(D20&lt;50,0,IF(A20&lt;2025,$N$5*(1+$B$10)^(C20-1),IF(AND(D20&gt;59,D20&lt;64),$N$5*IF($N$3=2,1.5,1)*(1+$B$10)^(C20-1),$N$5*(1+$B$10)^(C20-1)))))</f>
        <v>3769.1171875</v>
      </c>
      <c r="V20" s="99" t="n">
        <f aca="false">IF($N$3=1,0,$N$6*(1+$B$10)^(C20-1)-W20)</f>
        <v>107683755.383109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5306.04</v>
      </c>
      <c r="Z20" s="99" t="n">
        <f aca="false">W20+X20+Y20</f>
        <v>10612.08</v>
      </c>
      <c r="AA20" s="100" t="n">
        <f aca="false">Q20+W20+X20+Y20</f>
        <v>2907588.32443663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0.1122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2907588.32443663</v>
      </c>
      <c r="K21" s="99" t="n">
        <f aca="false">J21*E21</f>
        <v>326231.41000179</v>
      </c>
      <c r="L21" s="99" t="n">
        <f aca="false">J21+K21</f>
        <v>3233819.73443842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3123438.44537592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17109.0998046875</v>
      </c>
      <c r="U21" s="99" t="n">
        <f aca="false">IF(AND($F$3=4,D21&lt;55),0,IF(D21&lt;50,0,IF(A21&lt;2025,$N$5*(1+$B$10)^(C21-1),IF(AND(D21&gt;59,D21&lt;64),$N$5*IF($N$3=2,1.5,1)*(1+$B$10)^(C21-1),$N$5*(1+$B$10)^(C21-1)))))</f>
        <v>3863.3451171875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3123438.44537592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0.1144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3123438.44537592</v>
      </c>
      <c r="K22" s="99" t="n">
        <f aca="false">J22*E22</f>
        <v>357321.358151006</v>
      </c>
      <c r="L22" s="99" t="n">
        <f aca="false">J22+K22</f>
        <v>3480759.80352693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3367618.98223786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17536.8272998047</v>
      </c>
      <c r="U22" s="99" t="n">
        <f aca="false">IF(AND($F$3=4,D22&lt;55),0,IF(D22&lt;50,0,IF(A22&lt;2025,$N$5*(1+$B$10)^(C22-1),IF(AND(D22&gt;59,D22&lt;64),$N$5*IF($N$3=2,1.5,1)*(1+$B$10)^(C22-1),$N$5*(1+$B$10)^(C22-1)))))</f>
        <v>3959.92874511719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3367618.98223786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0.1412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3367618.98223786</v>
      </c>
      <c r="K23" s="99" t="n">
        <f aca="false">J23*E23</f>
        <v>475507.800291987</v>
      </c>
      <c r="L23" s="99" t="n">
        <f aca="false">J23+K23</f>
        <v>3843126.78252985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3727157.44070856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17975.2479822998</v>
      </c>
      <c r="U23" s="99" t="n">
        <f aca="false">IF(AND($F$3=4,D23&lt;55),0,IF(D23&lt;50,0,IF(A23&lt;2025,$N$5*(1+$B$10)^(C23-1),IF(AND(D23&gt;59,D23&lt;64),$N$5*IF($N$3=2,1.5,1)*(1+$B$10)^(C23-1),$N$5*(1+$B$10)^(C23-1)))))</f>
        <v>4058.92696374511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3727157.44070856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-0.0688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3727157.44070856</v>
      </c>
      <c r="K24" s="99" t="n">
        <f aca="false">J24*E24</f>
        <v>-256428.431920749</v>
      </c>
      <c r="L24" s="99" t="n">
        <f aca="false">J24+K24</f>
        <v>3470729.00878781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3351860.43342099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18424.6291818573</v>
      </c>
      <c r="U24" s="99" t="n">
        <f aca="false">IF(AND($F$3=4,D24&lt;55),0,IF(D24&lt;50,0,IF(A24&lt;2025,$N$5*(1+$B$10)^(C24-1),IF(AND(D24&gt;59,D24&lt;64),$N$5*IF($N$3=2,1.5,1)*(1+$B$10)^(C24-1),$N$5*(1+$B$10)^(C24-1)))))</f>
        <v>4160.40013783874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3351860.43342099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0.0171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3351860.43342099</v>
      </c>
      <c r="K25" s="99" t="n">
        <f aca="false">J25*E25</f>
        <v>57316.813411499</v>
      </c>
      <c r="L25" s="99" t="n">
        <f aca="false">J25+K25</f>
        <v>3409177.24683249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3287336.9570815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18885.2449114037</v>
      </c>
      <c r="U25" s="99" t="n">
        <f aca="false">IF(AND($F$3=4,D25&lt;55),0,IF(D25&lt;50,0,IF(A25&lt;2025,$N$5*(1+$B$10)^(C25-1),IF(AND(D25&gt;59,D25&lt;64),$N$5*IF($N$3=2,1.5,1)*(1+$B$10)^(C25-1),$N$5*(1+$B$10)^(C25-1)))))</f>
        <v>4264.41014128471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3287336.9570815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0.0897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3287336.9570815</v>
      </c>
      <c r="K26" s="99" t="n">
        <f aca="false">J26*E26</f>
        <v>294874.12505021</v>
      </c>
      <c r="L26" s="99" t="n">
        <f aca="false">J26+K26</f>
        <v>3582211.08213171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3457324.78513694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19357.3760341888</v>
      </c>
      <c r="U26" s="99" t="n">
        <f aca="false">IF(AND($F$3=4,D26&lt;55),0,IF(D26&lt;50,0,IF(A26&lt;2025,$N$5*(1+$B$10)^(C26-1),IF(AND(D26&gt;59,D26&lt;64),$N$5*IF($N$3=2,1.5,1)*(1+$B$10)^(C26-1),$N$5*(1+$B$10)^(C26-1)))))</f>
        <v>4371.02039481683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3457324.78513694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0.1499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3457324.78513694</v>
      </c>
      <c r="K27" s="99" t="n">
        <f aca="false">J27*E27</f>
        <v>518252.985292028</v>
      </c>
      <c r="L27" s="99" t="n">
        <f aca="false">J27+K27</f>
        <v>3975577.77042897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3847569.31600933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19841.3104350435</v>
      </c>
      <c r="U27" s="99" t="n">
        <f aca="false">IF(AND($F$3=4,D27&lt;55),0,IF(D27&lt;50,0,IF(A27&lt;2025,$N$5*(1+$B$10)^(C27-1),IF(AND(D27&gt;59,D27&lt;64),$N$5*IF($N$3=2,1.5,1)*(1+$B$10)^(C27-1),$N$5*(1+$B$10)^(C27-1)))))</f>
        <v>4480.29590468725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3847569.31600933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0.0911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3847569.31600933</v>
      </c>
      <c r="K28" s="99" t="n">
        <f aca="false">J28*E28</f>
        <v>350513.56468845</v>
      </c>
      <c r="L28" s="99" t="n">
        <f aca="false">J28+K28</f>
        <v>4198082.88069779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4066874.21491766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20337.3431959196</v>
      </c>
      <c r="U28" s="99" t="n">
        <f aca="false">IF(AND($F$3=4,D28&lt;55),0,IF(D28&lt;50,0,IF(A28&lt;2025,$N$5*(1+$B$10)^(C28-1),IF(AND(D28&gt;59,D28&lt;64),$N$5*IF($N$3=2,1.5,1)*(1+$B$10)^(C28-1),$N$5*(1+$B$10)^(C28-1)))))</f>
        <v>4592.30330230443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4066874.21491766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0.112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4066874.21491766</v>
      </c>
      <c r="K29" s="99" t="n">
        <f aca="false">J29*E29</f>
        <v>455489.912070778</v>
      </c>
      <c r="L29" s="99" t="n">
        <f aca="false">J29+K29</f>
        <v>4522364.12698844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4387875.24456381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20845.7767758176</v>
      </c>
      <c r="U29" s="99" t="n">
        <f aca="false">IF(AND($F$3=4,D29&lt;55),0,IF(D29&lt;50,0,IF(A29&lt;2025,$N$5*(1+$B$10)^(C29-1),IF(AND(D29&gt;59,D29&lt;64),$N$5*IF($N$3=2,1.5,1)*(1+$B$10)^(C29-1),$N$5*(1+$B$10)^(C29-1)))))</f>
        <v>4707.11088486204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4387875.24456381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0.0435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4387875.24456381</v>
      </c>
      <c r="K30" s="99" t="n">
        <f aca="false">J30*E30</f>
        <v>190872.573138526</v>
      </c>
      <c r="L30" s="99" t="n">
        <f aca="false">J30+K30</f>
        <v>4578747.81770233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4440896.71321709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21366.921195213</v>
      </c>
      <c r="U30" s="99" t="n">
        <f aca="false">IF(AND($F$3=4,D30&lt;55),0,IF(D30&lt;50,0,IF(A30&lt;2025,$N$5*(1+$B$10)^(C30-1),IF(AND(D30&gt;59,D30&lt;64),$N$5*IF($N$3=2,1.5,1)*(1+$B$10)^(C30-1),$N$5*(1+$B$10)^(C30-1)))))</f>
        <v>4824.78865698359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4440896.71321709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0.0789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4440896.71321709</v>
      </c>
      <c r="K31" s="99" t="n">
        <f aca="false">J31*E31</f>
        <v>350386.750672828</v>
      </c>
      <c r="L31" s="99" t="n">
        <f aca="false">J31+K31</f>
        <v>4791283.46388992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180524.256634841</v>
      </c>
      <c r="O31" s="99" t="n">
        <f aca="false">IF(D31&gt;$B$4,0,IF(D31&lt;$B$3,0,$B$8*(1+$B$10)^(C31-1)))</f>
        <v>141297.382097377</v>
      </c>
      <c r="P31" s="99" t="n">
        <f aca="false">MAX(N31,O31)</f>
        <v>180524.256634841</v>
      </c>
      <c r="Q31" s="99" t="n">
        <f aca="false">MAX(0,L31-P31)</f>
        <v>4610759.20725508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21901.0942250934</v>
      </c>
      <c r="U31" s="99" t="n">
        <f aca="false">IF(AND($F$3=4,D31&lt;55),0,IF(D31&lt;50,0,IF(A31&lt;2025,$N$5*(1+$B$10)^(C31-1),IF(AND(D31&gt;59,D31&lt;64),$N$5*IF($N$3=2,1.5,1)*(1+$B$10)^(C31-1),$N$5*(1+$B$10)^(C31-1)))))</f>
        <v>4945.40837340818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4610759.20725508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0.038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4610759.20725508</v>
      </c>
      <c r="K32" s="99" t="n">
        <f aca="false">J32*E32</f>
        <v>175208.849875693</v>
      </c>
      <c r="L32" s="99" t="n">
        <f aca="false">J32+K32</f>
        <v>4785968.05713077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194546.801993885</v>
      </c>
      <c r="O32" s="99" t="n">
        <f aca="false">IF(D32&gt;$B$4,0,IF(D32&lt;$B$3,0,$B$8*(1+$B$10)^(C32-1)))</f>
        <v>144829.816649811</v>
      </c>
      <c r="P32" s="99" t="n">
        <f aca="false">MAX(N32,O32)</f>
        <v>194546.801993885</v>
      </c>
      <c r="Q32" s="99" t="n">
        <f aca="false">MAX(0,L32-P32)</f>
        <v>4591421.25513688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22448.6215807207</v>
      </c>
      <c r="U32" s="99" t="n">
        <f aca="false">IF(AND($F$3=4,D32&lt;55),0,IF(D32&lt;50,0,IF(A32&lt;2025,$N$5*(1+$B$10)^(C32-1),IF(AND(D32&gt;59,D32&lt;64),$N$5*IF($N$3=2,1.5,1)*(1+$B$10)^(C32-1),$N$5*(1+$B$10)^(C32-1)))))</f>
        <v>5069.04358274338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4591421.25513688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0.2306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4591421.25513688</v>
      </c>
      <c r="K33" s="99" t="n">
        <f aca="false">J33*E33</f>
        <v>1058781.74143457</v>
      </c>
      <c r="L33" s="99" t="n">
        <f aca="false">J33+K33</f>
        <v>5650202.99657145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200498.744765803</v>
      </c>
      <c r="O33" s="99" t="n">
        <f aca="false">IF(D33&gt;$B$4,0,IF(D33&lt;$B$3,0,$B$8*(1+$B$10)^(C33-1)))</f>
        <v>148450.562066056</v>
      </c>
      <c r="P33" s="99" t="n">
        <f aca="false">MAX(N33,O33)</f>
        <v>200498.744765803</v>
      </c>
      <c r="Q33" s="99" t="n">
        <f aca="false">MAX(0,L33-P33)</f>
        <v>5449704.25180565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23009.8371202387</v>
      </c>
      <c r="U33" s="99" t="n">
        <f aca="false">IF(AND($F$3=4,D33&lt;55),0,IF(D33&lt;50,0,IF(A33&lt;2025,$N$5*(1+$B$10)^(C33-1),IF(AND(D33&gt;59,D33&lt;64),$N$5*IF($N$3=2,1.5,1)*(1+$B$10)^(C33-1),$N$5*(1+$B$10)^(C33-1)))))</f>
        <v>5195.76967231197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5449704.25180565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-0.0945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5449704.25180565</v>
      </c>
      <c r="K34" s="99" t="n">
        <f aca="false">J34*E34</f>
        <v>-514997.051795634</v>
      </c>
      <c r="L34" s="99" t="n">
        <f aca="false">J34+K34</f>
        <v>4934707.20001001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247713.829627529</v>
      </c>
      <c r="O34" s="99" t="n">
        <f aca="false">IF(D34&gt;$B$4,0,IF(D34&lt;$B$3,0,$B$8*(1+$B$10)^(C34-1)))</f>
        <v>152161.826117708</v>
      </c>
      <c r="P34" s="99" t="n">
        <f aca="false">MAX(N34,O34)</f>
        <v>247713.829627529</v>
      </c>
      <c r="Q34" s="99" t="n">
        <f aca="false">MAX(0,L34-P34)</f>
        <v>4686993.37038248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23585.0830482447</v>
      </c>
      <c r="U34" s="99" t="n">
        <f aca="false">IF(AND($F$3=4,D34&lt;55),0,IF(D34&lt;50,0,IF(A34&lt;2025,$N$5*(1+$B$10)^(C34-1),IF(AND(D34&gt;59,D34&lt;64),$N$5*IF($N$3=2,1.5,1)*(1+$B$10)^(C34-1),$N$5*(1+$B$10)^(C34-1)))))</f>
        <v>5325.66391411977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4686993.37038248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0.1859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4686993.37038248</v>
      </c>
      <c r="K35" s="99" t="n">
        <f aca="false">J35*E35</f>
        <v>871312.067554104</v>
      </c>
      <c r="L35" s="99" t="n">
        <f aca="false">J35+K35</f>
        <v>5558305.43793659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222132.387221919</v>
      </c>
      <c r="O35" s="99" t="n">
        <f aca="false">IF(D35&gt;$B$4,0,IF(D35&lt;$B$3,0,$B$8*(1+$B$10)^(C35-1)))</f>
        <v>155965.87177065</v>
      </c>
      <c r="P35" s="99" t="n">
        <f aca="false">MAX(N35,O35)</f>
        <v>222132.387221919</v>
      </c>
      <c r="Q35" s="99" t="n">
        <f aca="false">MAX(0,L35-P35)</f>
        <v>5336173.05071467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24174.7101244508</v>
      </c>
      <c r="U35" s="99" t="n">
        <f aca="false">IF(AND($F$3=4,D35&lt;55),0,IF(D35&lt;50,0,IF(A35&lt;2025,$N$5*(1+$B$10)^(C35-1),IF(AND(D35&gt;59,D35&lt;64),$N$5*IF($N$3=2,1.5,1)*(1+$B$10)^(C35-1),$N$5*(1+$B$10)^(C35-1)))))</f>
        <v>5458.80551197276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5336173.05071467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0.0642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5336173.05071467</v>
      </c>
      <c r="K36" s="99" t="n">
        <f aca="false">J36*E36</f>
        <v>342582.309855882</v>
      </c>
      <c r="L36" s="99" t="n">
        <f aca="false">J36+K36</f>
        <v>5678755.36057055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264166.982708647</v>
      </c>
      <c r="O36" s="99" t="n">
        <f aca="false">IF(D36&gt;$B$4,0,IF(D36&lt;$B$3,0,$B$8*(1+$B$10)^(C36-1)))</f>
        <v>159865.018564917</v>
      </c>
      <c r="P36" s="99" t="n">
        <f aca="false">MAX(N36,O36)</f>
        <v>264166.982708647</v>
      </c>
      <c r="Q36" s="99" t="n">
        <f aca="false">MAX(0,L36-P36)</f>
        <v>5414588.3778619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24779.0778775621</v>
      </c>
      <c r="U36" s="99" t="n">
        <f aca="false">IF(AND($F$3=4,D36&lt;55),0,IF(D36&lt;50,0,IF(A36&lt;2025,$N$5*(1+$B$10)^(C36-1),IF(AND(D36&gt;59,D36&lt;64),$N$5*IF($N$3=2,1.5,1)*(1+$B$10)^(C36-1),$N$5*(1+$B$10)^(C36-1)))))</f>
        <v>5595.27564977208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5414588.3778619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0.1266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5414588.3778619</v>
      </c>
      <c r="K37" s="99" t="n">
        <f aca="false">J37*E37</f>
        <v>685486.888637317</v>
      </c>
      <c r="L37" s="99" t="n">
        <f aca="false">J37+K37</f>
        <v>6100075.26649922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279102.493704222</v>
      </c>
      <c r="O37" s="99" t="n">
        <f aca="false">IF(D37&gt;$B$4,0,IF(D37&lt;$B$3,0,$B$8*(1+$B$10)^(C37-1)))</f>
        <v>163861.644029039</v>
      </c>
      <c r="P37" s="99" t="n">
        <f aca="false">MAX(N37,O37)</f>
        <v>279102.493704222</v>
      </c>
      <c r="Q37" s="99" t="n">
        <f aca="false">MAX(0,L37-P37)</f>
        <v>5820972.772795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25398.5548245011</v>
      </c>
      <c r="U37" s="99" t="n">
        <f aca="false">IF(AND($F$3=4,D37&lt;55),0,IF(D37&lt;50,0,IF(A37&lt;2025,$N$5*(1+$B$10)^(C37-1),IF(AND(D37&gt;59,D37&lt;64),$N$5*IF($N$3=2,1.5,1)*(1+$B$10)^(C37-1),$N$5*(1+$B$10)^(C37-1)))))</f>
        <v>5735.15754101638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5820972.772795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0.0948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5820972.772795</v>
      </c>
      <c r="K38" s="99" t="n">
        <f aca="false">J38*E38</f>
        <v>551828.218860966</v>
      </c>
      <c r="L38" s="99" t="n">
        <f aca="false">J38+K38</f>
        <v>6372800.99165597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314647.176907838</v>
      </c>
      <c r="O38" s="99" t="n">
        <f aca="false">IF(D38&gt;$B$4,0,IF(D38&lt;$B$3,0,$B$8*(1+$B$10)^(C38-1)))</f>
        <v>167958.185129765</v>
      </c>
      <c r="P38" s="99" t="n">
        <f aca="false">MAX(N38,O38)</f>
        <v>314647.176907838</v>
      </c>
      <c r="Q38" s="99" t="n">
        <f aca="false">MAX(0,L38-P38)</f>
        <v>6058153.81474813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26033.5186951136</v>
      </c>
      <c r="U38" s="99" t="n">
        <f aca="false">IF(AND($F$3=4,D38&lt;55),0,IF(D38&lt;50,0,IF(A38&lt;2025,$N$5*(1+$B$10)^(C38-1),IF(AND(D38&gt;59,D38&lt;64),$N$5*IF($N$3=2,1.5,1)*(1+$B$10)^(C38-1),$N$5*(1+$B$10)^(C38-1)))))</f>
        <v>5878.53647954179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6058153.81474813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0.0747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6058153.81474813</v>
      </c>
      <c r="K39" s="99" t="n">
        <f aca="false">J39*E39</f>
        <v>452544.089961685</v>
      </c>
      <c r="L39" s="99" t="n">
        <f aca="false">J39+K39</f>
        <v>6510697.90470981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342268.577104414</v>
      </c>
      <c r="O39" s="99" t="n">
        <f aca="false">IF(D39&gt;$B$4,0,IF(D39&lt;$B$3,0,$B$8*(1+$B$10)^(C39-1)))</f>
        <v>172157.13975801</v>
      </c>
      <c r="P39" s="99" t="n">
        <f aca="false">MAX(N39,O39)</f>
        <v>342268.577104414</v>
      </c>
      <c r="Q39" s="99" t="n">
        <f aca="false">MAX(0,L39-P39)</f>
        <v>6168429.3276054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26684.3566624915</v>
      </c>
      <c r="U39" s="99" t="n">
        <f aca="false">IF(AND($F$3=4,D39&lt;55),0,IF(D39&lt;50,0,IF(A39&lt;2025,$N$5*(1+$B$10)^(C39-1),IF(AND(D39&gt;59,D39&lt;64),$N$5*IF($N$3=2,1.5,1)*(1+$B$10)^(C39-1),$N$5*(1+$B$10)^(C39-1)))))</f>
        <v>6025.49989153033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6168429.3276054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0.1038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6168429.3276054</v>
      </c>
      <c r="K40" s="99" t="n">
        <f aca="false">J40*E40</f>
        <v>640282.964205441</v>
      </c>
      <c r="L40" s="99" t="n">
        <f aca="false">J40+K40</f>
        <v>6808712.29181084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367168.412357464</v>
      </c>
      <c r="O40" s="99" t="n">
        <f aca="false">IF(D40&gt;$B$4,0,IF(D40&lt;$B$3,0,$B$8*(1+$B$10)^(C40-1)))</f>
        <v>176461.06825196</v>
      </c>
      <c r="P40" s="99" t="n">
        <f aca="false">MAX(N40,O40)</f>
        <v>367168.412357464</v>
      </c>
      <c r="Q40" s="99" t="n">
        <f aca="false">MAX(0,L40-P40)</f>
        <v>6441543.87945338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27351.4655790538</v>
      </c>
      <c r="U40" s="99" t="n">
        <f aca="false">IF(AND($F$3=4,D40&lt;55),0,IF(D40&lt;50,0,IF(A40&lt;2025,$N$5*(1+$B$10)^(C40-1),IF(AND(D40&gt;59,D40&lt;64),$N$5*IF($N$3=2,1.5,1)*(1+$B$10)^(C40-1),$N$5*(1+$B$10)^(C40-1)))))</f>
        <v>6176.13738881859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6441543.87945338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0.091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6441543.87945338</v>
      </c>
      <c r="K41" s="99" t="n">
        <f aca="false">J41*E41</f>
        <v>586180.493030257</v>
      </c>
      <c r="L41" s="99" t="n">
        <f aca="false">J41+K41</f>
        <v>7027724.37248363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402596.492465836</v>
      </c>
      <c r="O41" s="99" t="n">
        <f aca="false">IF(D41&gt;$B$4,0,IF(D41&lt;$B$3,0,$B$8*(1+$B$10)^(C41-1)))</f>
        <v>180872.594958259</v>
      </c>
      <c r="P41" s="99" t="n">
        <f aca="false">MAX(N41,O41)</f>
        <v>402596.492465836</v>
      </c>
      <c r="Q41" s="99" t="n">
        <f aca="false">MAX(0,L41-P41)</f>
        <v>6625127.8800178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28035.2522185301</v>
      </c>
      <c r="U41" s="99" t="n">
        <f aca="false">IF(AND($F$3=4,D41&lt;55),0,IF(D41&lt;50,0,IF(A41&lt;2025,$N$5*(1+$B$10)^(C41-1),IF(AND(D41&gt;59,D41&lt;64),$N$5*IF($N$3=2,1.5,1)*(1+$B$10)^(C41-1),$N$5*(1+$B$10)^(C41-1)))))</f>
        <v>6330.54082353906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6625127.8800178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-0.049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6625127.8800178</v>
      </c>
      <c r="K42" s="99" t="n">
        <f aca="false">J42*E42</f>
        <v>-324631.266120872</v>
      </c>
      <c r="L42" s="99" t="n">
        <f aca="false">J42+K42</f>
        <v>6300496.61389692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435863.67631696</v>
      </c>
      <c r="O42" s="99" t="n">
        <f aca="false">IF(D42&gt;$B$4,0,IF(D42&lt;$B$3,0,$B$8*(1+$B$10)^(C42-1)))</f>
        <v>185394.409832215</v>
      </c>
      <c r="P42" s="99" t="n">
        <f aca="false">MAX(N42,O42)</f>
        <v>435863.67631696</v>
      </c>
      <c r="Q42" s="99" t="n">
        <f aca="false">MAX(0,L42-P42)</f>
        <v>5864632.93757996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28736.1335239934</v>
      </c>
      <c r="U42" s="99" t="n">
        <f aca="false">IF(AND($F$3=4,D42&lt;55),0,IF(D42&lt;50,0,IF(A42&lt;2025,$N$5*(1+$B$10)^(C42-1),IF(AND(D42&gt;59,D42&lt;64),$N$5*IF($N$3=2,1.5,1)*(1+$B$10)^(C42-1),$N$5*(1+$B$10)^(C42-1)))))</f>
        <v>6488.80434412753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5864632.93757996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0.112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5864632.93757996</v>
      </c>
      <c r="K43" s="99" t="n">
        <f aca="false">J43*E43</f>
        <v>656838.889008956</v>
      </c>
      <c r="L43" s="99" t="n">
        <f aca="false">J43+K43</f>
        <v>6521471.82658892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407266.176220831</v>
      </c>
      <c r="O43" s="99" t="n">
        <f aca="false">IF(D43&gt;$B$4,0,IF(D43&lt;$B$3,0,$B$8*(1+$B$10)^(C43-1)))</f>
        <v>190029.270078021</v>
      </c>
      <c r="P43" s="99" t="n">
        <f aca="false">MAX(N43,O43)</f>
        <v>407266.176220831</v>
      </c>
      <c r="Q43" s="99" t="n">
        <f aca="false">MAX(0,L43-P43)</f>
        <v>6114205.65036809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29454.5368620932</v>
      </c>
      <c r="U43" s="99" t="n">
        <f aca="false">IF(AND($F$3=4,D43&lt;55),0,IF(D43&lt;50,0,IF(A43&lt;2025,$N$5*(1+$B$10)^(C43-1),IF(AND(D43&gt;59,D43&lt;64),$N$5*IF($N$3=2,1.5,1)*(1+$B$10)^(C43-1),$N$5*(1+$B$10)^(C43-1)))))</f>
        <v>6651.02445273072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6114205.65036809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0.0758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6114205.65036809</v>
      </c>
      <c r="K44" s="99" t="n">
        <f aca="false">J44*E44</f>
        <v>463456.788297901</v>
      </c>
      <c r="L44" s="99" t="n">
        <f aca="false">J44+K44</f>
        <v>6577662.43866599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446292.383238547</v>
      </c>
      <c r="O44" s="99" t="n">
        <f aca="false">IF(D44&gt;$B$4,0,IF(D44&lt;$B$3,0,$B$8*(1+$B$10)^(C44-1)))</f>
        <v>194780.001829971</v>
      </c>
      <c r="P44" s="99" t="n">
        <f aca="false">MAX(N44,O44)</f>
        <v>446292.383238547</v>
      </c>
      <c r="Q44" s="99" t="n">
        <f aca="false">MAX(0,L44-P44)</f>
        <v>6131370.05542744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30190.9002836455</v>
      </c>
      <c r="U44" s="99" t="n">
        <f aca="false">IF(AND($F$3=4,D44&lt;55),0,IF(D44&lt;50,0,IF(A44&lt;2025,$N$5*(1+$B$10)^(C44-1),IF(AND(D44&gt;59,D44&lt;64),$N$5*IF($N$3=2,1.5,1)*(1+$B$10)^(C44-1),$N$5*(1+$B$10)^(C44-1)))))</f>
        <v>6817.30006404899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6131370.05542744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0.1107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6131370.05542744</v>
      </c>
      <c r="K45" s="99" t="n">
        <f aca="false">J45*E45</f>
        <v>678742.665135818</v>
      </c>
      <c r="L45" s="99" t="n">
        <f aca="false">J45+K45</f>
        <v>6810112.72056326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475300.004296701</v>
      </c>
      <c r="O45" s="99" t="n">
        <f aca="false">IF(D45&gt;$B$4,0,IF(D45&lt;$B$3,0,$B$8*(1+$B$10)^(C45-1)))</f>
        <v>199649.50187572</v>
      </c>
      <c r="P45" s="99" t="n">
        <f aca="false">MAX(N45,O45)</f>
        <v>475300.004296701</v>
      </c>
      <c r="Q45" s="99" t="n">
        <f aca="false">MAX(0,L45-P45)</f>
        <v>6334812.71626656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30945.6727907366</v>
      </c>
      <c r="U45" s="99" t="n">
        <f aca="false">IF(AND($F$3=4,D45&lt;55),0,IF(D45&lt;50,0,IF(A45&lt;2025,$N$5*(1+$B$10)^(C45-1),IF(AND(D45&gt;59,D45&lt;64),$N$5*IF($N$3=2,1.5,1)*(1+$B$10)^(C45-1),$N$5*(1+$B$10)^(C45-1)))))</f>
        <v>6987.73256565021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6334812.71626656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0.0527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6334812.71626656</v>
      </c>
      <c r="K46" s="99" t="n">
        <f aca="false">J46*E46</f>
        <v>333844.630147248</v>
      </c>
      <c r="L46" s="99" t="n">
        <f aca="false">J46+K46</f>
        <v>6668657.34641381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519246.943956275</v>
      </c>
      <c r="O46" s="99" t="n">
        <f aca="false">IF(D46&gt;$B$4,0,IF(D46&lt;$B$3,0,$B$8*(1+$B$10)^(C46-1)))</f>
        <v>204640.739422613</v>
      </c>
      <c r="P46" s="99" t="n">
        <f aca="false">MAX(N46,O46)</f>
        <v>519246.943956275</v>
      </c>
      <c r="Q46" s="99" t="n">
        <f aca="false">MAX(0,L46-P46)</f>
        <v>6149410.40245753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31719.3146105051</v>
      </c>
      <c r="U46" s="99" t="n">
        <f aca="false">IF(AND($F$3=4,D46&lt;55),0,IF(D46&lt;50,0,IF(A46&lt;2025,$N$5*(1+$B$10)^(C46-1),IF(AND(D46&gt;59,D46&lt;64),$N$5*IF($N$3=2,1.5,1)*(1+$B$10)^(C46-1),$N$5*(1+$B$10)^(C46-1)))))</f>
        <v>7162.42587979147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6149410.40245753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0.1287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6149410.40245753</v>
      </c>
      <c r="K47" s="99" t="n">
        <f aca="false">J47*E47</f>
        <v>791429.118796284</v>
      </c>
      <c r="L47" s="99" t="n">
        <f aca="false">J47+K47</f>
        <v>6940839.52125382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6940839.52125382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32512.2974757677</v>
      </c>
      <c r="U47" s="99" t="n">
        <f aca="false">IF(AND($F$3=4,D47&lt;55),0,IF(D47&lt;50,0,IF(A47&lt;2025,$N$5*(1+$B$10)^(C47-1),IF(AND(D47&gt;59,D47&lt;64),$N$5*IF($N$3=2,1.5,1)*(1+$B$10)^(C47-1),$N$5*(1+$B$10)^(C47-1)))))</f>
        <v>7341.48652678625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6940839.52125382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0.0471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6940839.52125382</v>
      </c>
      <c r="K48" s="99" t="n">
        <f aca="false">J48*E48</f>
        <v>326913.541451055</v>
      </c>
      <c r="L48" s="99" t="n">
        <f aca="false">J48+K48</f>
        <v>7267753.06270487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7267753.06270487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33325.1049126619</v>
      </c>
      <c r="U48" s="99" t="n">
        <f aca="false">IF(AND($F$3=4,D48&lt;55),0,IF(D48&lt;50,0,IF(A48&lt;2025,$N$5*(1+$B$10)^(C48-1),IF(AND(D48&gt;59,D48&lt;64),$N$5*IF($N$3=2,1.5,1)*(1+$B$10)^(C48-1),$N$5*(1+$B$10)^(C48-1)))))</f>
        <v>7525.02368995591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7267753.06270487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0.063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7267753.06270487</v>
      </c>
      <c r="K49" s="99" t="n">
        <f aca="false">J49*E49</f>
        <v>457868.442950407</v>
      </c>
      <c r="L49" s="99" t="n">
        <f aca="false">J49+K49</f>
        <v>7725621.50565528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7725621.50565528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34158.2325354784</v>
      </c>
      <c r="U49" s="99" t="n">
        <f aca="false">IF(AND($F$3=4,D49&lt;55),0,IF(D49&lt;50,0,IF(A49&lt;2025,$N$5*(1+$B$10)^(C49-1),IF(AND(D49&gt;59,D49&lt;64),$N$5*IF($N$3=2,1.5,1)*(1+$B$10)^(C49-1),$N$5*(1+$B$10)^(C49-1)))))</f>
        <v>7713.1492822048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7725621.50565528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0.154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7725621.50565528</v>
      </c>
      <c r="K50" s="99" t="n">
        <f aca="false">J50*E50</f>
        <v>1189745.71187091</v>
      </c>
      <c r="L50" s="99" t="n">
        <f aca="false">J50+K50</f>
        <v>8915367.21752619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8915367.21752619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35012.1883488654</v>
      </c>
      <c r="U50" s="99" t="n">
        <f aca="false">IF(AND($F$3=4,D50&lt;55),0,IF(D50&lt;50,0,IF(A50&lt;2025,$N$5*(1+$B$10)^(C50-1),IF(AND(D50&gt;59,D50&lt;64),$N$5*IF($N$3=2,1.5,1)*(1+$B$10)^(C50-1),$N$5*(1+$B$10)^(C50-1)))))</f>
        <v>7905.97801425992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8915367.21752619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0.1225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8915367.21752619</v>
      </c>
      <c r="K51" s="99" t="n">
        <f aca="false">J51*E51</f>
        <v>1092132.48414696</v>
      </c>
      <c r="L51" s="99" t="n">
        <f aca="false">J51+K51</f>
        <v>10007499.7016731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10007499.7016731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35887.493057587</v>
      </c>
      <c r="U51" s="99" t="n">
        <f aca="false">IF(AND($F$3=4,D51&lt;55),0,IF(D51&lt;50,0,IF(A51&lt;2025,$N$5*(1+$B$10)^(C51-1),IF(AND(D51&gt;59,D51&lt;64),$N$5*IF($N$3=2,1.5,1)*(1+$B$10)^(C51-1),$N$5*(1+$B$10)^(C51-1)))))</f>
        <v>8103.62746461642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10007499.7016731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-0.0653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10007499.7016731</v>
      </c>
      <c r="K52" s="99" t="n">
        <f aca="false">J52*E52</f>
        <v>-653489.730519257</v>
      </c>
      <c r="L52" s="99" t="n">
        <f aca="false">J52+K52</f>
        <v>9354009.97115389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9354009.97115389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36784.6803840267</v>
      </c>
      <c r="U52" s="99" t="n">
        <f aca="false">IF(AND($F$3=4,D52&lt;55),0,IF(D52&lt;50,0,IF(A52&lt;2025,$N$5*(1+$B$10)^(C52-1),IF(AND(D52&gt;59,D52&lt;64),$N$5*IF($N$3=2,1.5,1)*(1+$B$10)^(C52-1),$N$5*(1+$B$10)^(C52-1)))))</f>
        <v>8306.21815123183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9354009.97115389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-0.0992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9354009.97115389</v>
      </c>
      <c r="K53" s="99" t="n">
        <f aca="false">J53*E53</f>
        <v>-927917.789138466</v>
      </c>
      <c r="L53" s="99" t="n">
        <f aca="false">J53+K53</f>
        <v>8426092.18201543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8426092.18201543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37704.2973936273</v>
      </c>
      <c r="U53" s="99" t="n">
        <f aca="false">IF(AND($F$3=4,D53&lt;55),0,IF(D53&lt;50,0,IF(A53&lt;2025,$N$5*(1+$B$10)^(C53-1),IF(AND(D53&gt;59,D53&lt;64),$N$5*IF($N$3=2,1.5,1)*(1+$B$10)^(C53-1),$N$5*(1+$B$10)^(C53-1)))))</f>
        <v>8513.87360501263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8426092.18201543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-0.1888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8426092.18201543</v>
      </c>
      <c r="K54" s="99" t="n">
        <f aca="false">J54*E54</f>
        <v>-1590846.20396451</v>
      </c>
      <c r="L54" s="99" t="n">
        <f aca="false">J54+K54</f>
        <v>6835245.97805091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6835245.97805091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38646.904828468</v>
      </c>
      <c r="U54" s="99" t="n">
        <f aca="false">IF(AND($F$3=4,D54&lt;55),0,IF(D54&lt;50,0,IF(A54&lt;2025,$N$5*(1+$B$10)^(C54-1),IF(AND(D54&gt;59,D54&lt;64),$N$5*IF($N$3=2,1.5,1)*(1+$B$10)^(C54-1),$N$5*(1+$B$10)^(C54-1)))))</f>
        <v>8726.72044513794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6835245.97805091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64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Match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SIMPLE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SIMPLE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3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3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15500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0.5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3500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0.07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0.08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99999999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215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SIMPLE with % of Salary / Match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0.1276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255200</v>
      </c>
      <c r="L17" s="99" t="n">
        <f aca="false">J17+K17</f>
        <v>2255200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2255200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2500</v>
      </c>
      <c r="T17" s="99" t="n">
        <f aca="false">$N$4*(1+$B$10)^(C17-1)</f>
        <v>15500</v>
      </c>
      <c r="U17" s="99" t="n">
        <f aca="false">IF(AND($F$3=4,D17&lt;55),0,IF(D17&lt;50,0,IF(A17&lt;2025,$N$5*(1+$B$10)^(C17-1),IF(AND(D17&gt;59,D17&lt;64),$N$5*IF($N$3=2,1.5,1)*(1+$B$10)^(C17-1),$N$5*(1+$B$10)^(C17-1)))))</f>
        <v>3500</v>
      </c>
      <c r="V17" s="99" t="n">
        <f aca="false">IF($N$3=1,0,$N$6*(1+$B$10)^(C17-1)-W17)</f>
        <v>99994999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2500</v>
      </c>
      <c r="Z17" s="99" t="n">
        <f aca="false">W17+X17+Y17</f>
        <v>7500</v>
      </c>
      <c r="AA17" s="100" t="n">
        <f aca="false">Q17+Z17</f>
        <v>2262700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0.0671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2262700</v>
      </c>
      <c r="K18" s="99" t="n">
        <f aca="false">J18*E18</f>
        <v>151827.17</v>
      </c>
      <c r="L18" s="99" t="n">
        <f aca="false">J18+K18</f>
        <v>2414527.17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2414527.17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2550</v>
      </c>
      <c r="T18" s="99" t="n">
        <f aca="false">$N$4*(1+$B$10)^(C18-1)</f>
        <v>15887.5</v>
      </c>
      <c r="U18" s="99" t="n">
        <f aca="false">IF(AND($F$3=4,D18&lt;55),0,IF(D18&lt;50,0,IF(A18&lt;2025,$N$5*(1+$B$10)^(C18-1),IF(AND(D18&gt;59,D18&lt;64),$N$5*IF($N$3=2,1.5,1)*(1+$B$10)^(C18-1),$N$5*(1+$B$10)^(C18-1)))))</f>
        <v>3587.5</v>
      </c>
      <c r="V18" s="99" t="n">
        <f aca="false">IF($N$3=1,0,$N$6*(1+$B$10)^(C18-1)-W18)</f>
        <v>102494898.975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2550</v>
      </c>
      <c r="Z18" s="99" t="n">
        <f aca="false">W18+X18+Y18</f>
        <v>7650</v>
      </c>
      <c r="AA18" s="100" t="n">
        <f aca="false">Q18+W18+X18+Y18</f>
        <v>2422177.17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0.0299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2422177.17</v>
      </c>
      <c r="K19" s="99" t="n">
        <f aca="false">J19*E19</f>
        <v>72423.097383</v>
      </c>
      <c r="L19" s="99" t="n">
        <f aca="false">J19+K19</f>
        <v>2494600.267383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2494600.267383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2601</v>
      </c>
      <c r="T19" s="99" t="n">
        <f aca="false">$N$4*(1+$B$10)^(C19-1)</f>
        <v>16284.6875</v>
      </c>
      <c r="U19" s="99" t="n">
        <f aca="false">IF(AND($F$3=4,D19&lt;55),0,IF(D19&lt;50,0,IF(A19&lt;2025,$N$5*(1+$B$10)^(C19-1),IF(AND(D19&gt;59,D19&lt;64),$N$5*IF($N$3=2,1.5,1)*(1+$B$10)^(C19-1),$N$5*(1+$B$10)^(C19-1)))))</f>
        <v>3677.1875</v>
      </c>
      <c r="V19" s="99" t="n">
        <f aca="false">IF($N$3=1,0,$N$6*(1+$B$10)^(C19-1)-W19)</f>
        <v>105057296.949375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2601</v>
      </c>
      <c r="Z19" s="99" t="n">
        <f aca="false">W19+X19+Y19</f>
        <v>7803</v>
      </c>
      <c r="AA19" s="100" t="n">
        <f aca="false">Q19+W19+X19+Y19</f>
        <v>2502403.267383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0.154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2502403.267383</v>
      </c>
      <c r="K20" s="99" t="n">
        <f aca="false">J20*E20</f>
        <v>385370.103176982</v>
      </c>
      <c r="L20" s="99" t="n">
        <f aca="false">J20+K20</f>
        <v>2887773.37055998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2887773.37055998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2653.02</v>
      </c>
      <c r="T20" s="99" t="n">
        <f aca="false">$N$4*(1+$B$10)^(C20-1)</f>
        <v>16691.8046875</v>
      </c>
      <c r="U20" s="99" t="n">
        <f aca="false">IF(AND($F$3=4,D20&lt;55),0,IF(D20&lt;50,0,IF(A20&lt;2025,$N$5*(1+$B$10)^(C20-1),IF(AND(D20&gt;59,D20&lt;64),$N$5*IF($N$3=2,1.5,1)*(1+$B$10)^(C20-1),$N$5*(1+$B$10)^(C20-1)))))</f>
        <v>3769.1171875</v>
      </c>
      <c r="V20" s="99" t="n">
        <f aca="false">IF($N$3=1,0,$N$6*(1+$B$10)^(C20-1)-W20)</f>
        <v>107683755.383109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2653.02</v>
      </c>
      <c r="Z20" s="99" t="n">
        <f aca="false">W20+X20+Y20</f>
        <v>7959.06</v>
      </c>
      <c r="AA20" s="100" t="n">
        <f aca="false">Q20+W20+X20+Y20</f>
        <v>2895732.43055998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0.1122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2895732.43055998</v>
      </c>
      <c r="K21" s="99" t="n">
        <f aca="false">J21*E21</f>
        <v>324901.17870883</v>
      </c>
      <c r="L21" s="99" t="n">
        <f aca="false">J21+K21</f>
        <v>3220633.60926881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3110252.32020631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17109.0998046875</v>
      </c>
      <c r="U21" s="99" t="n">
        <f aca="false">IF(AND($F$3=4,D21&lt;55),0,IF(D21&lt;50,0,IF(A21&lt;2025,$N$5*(1+$B$10)^(C21-1),IF(AND(D21&gt;59,D21&lt;64),$N$5*IF($N$3=2,1.5,1)*(1+$B$10)^(C21-1),$N$5*(1+$B$10)^(C21-1)))))</f>
        <v>3863.3451171875</v>
      </c>
      <c r="V21" s="99" t="n">
        <f aca="false">IF($N$3=1,0,$N$6*(1+$B$10)^(C21-1)-W21)</f>
        <v>110381287.958687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3110252.32020631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0.1144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3110252.32020631</v>
      </c>
      <c r="K22" s="99" t="n">
        <f aca="false">J22*E22</f>
        <v>355812.865431602</v>
      </c>
      <c r="L22" s="99" t="n">
        <f aca="false">J22+K22</f>
        <v>3466065.18563791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3352924.36434885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17536.8272998047</v>
      </c>
      <c r="U22" s="99" t="n">
        <f aca="false">IF(AND($F$3=4,D22&lt;55),0,IF(D22&lt;50,0,IF(A22&lt;2025,$N$5*(1+$B$10)^(C22-1),IF(AND(D22&gt;59,D22&lt;64),$N$5*IF($N$3=2,1.5,1)*(1+$B$10)^(C22-1),$N$5*(1+$B$10)^(C22-1)))))</f>
        <v>3959.92874511719</v>
      </c>
      <c r="V22" s="99" t="n">
        <f aca="false">IF($N$3=1,0,$N$6*(1+$B$10)^(C22-1)-W22)</f>
        <v>113140820.157654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3352924.36434885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0.1412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3352924.36434885</v>
      </c>
      <c r="K23" s="99" t="n">
        <f aca="false">J23*E23</f>
        <v>473432.920246058</v>
      </c>
      <c r="L23" s="99" t="n">
        <f aca="false">J23+K23</f>
        <v>3826357.28459491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3710387.94277362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17975.2479822998</v>
      </c>
      <c r="U23" s="99" t="n">
        <f aca="false">IF(AND($F$3=4,D23&lt;55),0,IF(D23&lt;50,0,IF(A23&lt;2025,$N$5*(1+$B$10)^(C23-1),IF(AND(D23&gt;59,D23&lt;64),$N$5*IF($N$3=2,1.5,1)*(1+$B$10)^(C23-1),$N$5*(1+$B$10)^(C23-1)))))</f>
        <v>4058.92696374511</v>
      </c>
      <c r="V23" s="99" t="n">
        <f aca="false">IF($N$3=1,0,$N$6*(1+$B$10)^(C23-1)-W23)</f>
        <v>115969340.661596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3710387.94277362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-0.0688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3710387.94277362</v>
      </c>
      <c r="K24" s="99" t="n">
        <f aca="false">J24*E24</f>
        <v>-255274.690462825</v>
      </c>
      <c r="L24" s="99" t="n">
        <f aca="false">J24+K24</f>
        <v>3455113.2523108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3336244.67694397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18424.6291818573</v>
      </c>
      <c r="U24" s="99" t="n">
        <f aca="false">IF(AND($F$3=4,D24&lt;55),0,IF(D24&lt;50,0,IF(A24&lt;2025,$N$5*(1+$B$10)^(C24-1),IF(AND(D24&gt;59,D24&lt;64),$N$5*IF($N$3=2,1.5,1)*(1+$B$10)^(C24-1),$N$5*(1+$B$10)^(C24-1)))))</f>
        <v>4160.40013783874</v>
      </c>
      <c r="V24" s="99" t="n">
        <f aca="false">IF($N$3=1,0,$N$6*(1+$B$10)^(C24-1)-W24)</f>
        <v>118868574.178135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3336244.67694397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0.0171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3336244.67694397</v>
      </c>
      <c r="K25" s="99" t="n">
        <f aca="false">J25*E25</f>
        <v>57049.783975742</v>
      </c>
      <c r="L25" s="99" t="n">
        <f aca="false">J25+K25</f>
        <v>3393294.46091972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3271454.17116872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18885.2449114037</v>
      </c>
      <c r="U25" s="99" t="n">
        <f aca="false">IF(AND($F$3=4,D25&lt;55),0,IF(D25&lt;50,0,IF(A25&lt;2025,$N$5*(1+$B$10)^(C25-1),IF(AND(D25&gt;59,D25&lt;64),$N$5*IF($N$3=2,1.5,1)*(1+$B$10)^(C25-1),$N$5*(1+$B$10)^(C25-1)))))</f>
        <v>4264.41014128471</v>
      </c>
      <c r="V25" s="99" t="n">
        <f aca="false">IF($N$3=1,0,$N$6*(1+$B$10)^(C25-1)-W25)</f>
        <v>121840288.532589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3271454.17116872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0.0897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3271454.17116872</v>
      </c>
      <c r="K26" s="99" t="n">
        <f aca="false">J26*E26</f>
        <v>293449.439153835</v>
      </c>
      <c r="L26" s="99" t="n">
        <f aca="false">J26+K26</f>
        <v>3564903.61032256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3440017.31332779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19357.3760341888</v>
      </c>
      <c r="U26" s="99" t="n">
        <f aca="false">IF(AND($F$3=4,D26&lt;55),0,IF(D26&lt;50,0,IF(A26&lt;2025,$N$5*(1+$B$10)^(C26-1),IF(AND(D26&gt;59,D26&lt;64),$N$5*IF($N$3=2,1.5,1)*(1+$B$10)^(C26-1),$N$5*(1+$B$10)^(C26-1)))))</f>
        <v>4371.02039481683</v>
      </c>
      <c r="V26" s="99" t="n">
        <f aca="false">IF($N$3=1,0,$N$6*(1+$B$10)^(C26-1)-W26)</f>
        <v>124886295.745904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3440017.31332779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0.1499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3440017.31332779</v>
      </c>
      <c r="K27" s="99" t="n">
        <f aca="false">J27*E27</f>
        <v>515658.595267836</v>
      </c>
      <c r="L27" s="99" t="n">
        <f aca="false">J27+K27</f>
        <v>3955675.90859563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3827667.45417599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19841.3104350435</v>
      </c>
      <c r="U27" s="99" t="n">
        <f aca="false">IF(AND($F$3=4,D27&lt;55),0,IF(D27&lt;50,0,IF(A27&lt;2025,$N$5*(1+$B$10)^(C27-1),IF(AND(D27&gt;59,D27&lt;64),$N$5*IF($N$3=2,1.5,1)*(1+$B$10)^(C27-1),$N$5*(1+$B$10)^(C27-1)))))</f>
        <v>4480.29590468725</v>
      </c>
      <c r="V27" s="99" t="n">
        <f aca="false">IF($N$3=1,0,$N$6*(1+$B$10)^(C27-1)-W27)</f>
        <v>128008453.139551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3827667.45417599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0.0911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3827667.45417599</v>
      </c>
      <c r="K28" s="99" t="n">
        <f aca="false">J28*E28</f>
        <v>348700.505075433</v>
      </c>
      <c r="L28" s="99" t="n">
        <f aca="false">J28+K28</f>
        <v>4176367.95925143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4045159.2934713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20337.3431959196</v>
      </c>
      <c r="U28" s="99" t="n">
        <f aca="false">IF(AND($F$3=4,D28&lt;55),0,IF(D28&lt;50,0,IF(A28&lt;2025,$N$5*(1+$B$10)^(C28-1),IF(AND(D28&gt;59,D28&lt;64),$N$5*IF($N$3=2,1.5,1)*(1+$B$10)^(C28-1),$N$5*(1+$B$10)^(C28-1)))))</f>
        <v>4592.30330230443</v>
      </c>
      <c r="V28" s="99" t="n">
        <f aca="false">IF($N$3=1,0,$N$6*(1+$B$10)^(C28-1)-W28)</f>
        <v>131208664.46804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4045159.2934713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0.112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4045159.2934713</v>
      </c>
      <c r="K29" s="99" t="n">
        <f aca="false">J29*E29</f>
        <v>453057.840868785</v>
      </c>
      <c r="L29" s="99" t="n">
        <f aca="false">J29+K29</f>
        <v>4498217.13434008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4363728.25191546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20845.7767758176</v>
      </c>
      <c r="U29" s="99" t="n">
        <f aca="false">IF(AND($F$3=4,D29&lt;55),0,IF(D29&lt;50,0,IF(A29&lt;2025,$N$5*(1+$B$10)^(C29-1),IF(AND(D29&gt;59,D29&lt;64),$N$5*IF($N$3=2,1.5,1)*(1+$B$10)^(C29-1),$N$5*(1+$B$10)^(C29-1)))))</f>
        <v>4707.11088486204</v>
      </c>
      <c r="V29" s="99" t="n">
        <f aca="false">IF($N$3=1,0,$N$6*(1+$B$10)^(C29-1)-W29)</f>
        <v>134488881.079741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4363728.25191546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0.0435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4363728.25191546</v>
      </c>
      <c r="K30" s="99" t="n">
        <f aca="false">J30*E30</f>
        <v>189822.178958322</v>
      </c>
      <c r="L30" s="99" t="n">
        <f aca="false">J30+K30</f>
        <v>4553550.43087378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4415699.32638853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21366.921195213</v>
      </c>
      <c r="U30" s="99" t="n">
        <f aca="false">IF(AND($F$3=4,D30&lt;55),0,IF(D30&lt;50,0,IF(A30&lt;2025,$N$5*(1+$B$10)^(C30-1),IF(AND(D30&gt;59,D30&lt;64),$N$5*IF($N$3=2,1.5,1)*(1+$B$10)^(C30-1),$N$5*(1+$B$10)^(C30-1)))))</f>
        <v>4824.78865698359</v>
      </c>
      <c r="V30" s="99" t="n">
        <f aca="false">IF($N$3=1,0,$N$6*(1+$B$10)^(C30-1)-W30)</f>
        <v>137851103.106734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4415699.32638853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0.0789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4415699.32638853</v>
      </c>
      <c r="K31" s="99" t="n">
        <f aca="false">J31*E31</f>
        <v>348398.676852055</v>
      </c>
      <c r="L31" s="99" t="n">
        <f aca="false">J31+K31</f>
        <v>4764098.00324059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179499.97261742</v>
      </c>
      <c r="O31" s="99" t="n">
        <f aca="false">IF(D31&gt;$B$4,0,IF(D31&lt;$B$3,0,$B$8*(1+$B$10)^(C31-1)))</f>
        <v>141297.382097377</v>
      </c>
      <c r="P31" s="99" t="n">
        <f aca="false">MAX(N31,O31)</f>
        <v>179499.97261742</v>
      </c>
      <c r="Q31" s="99" t="n">
        <f aca="false">MAX(0,L31-P31)</f>
        <v>4584598.03062317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21901.0942250934</v>
      </c>
      <c r="U31" s="99" t="n">
        <f aca="false">IF(AND($F$3=4,D31&lt;55),0,IF(D31&lt;50,0,IF(A31&lt;2025,$N$5*(1+$B$10)^(C31-1),IF(AND(D31&gt;59,D31&lt;64),$N$5*IF($N$3=2,1.5,1)*(1+$B$10)^(C31-1),$N$5*(1+$B$10)^(C31-1)))))</f>
        <v>4945.40837340818</v>
      </c>
      <c r="V31" s="99" t="n">
        <f aca="false">IF($N$3=1,0,$N$6*(1+$B$10)^(C31-1)-W31)</f>
        <v>141297380.684403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4584598.03062317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0.038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4584598.03062317</v>
      </c>
      <c r="K32" s="99" t="n">
        <f aca="false">J32*E32</f>
        <v>174214.72516368</v>
      </c>
      <c r="L32" s="99" t="n">
        <f aca="false">J32+K32</f>
        <v>4758812.75578685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193442.954878615</v>
      </c>
      <c r="O32" s="99" t="n">
        <f aca="false">IF(D32&gt;$B$4,0,IF(D32&lt;$B$3,0,$B$8*(1+$B$10)^(C32-1)))</f>
        <v>144829.816649811</v>
      </c>
      <c r="P32" s="99" t="n">
        <f aca="false">MAX(N32,O32)</f>
        <v>193442.954878615</v>
      </c>
      <c r="Q32" s="99" t="n">
        <f aca="false">MAX(0,L32-P32)</f>
        <v>4565369.80090823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22448.6215807207</v>
      </c>
      <c r="U32" s="99" t="n">
        <f aca="false">IF(AND($F$3=4,D32&lt;55),0,IF(D32&lt;50,0,IF(A32&lt;2025,$N$5*(1+$B$10)^(C32-1),IF(AND(D32&gt;59,D32&lt;64),$N$5*IF($N$3=2,1.5,1)*(1+$B$10)^(C32-1),$N$5*(1+$B$10)^(C32-1)))))</f>
        <v>5069.04358274338</v>
      </c>
      <c r="V32" s="99" t="n">
        <f aca="false">IF($N$3=1,0,$N$6*(1+$B$10)^(C32-1)-W32)</f>
        <v>144829815.201513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4565369.80090823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0.2306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4565369.80090823</v>
      </c>
      <c r="K33" s="99" t="n">
        <f aca="false">J33*E33</f>
        <v>1052774.27608944</v>
      </c>
      <c r="L33" s="99" t="n">
        <f aca="false">J33+K33</f>
        <v>5618144.07699767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199361.126677215</v>
      </c>
      <c r="O33" s="99" t="n">
        <f aca="false">IF(D33&gt;$B$4,0,IF(D33&lt;$B$3,0,$B$8*(1+$B$10)^(C33-1)))</f>
        <v>148450.562066056</v>
      </c>
      <c r="P33" s="99" t="n">
        <f aca="false">MAX(N33,O33)</f>
        <v>199361.126677215</v>
      </c>
      <c r="Q33" s="99" t="n">
        <f aca="false">MAX(0,L33-P33)</f>
        <v>5418782.95032046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23009.8371202387</v>
      </c>
      <c r="U33" s="99" t="n">
        <f aca="false">IF(AND($F$3=4,D33&lt;55),0,IF(D33&lt;50,0,IF(A33&lt;2025,$N$5*(1+$B$10)^(C33-1),IF(AND(D33&gt;59,D33&lt;64),$N$5*IF($N$3=2,1.5,1)*(1+$B$10)^(C33-1),$N$5*(1+$B$10)^(C33-1)))))</f>
        <v>5195.76967231197</v>
      </c>
      <c r="V33" s="99" t="n">
        <f aca="false">IF($N$3=1,0,$N$6*(1+$B$10)^(C33-1)-W33)</f>
        <v>148450560.581551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5418782.95032046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-0.0945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5418782.95032046</v>
      </c>
      <c r="K34" s="99" t="n">
        <f aca="false">J34*E34</f>
        <v>-512074.988805283</v>
      </c>
      <c r="L34" s="99" t="n">
        <f aca="false">J34+K34</f>
        <v>4906707.96151517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246308.315923657</v>
      </c>
      <c r="O34" s="99" t="n">
        <f aca="false">IF(D34&gt;$B$4,0,IF(D34&lt;$B$3,0,$B$8*(1+$B$10)^(C34-1)))</f>
        <v>152161.826117708</v>
      </c>
      <c r="P34" s="99" t="n">
        <f aca="false">MAX(N34,O34)</f>
        <v>246308.315923657</v>
      </c>
      <c r="Q34" s="99" t="n">
        <f aca="false">MAX(0,L34-P34)</f>
        <v>4660399.64559152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23585.0830482447</v>
      </c>
      <c r="U34" s="99" t="n">
        <f aca="false">IF(AND($F$3=4,D34&lt;55),0,IF(D34&lt;50,0,IF(A34&lt;2025,$N$5*(1+$B$10)^(C34-1),IF(AND(D34&gt;59,D34&lt;64),$N$5*IF($N$3=2,1.5,1)*(1+$B$10)^(C34-1),$N$5*(1+$B$10)^(C34-1)))))</f>
        <v>5325.66391411977</v>
      </c>
      <c r="V34" s="99" t="n">
        <f aca="false">IF($N$3=1,0,$N$6*(1+$B$10)^(C34-1)-W34)</f>
        <v>152161824.596089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4660399.64559152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0.1859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4660399.64559152</v>
      </c>
      <c r="K35" s="99" t="n">
        <f aca="false">J35*E35</f>
        <v>866368.294115463</v>
      </c>
      <c r="L35" s="99" t="n">
        <f aca="false">J35+K35</f>
        <v>5526767.93970698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220872.021118081</v>
      </c>
      <c r="O35" s="99" t="n">
        <f aca="false">IF(D35&gt;$B$4,0,IF(D35&lt;$B$3,0,$B$8*(1+$B$10)^(C35-1)))</f>
        <v>155965.87177065</v>
      </c>
      <c r="P35" s="99" t="n">
        <f aca="false">MAX(N35,O35)</f>
        <v>220872.021118081</v>
      </c>
      <c r="Q35" s="99" t="n">
        <f aca="false">MAX(0,L35-P35)</f>
        <v>5305895.9185889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24174.7101244508</v>
      </c>
      <c r="U35" s="99" t="n">
        <f aca="false">IF(AND($F$3=4,D35&lt;55),0,IF(D35&lt;50,0,IF(A35&lt;2025,$N$5*(1+$B$10)^(C35-1),IF(AND(D35&gt;59,D35&lt;64),$N$5*IF($N$3=2,1.5,1)*(1+$B$10)^(C35-1),$N$5*(1+$B$10)^(C35-1)))))</f>
        <v>5458.80551197276</v>
      </c>
      <c r="V35" s="99" t="n">
        <f aca="false">IF($N$3=1,0,$N$6*(1+$B$10)^(C35-1)-W35)</f>
        <v>155965870.210992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5305895.9185889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0.0642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5305895.9185889</v>
      </c>
      <c r="K36" s="99" t="n">
        <f aca="false">J36*E36</f>
        <v>340638.517973407</v>
      </c>
      <c r="L36" s="99" t="n">
        <f aca="false">J36+K36</f>
        <v>5646534.4365623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262668.114781629</v>
      </c>
      <c r="O36" s="99" t="n">
        <f aca="false">IF(D36&gt;$B$4,0,IF(D36&lt;$B$3,0,$B$8*(1+$B$10)^(C36-1)))</f>
        <v>159865.018564917</v>
      </c>
      <c r="P36" s="99" t="n">
        <f aca="false">MAX(N36,O36)</f>
        <v>262668.114781629</v>
      </c>
      <c r="Q36" s="99" t="n">
        <f aca="false">MAX(0,L36-P36)</f>
        <v>5383866.32178068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24779.0778775621</v>
      </c>
      <c r="U36" s="99" t="n">
        <f aca="false">IF(AND($F$3=4,D36&lt;55),0,IF(D36&lt;50,0,IF(A36&lt;2025,$N$5*(1+$B$10)^(C36-1),IF(AND(D36&gt;59,D36&lt;64),$N$5*IF($N$3=2,1.5,1)*(1+$B$10)^(C36-1),$N$5*(1+$B$10)^(C36-1)))))</f>
        <v>5595.27564977208</v>
      </c>
      <c r="V36" s="99" t="n">
        <f aca="false">IF($N$3=1,0,$N$6*(1+$B$10)^(C36-1)-W36)</f>
        <v>159865016.966266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5383866.32178068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0.1266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5383866.32178068</v>
      </c>
      <c r="K37" s="99" t="n">
        <f aca="false">J37*E37</f>
        <v>681597.476337433</v>
      </c>
      <c r="L37" s="99" t="n">
        <f aca="false">J37+K37</f>
        <v>6065463.79811811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277518.882566014</v>
      </c>
      <c r="O37" s="99" t="n">
        <f aca="false">IF(D37&gt;$B$4,0,IF(D37&lt;$B$3,0,$B$8*(1+$B$10)^(C37-1)))</f>
        <v>163861.644029039</v>
      </c>
      <c r="P37" s="99" t="n">
        <f aca="false">MAX(N37,O37)</f>
        <v>277518.882566014</v>
      </c>
      <c r="Q37" s="99" t="n">
        <f aca="false">MAX(0,L37-P37)</f>
        <v>5787944.9155521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25398.5548245011</v>
      </c>
      <c r="U37" s="99" t="n">
        <f aca="false">IF(AND($F$3=4,D37&lt;55),0,IF(D37&lt;50,0,IF(A37&lt;2025,$N$5*(1+$B$10)^(C37-1),IF(AND(D37&gt;59,D37&lt;64),$N$5*IF($N$3=2,1.5,1)*(1+$B$10)^(C37-1),$N$5*(1+$B$10)^(C37-1)))))</f>
        <v>5735.15754101638</v>
      </c>
      <c r="V37" s="99" t="n">
        <f aca="false">IF($N$3=1,0,$N$6*(1+$B$10)^(C37-1)-W37)</f>
        <v>163861642.390423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5787944.9155521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0.0948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5787944.9155521</v>
      </c>
      <c r="K38" s="99" t="n">
        <f aca="false">J38*E38</f>
        <v>548697.177994339</v>
      </c>
      <c r="L38" s="99" t="n">
        <f aca="false">J38+K38</f>
        <v>6336642.09354643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312861.88732714</v>
      </c>
      <c r="O38" s="99" t="n">
        <f aca="false">IF(D38&gt;$B$4,0,IF(D38&lt;$B$3,0,$B$8*(1+$B$10)^(C38-1)))</f>
        <v>167958.185129765</v>
      </c>
      <c r="P38" s="99" t="n">
        <f aca="false">MAX(N38,O38)</f>
        <v>312861.88732714</v>
      </c>
      <c r="Q38" s="99" t="n">
        <f aca="false">MAX(0,L38-P38)</f>
        <v>6023780.20621929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26033.5186951136</v>
      </c>
      <c r="U38" s="99" t="n">
        <f aca="false">IF(AND($F$3=4,D38&lt;55),0,IF(D38&lt;50,0,IF(A38&lt;2025,$N$5*(1+$B$10)^(C38-1),IF(AND(D38&gt;59,D38&lt;64),$N$5*IF($N$3=2,1.5,1)*(1+$B$10)^(C38-1),$N$5*(1+$B$10)^(C38-1)))))</f>
        <v>5878.53647954179</v>
      </c>
      <c r="V38" s="99" t="n">
        <f aca="false">IF($N$3=1,0,$N$6*(1+$B$10)^(C38-1)-W38)</f>
        <v>167958183.450184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6023780.20621929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0.0747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6023780.20621929</v>
      </c>
      <c r="K39" s="99" t="n">
        <f aca="false">J39*E39</f>
        <v>449976.381404581</v>
      </c>
      <c r="L39" s="99" t="n">
        <f aca="false">J39+K39</f>
        <v>6473756.58762388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340326.565323124</v>
      </c>
      <c r="O39" s="99" t="n">
        <f aca="false">IF(D39&gt;$B$4,0,IF(D39&lt;$B$3,0,$B$8*(1+$B$10)^(C39-1)))</f>
        <v>172157.13975801</v>
      </c>
      <c r="P39" s="99" t="n">
        <f aca="false">MAX(N39,O39)</f>
        <v>340326.565323124</v>
      </c>
      <c r="Q39" s="99" t="n">
        <f aca="false">MAX(0,L39-P39)</f>
        <v>6133430.02230075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26684.3566624915</v>
      </c>
      <c r="U39" s="99" t="n">
        <f aca="false">IF(AND($F$3=4,D39&lt;55),0,IF(D39&lt;50,0,IF(A39&lt;2025,$N$5*(1+$B$10)^(C39-1),IF(AND(D39&gt;59,D39&lt;64),$N$5*IF($N$3=2,1.5,1)*(1+$B$10)^(C39-1),$N$5*(1+$B$10)^(C39-1)))))</f>
        <v>6025.49989153033</v>
      </c>
      <c r="V39" s="99" t="n">
        <f aca="false">IF($N$3=1,0,$N$6*(1+$B$10)^(C39-1)-W39)</f>
        <v>172157138.036438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6133430.02230075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0.1038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6133430.02230075</v>
      </c>
      <c r="K40" s="99" t="n">
        <f aca="false">J40*E40</f>
        <v>636650.036314818</v>
      </c>
      <c r="L40" s="99" t="n">
        <f aca="false">J40+K40</f>
        <v>6770080.05861557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365085.120375045</v>
      </c>
      <c r="O40" s="99" t="n">
        <f aca="false">IF(D40&gt;$B$4,0,IF(D40&lt;$B$3,0,$B$8*(1+$B$10)^(C40-1)))</f>
        <v>176461.06825196</v>
      </c>
      <c r="P40" s="99" t="n">
        <f aca="false">MAX(N40,O40)</f>
        <v>365085.120375045</v>
      </c>
      <c r="Q40" s="99" t="n">
        <f aca="false">MAX(0,L40-P40)</f>
        <v>6404994.93824053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27351.4655790538</v>
      </c>
      <c r="U40" s="99" t="n">
        <f aca="false">IF(AND($F$3=4,D40&lt;55),0,IF(D40&lt;50,0,IF(A40&lt;2025,$N$5*(1+$B$10)^(C40-1),IF(AND(D40&gt;59,D40&lt;64),$N$5*IF($N$3=2,1.5,1)*(1+$B$10)^(C40-1),$N$5*(1+$B$10)^(C40-1)))))</f>
        <v>6176.13738881859</v>
      </c>
      <c r="V40" s="99" t="n">
        <f aca="false">IF($N$3=1,0,$N$6*(1+$B$10)^(C40-1)-W40)</f>
        <v>176461066.487349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6404994.93824053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0.091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6404994.93824053</v>
      </c>
      <c r="K41" s="99" t="n">
        <f aca="false">J41*E41</f>
        <v>582854.539379888</v>
      </c>
      <c r="L41" s="99" t="n">
        <f aca="false">J41+K41</f>
        <v>6987849.47762041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400312.183640033</v>
      </c>
      <c r="O41" s="99" t="n">
        <f aca="false">IF(D41&gt;$B$4,0,IF(D41&lt;$B$3,0,$B$8*(1+$B$10)^(C41-1)))</f>
        <v>180872.594958259</v>
      </c>
      <c r="P41" s="99" t="n">
        <f aca="false">MAX(N41,O41)</f>
        <v>400312.183640033</v>
      </c>
      <c r="Q41" s="99" t="n">
        <f aca="false">MAX(0,L41-P41)</f>
        <v>6587537.29398038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28035.2522185301</v>
      </c>
      <c r="U41" s="99" t="n">
        <f aca="false">IF(AND($F$3=4,D41&lt;55),0,IF(D41&lt;50,0,IF(A41&lt;2025,$N$5*(1+$B$10)^(C41-1),IF(AND(D41&gt;59,D41&lt;64),$N$5*IF($N$3=2,1.5,1)*(1+$B$10)^(C41-1),$N$5*(1+$B$10)^(C41-1)))))</f>
        <v>6330.54082353906</v>
      </c>
      <c r="V41" s="99" t="n">
        <f aca="false">IF($N$3=1,0,$N$6*(1+$B$10)^(C41-1)-W41)</f>
        <v>180872593.149533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6587537.29398038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-0.049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6587537.29398038</v>
      </c>
      <c r="K42" s="99" t="n">
        <f aca="false">J42*E42</f>
        <v>-322789.327405039</v>
      </c>
      <c r="L42" s="99" t="n">
        <f aca="false">J42+K42</f>
        <v>6264747.96657534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433390.611446078</v>
      </c>
      <c r="O42" s="99" t="n">
        <f aca="false">IF(D42&gt;$B$4,0,IF(D42&lt;$B$3,0,$B$8*(1+$B$10)^(C42-1)))</f>
        <v>185394.409832215</v>
      </c>
      <c r="P42" s="99" t="n">
        <f aca="false">MAX(N42,O42)</f>
        <v>433390.611446078</v>
      </c>
      <c r="Q42" s="99" t="n">
        <f aca="false">MAX(0,L42-P42)</f>
        <v>5831357.35512926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28736.1335239934</v>
      </c>
      <c r="U42" s="99" t="n">
        <f aca="false">IF(AND($F$3=4,D42&lt;55),0,IF(D42&lt;50,0,IF(A42&lt;2025,$N$5*(1+$B$10)^(C42-1),IF(AND(D42&gt;59,D42&lt;64),$N$5*IF($N$3=2,1.5,1)*(1+$B$10)^(C42-1),$N$5*(1+$B$10)^(C42-1)))))</f>
        <v>6488.80434412753</v>
      </c>
      <c r="V42" s="99" t="n">
        <f aca="false">IF($N$3=1,0,$N$6*(1+$B$10)^(C42-1)-W42)</f>
        <v>185394407.978271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5831357.35512926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0.112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5831357.35512926</v>
      </c>
      <c r="K43" s="99" t="n">
        <f aca="false">J43*E43</f>
        <v>653112.023774477</v>
      </c>
      <c r="L43" s="99" t="n">
        <f aca="false">J43+K43</f>
        <v>6484469.37890374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404955.371883977</v>
      </c>
      <c r="O43" s="99" t="n">
        <f aca="false">IF(D43&gt;$B$4,0,IF(D43&lt;$B$3,0,$B$8*(1+$B$10)^(C43-1)))</f>
        <v>190029.270078021</v>
      </c>
      <c r="P43" s="99" t="n">
        <f aca="false">MAX(N43,O43)</f>
        <v>404955.371883977</v>
      </c>
      <c r="Q43" s="99" t="n">
        <f aca="false">MAX(0,L43-P43)</f>
        <v>6079514.00701976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29454.5368620932</v>
      </c>
      <c r="U43" s="99" t="n">
        <f aca="false">IF(AND($F$3=4,D43&lt;55),0,IF(D43&lt;50,0,IF(A43&lt;2025,$N$5*(1+$B$10)^(C43-1),IF(AND(D43&gt;59,D43&lt;64),$N$5*IF($N$3=2,1.5,1)*(1+$B$10)^(C43-1),$N$5*(1+$B$10)^(C43-1)))))</f>
        <v>6651.02445273072</v>
      </c>
      <c r="V43" s="99" t="n">
        <f aca="false">IF($N$3=1,0,$N$6*(1+$B$10)^(C43-1)-W43)</f>
        <v>190029268.177728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6079514.00701976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0.0758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6079514.00701976</v>
      </c>
      <c r="K44" s="99" t="n">
        <f aca="false">J44*E44</f>
        <v>460827.161732098</v>
      </c>
      <c r="L44" s="99" t="n">
        <f aca="false">J44+K44</f>
        <v>6540341.16875186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443760.146497793</v>
      </c>
      <c r="O44" s="99" t="n">
        <f aca="false">IF(D44&gt;$B$4,0,IF(D44&lt;$B$3,0,$B$8*(1+$B$10)^(C44-1)))</f>
        <v>194780.001829971</v>
      </c>
      <c r="P44" s="99" t="n">
        <f aca="false">MAX(N44,O44)</f>
        <v>443760.146497793</v>
      </c>
      <c r="Q44" s="99" t="n">
        <f aca="false">MAX(0,L44-P44)</f>
        <v>6096581.02225407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30190.9002836455</v>
      </c>
      <c r="U44" s="99" t="n">
        <f aca="false">IF(AND($F$3=4,D44&lt;55),0,IF(D44&lt;50,0,IF(A44&lt;2025,$N$5*(1+$B$10)^(C44-1),IF(AND(D44&gt;59,D44&lt;64),$N$5*IF($N$3=2,1.5,1)*(1+$B$10)^(C44-1),$N$5*(1+$B$10)^(C44-1)))))</f>
        <v>6817.30006404899</v>
      </c>
      <c r="V44" s="99" t="n">
        <f aca="false">IF($N$3=1,0,$N$6*(1+$B$10)^(C44-1)-W44)</f>
        <v>194779999.882171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6096581.02225407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0.1107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6096581.02225407</v>
      </c>
      <c r="K45" s="99" t="n">
        <f aca="false">J45*E45</f>
        <v>674891.519163525</v>
      </c>
      <c r="L45" s="99" t="n">
        <f aca="false">J45+K45</f>
        <v>6771472.54141759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472603.180019695</v>
      </c>
      <c r="O45" s="99" t="n">
        <f aca="false">IF(D45&gt;$B$4,0,IF(D45&lt;$B$3,0,$B$8*(1+$B$10)^(C45-1)))</f>
        <v>199649.50187572</v>
      </c>
      <c r="P45" s="99" t="n">
        <f aca="false">MAX(N45,O45)</f>
        <v>472603.180019695</v>
      </c>
      <c r="Q45" s="99" t="n">
        <f aca="false">MAX(0,L45-P45)</f>
        <v>6298869.3613979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30945.6727907366</v>
      </c>
      <c r="U45" s="99" t="n">
        <f aca="false">IF(AND($F$3=4,D45&lt;55),0,IF(D45&lt;50,0,IF(A45&lt;2025,$N$5*(1+$B$10)^(C45-1),IF(AND(D45&gt;59,D45&lt;64),$N$5*IF($N$3=2,1.5,1)*(1+$B$10)^(C45-1),$N$5*(1+$B$10)^(C45-1)))))</f>
        <v>6987.73256565021</v>
      </c>
      <c r="V45" s="99" t="n">
        <f aca="false">IF($N$3=1,0,$N$6*(1+$B$10)^(C45-1)-W45)</f>
        <v>199649499.879225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6298869.3613979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0.0527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6298869.3613979</v>
      </c>
      <c r="K46" s="99" t="n">
        <f aca="false">J46*E46</f>
        <v>331950.415345669</v>
      </c>
      <c r="L46" s="99" t="n">
        <f aca="false">J46+K46</f>
        <v>6630819.77674357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516300.767327697</v>
      </c>
      <c r="O46" s="99" t="n">
        <f aca="false">IF(D46&gt;$B$4,0,IF(D46&lt;$B$3,0,$B$8*(1+$B$10)^(C46-1)))</f>
        <v>204640.739422613</v>
      </c>
      <c r="P46" s="99" t="n">
        <f aca="false">MAX(N46,O46)</f>
        <v>516300.767327697</v>
      </c>
      <c r="Q46" s="99" t="n">
        <f aca="false">MAX(0,L46-P46)</f>
        <v>6114519.00941587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31719.3146105051</v>
      </c>
      <c r="U46" s="99" t="n">
        <f aca="false">IF(AND($F$3=4,D46&lt;55),0,IF(D46&lt;50,0,IF(A46&lt;2025,$N$5*(1+$B$10)^(C46-1),IF(AND(D46&gt;59,D46&lt;64),$N$5*IF($N$3=2,1.5,1)*(1+$B$10)^(C46-1),$N$5*(1+$B$10)^(C46-1)))))</f>
        <v>7162.42587979147</v>
      </c>
      <c r="V46" s="99" t="n">
        <f aca="false">IF($N$3=1,0,$N$6*(1+$B$10)^(C46-1)-W46)</f>
        <v>204640737.376206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6114519.00941587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0.1287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6114519.00941587</v>
      </c>
      <c r="K47" s="99" t="n">
        <f aca="false">J47*E47</f>
        <v>786938.596511823</v>
      </c>
      <c r="L47" s="99" t="n">
        <f aca="false">J47+K47</f>
        <v>6901457.60592769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6901457.60592769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32512.2974757677</v>
      </c>
      <c r="U47" s="99" t="n">
        <f aca="false">IF(AND($F$3=4,D47&lt;55),0,IF(D47&lt;50,0,IF(A47&lt;2025,$N$5*(1+$B$10)^(C47-1),IF(AND(D47&gt;59,D47&lt;64),$N$5*IF($N$3=2,1.5,1)*(1+$B$10)^(C47-1),$N$5*(1+$B$10)^(C47-1)))))</f>
        <v>7341.48652678625</v>
      </c>
      <c r="V47" s="99" t="n">
        <f aca="false">IF($N$3=1,0,$N$6*(1+$B$10)^(C47-1)-W47)</f>
        <v>209756755.810611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6901457.60592769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0.0471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6901457.60592769</v>
      </c>
      <c r="K48" s="99" t="n">
        <f aca="false">J48*E48</f>
        <v>325058.653239194</v>
      </c>
      <c r="L48" s="99" t="n">
        <f aca="false">J48+K48</f>
        <v>7226516.25916689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7226516.25916689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33325.1049126619</v>
      </c>
      <c r="U48" s="99" t="n">
        <f aca="false">IF(AND($F$3=4,D48&lt;55),0,IF(D48&lt;50,0,IF(A48&lt;2025,$N$5*(1+$B$10)^(C48-1),IF(AND(D48&gt;59,D48&lt;64),$N$5*IF($N$3=2,1.5,1)*(1+$B$10)^(C48-1),$N$5*(1+$B$10)^(C48-1)))))</f>
        <v>7525.02368995591</v>
      </c>
      <c r="V48" s="99" t="n">
        <f aca="false">IF($N$3=1,0,$N$6*(1+$B$10)^(C48-1)-W48)</f>
        <v>215000674.705876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7226516.25916689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0.063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7226516.25916689</v>
      </c>
      <c r="K49" s="99" t="n">
        <f aca="false">J49*E49</f>
        <v>455270.524327514</v>
      </c>
      <c r="L49" s="99" t="n">
        <f aca="false">J49+K49</f>
        <v>7681786.7834944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7681786.7834944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34158.2325354784</v>
      </c>
      <c r="U49" s="99" t="n">
        <f aca="false">IF(AND($F$3=4,D49&lt;55),0,IF(D49&lt;50,0,IF(A49&lt;2025,$N$5*(1+$B$10)^(C49-1),IF(AND(D49&gt;59,D49&lt;64),$N$5*IF($N$3=2,1.5,1)*(1+$B$10)^(C49-1),$N$5*(1+$B$10)^(C49-1)))))</f>
        <v>7713.1492822048</v>
      </c>
      <c r="V49" s="99" t="n">
        <f aca="false">IF($N$3=1,0,$N$6*(1+$B$10)^(C49-1)-W49)</f>
        <v>220375691.573523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7681786.7834944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0.154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7681786.7834944</v>
      </c>
      <c r="K50" s="99" t="n">
        <f aca="false">J50*E50</f>
        <v>1182995.16465814</v>
      </c>
      <c r="L50" s="99" t="n">
        <f aca="false">J50+K50</f>
        <v>8864781.94815254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8864781.94815254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35012.1883488654</v>
      </c>
      <c r="U50" s="99" t="n">
        <f aca="false">IF(AND($F$3=4,D50&lt;55),0,IF(D50&lt;50,0,IF(A50&lt;2025,$N$5*(1+$B$10)^(C50-1),IF(AND(D50&gt;59,D50&lt;64),$N$5*IF($N$3=2,1.5,1)*(1+$B$10)^(C50-1),$N$5*(1+$B$10)^(C50-1)))))</f>
        <v>7905.97801425992</v>
      </c>
      <c r="V50" s="99" t="n">
        <f aca="false">IF($N$3=1,0,$N$6*(1+$B$10)^(C50-1)-W50)</f>
        <v>225885083.862861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8864781.94815254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0.1225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8864781.94815254</v>
      </c>
      <c r="K51" s="99" t="n">
        <f aca="false">J51*E51</f>
        <v>1085935.78864869</v>
      </c>
      <c r="L51" s="99" t="n">
        <f aca="false">J51+K51</f>
        <v>9950717.73680123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9950717.73680123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35887.493057587</v>
      </c>
      <c r="U51" s="99" t="n">
        <f aca="false">IF(AND($F$3=4,D51&lt;55),0,IF(D51&lt;50,0,IF(A51&lt;2025,$N$5*(1+$B$10)^(C51-1),IF(AND(D51&gt;59,D51&lt;64),$N$5*IF($N$3=2,1.5,1)*(1+$B$10)^(C51-1),$N$5*(1+$B$10)^(C51-1)))))</f>
        <v>8103.62746461642</v>
      </c>
      <c r="V51" s="99" t="n">
        <f aca="false">IF($N$3=1,0,$N$6*(1+$B$10)^(C51-1)-W51)</f>
        <v>231532210.959433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9950717.73680123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-0.0653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9950717.73680123</v>
      </c>
      <c r="K52" s="99" t="n">
        <f aca="false">J52*E52</f>
        <v>-649781.86821312</v>
      </c>
      <c r="L52" s="99" t="n">
        <f aca="false">J52+K52</f>
        <v>9300935.86858811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9300935.86858811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36784.6803840267</v>
      </c>
      <c r="U52" s="99" t="n">
        <f aca="false">IF(AND($F$3=4,D52&lt;55),0,IF(D52&lt;50,0,IF(A52&lt;2025,$N$5*(1+$B$10)^(C52-1),IF(AND(D52&gt;59,D52&lt;64),$N$5*IF($N$3=2,1.5,1)*(1+$B$10)^(C52-1),$N$5*(1+$B$10)^(C52-1)))))</f>
        <v>8306.21815123183</v>
      </c>
      <c r="V52" s="99" t="n">
        <f aca="false">IF($N$3=1,0,$N$6*(1+$B$10)^(C52-1)-W52)</f>
        <v>237320516.233419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9300935.86858811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-0.0992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9300935.86858811</v>
      </c>
      <c r="K53" s="99" t="n">
        <f aca="false">J53*E53</f>
        <v>-922652.83816394</v>
      </c>
      <c r="L53" s="99" t="n">
        <f aca="false">J53+K53</f>
        <v>8378283.03042416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8378283.03042416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37704.2973936273</v>
      </c>
      <c r="U53" s="99" t="n">
        <f aca="false">IF(AND($F$3=4,D53&lt;55),0,IF(D53&lt;50,0,IF(A53&lt;2025,$N$5*(1+$B$10)^(C53-1),IF(AND(D53&gt;59,D53&lt;64),$N$5*IF($N$3=2,1.5,1)*(1+$B$10)^(C53-1),$N$5*(1+$B$10)^(C53-1)))))</f>
        <v>8513.87360501263</v>
      </c>
      <c r="V53" s="99" t="n">
        <f aca="false">IF($N$3=1,0,$N$6*(1+$B$10)^(C53-1)-W53)</f>
        <v>243253529.139254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8378283.03042416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-0.1888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8378283.03042416</v>
      </c>
      <c r="K54" s="99" t="n">
        <f aca="false">J54*E54</f>
        <v>-1581819.83614408</v>
      </c>
      <c r="L54" s="99" t="n">
        <f aca="false">J54+K54</f>
        <v>6796463.19428008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6796463.19428008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38646.904828468</v>
      </c>
      <c r="U54" s="99" t="n">
        <f aca="false">IF(AND($F$3=4,D54&lt;55),0,IF(D54&lt;50,0,IF(A54&lt;2025,$N$5*(1+$B$10)^(C54-1),IF(AND(D54&gt;59,D54&lt;64),$N$5*IF($N$3=2,1.5,1)*(1+$B$10)^(C54-1),$N$5*(1+$B$10)^(C54-1)))))</f>
        <v>8726.72044513794</v>
      </c>
      <c r="V54" s="99" t="n">
        <f aca="false">IF($N$3=1,0,$N$6*(1+$B$10)^(C54-1)-W54)</f>
        <v>249334867.367735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6796463.19428008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65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401a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401a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10000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0.08</v>
      </c>
      <c r="C6" s="57"/>
      <c r="D6" s="64" t="s">
        <v>17</v>
      </c>
      <c r="E6" s="79" t="n">
        <f aca="false">VLOOKUP($A$14,Scenarios!$A:$CE,HLOOKUP(D6,Scenarios!$1:$2,2,FALSE()),FALSE())</f>
        <v>10000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216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401a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0.1459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291800</v>
      </c>
      <c r="L17" s="99" t="n">
        <f aca="false">J17+K17</f>
        <v>2291800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2291800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10000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10000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56000</v>
      </c>
      <c r="W17" s="99" t="n">
        <f aca="false">MIN(R17,T17)</f>
        <v>10000</v>
      </c>
      <c r="X17" s="99" t="n">
        <f aca="false">MIN(U17,R17-W17)</f>
        <v>0</v>
      </c>
      <c r="Y17" s="99" t="n">
        <f aca="false">MIN(S17,V17)</f>
        <v>10000</v>
      </c>
      <c r="Z17" s="99" t="n">
        <f aca="false">W17+X17+Y17</f>
        <v>20000</v>
      </c>
      <c r="AA17" s="100" t="n">
        <f aca="false">Q17+Z17</f>
        <v>2311800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0.0767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2311800</v>
      </c>
      <c r="K18" s="99" t="n">
        <f aca="false">J18*E18</f>
        <v>177315.06</v>
      </c>
      <c r="L18" s="99" t="n">
        <f aca="false">J18+K18</f>
        <v>2489115.06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2489115.06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10000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10000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57650</v>
      </c>
      <c r="W18" s="99" t="n">
        <f aca="false">MIN(R18,T18)</f>
        <v>10000</v>
      </c>
      <c r="X18" s="99" t="n">
        <f aca="false">MIN(U18,R18-W18)</f>
        <v>0</v>
      </c>
      <c r="Y18" s="99" t="n">
        <f aca="false">MIN(S18,V18)</f>
        <v>10000</v>
      </c>
      <c r="Z18" s="99" t="n">
        <f aca="false">W18+X18+Y18</f>
        <v>20000</v>
      </c>
      <c r="AA18" s="100" t="n">
        <f aca="false">Q18+W18+X18+Y18</f>
        <v>2509115.06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0.0341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2509115.06</v>
      </c>
      <c r="K19" s="99" t="n">
        <f aca="false">J19*E19</f>
        <v>85560.823546</v>
      </c>
      <c r="L19" s="99" t="n">
        <f aca="false">J19+K19</f>
        <v>2594675.883546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2594675.883546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10000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10000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59341.25</v>
      </c>
      <c r="W19" s="99" t="n">
        <f aca="false">MIN(R19,T19)</f>
        <v>10000</v>
      </c>
      <c r="X19" s="99" t="n">
        <f aca="false">MIN(U19,R19-W19)</f>
        <v>0</v>
      </c>
      <c r="Y19" s="99" t="n">
        <f aca="false">MIN(S19,V19)</f>
        <v>10000</v>
      </c>
      <c r="Z19" s="99" t="n">
        <f aca="false">W19+X19+Y19</f>
        <v>20000</v>
      </c>
      <c r="AA19" s="100" t="n">
        <f aca="false">Q19+W19+X19+Y19</f>
        <v>2614675.883546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0.176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2614675.883546</v>
      </c>
      <c r="K20" s="99" t="n">
        <f aca="false">J20*E20</f>
        <v>460182.955504096</v>
      </c>
      <c r="L20" s="99" t="n">
        <f aca="false">J20+K20</f>
        <v>3074858.8390501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3074858.8390501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10000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10000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61074.78125</v>
      </c>
      <c r="W20" s="99" t="n">
        <f aca="false">MIN(R20,T20)</f>
        <v>10000</v>
      </c>
      <c r="X20" s="99" t="n">
        <f aca="false">MIN(U20,R20-W20)</f>
        <v>0</v>
      </c>
      <c r="Y20" s="99" t="n">
        <f aca="false">MIN(S20,V20)</f>
        <v>10000</v>
      </c>
      <c r="Z20" s="99" t="n">
        <f aca="false">W20+X20+Y20</f>
        <v>20000</v>
      </c>
      <c r="AA20" s="100" t="n">
        <f aca="false">Q20+W20+X20+Y20</f>
        <v>3094858.8390501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0.1283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3094858.8390501</v>
      </c>
      <c r="K21" s="99" t="n">
        <f aca="false">J21*E21</f>
        <v>397070.389050127</v>
      </c>
      <c r="L21" s="99" t="n">
        <f aca="false">J21+K21</f>
        <v>3491929.22810022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3381547.93903772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3381547.93903772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0.1308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3381547.93903772</v>
      </c>
      <c r="K22" s="99" t="n">
        <f aca="false">J22*E22</f>
        <v>442306.470426134</v>
      </c>
      <c r="L22" s="99" t="n">
        <f aca="false">J22+K22</f>
        <v>3823854.40946386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3710713.5881748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3710713.5881748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0.1613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3710713.5881748</v>
      </c>
      <c r="K23" s="99" t="n">
        <f aca="false">J23*E23</f>
        <v>598538.101772594</v>
      </c>
      <c r="L23" s="99" t="n">
        <f aca="false">J23+K23</f>
        <v>4309251.68994739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4193282.3481261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4193282.3481261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-0.0787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4193282.3481261</v>
      </c>
      <c r="K24" s="99" t="n">
        <f aca="false">J24*E24</f>
        <v>-330011.320797524</v>
      </c>
      <c r="L24" s="99" t="n">
        <f aca="false">J24+K24</f>
        <v>3863271.02732858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3744402.45196176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3744402.45196176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0.0196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3744402.45196176</v>
      </c>
      <c r="K25" s="99" t="n">
        <f aca="false">J25*E25</f>
        <v>73390.2880584504</v>
      </c>
      <c r="L25" s="99" t="n">
        <f aca="false">J25+K25</f>
        <v>3817792.74002021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3695952.45026921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3695952.45026921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0.1025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3695952.45026921</v>
      </c>
      <c r="K26" s="99" t="n">
        <f aca="false">J26*E26</f>
        <v>378835.126152594</v>
      </c>
      <c r="L26" s="99" t="n">
        <f aca="false">J26+K26</f>
        <v>4074787.57642181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3949901.27942704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3949901.27942704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0.1713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3949901.27942704</v>
      </c>
      <c r="K27" s="99" t="n">
        <f aca="false">J27*E27</f>
        <v>676618.089165852</v>
      </c>
      <c r="L27" s="99" t="n">
        <f aca="false">J27+K27</f>
        <v>4626519.3685929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4498510.91417326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4498510.91417326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0.1041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4498510.91417326</v>
      </c>
      <c r="K28" s="99" t="n">
        <f aca="false">J28*E28</f>
        <v>468294.986165436</v>
      </c>
      <c r="L28" s="99" t="n">
        <f aca="false">J28+K28</f>
        <v>4966805.9003387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4835597.23455857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4835597.23455857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0.128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4835597.23455857</v>
      </c>
      <c r="K29" s="99" t="n">
        <f aca="false">J29*E29</f>
        <v>618956.446023497</v>
      </c>
      <c r="L29" s="99" t="n">
        <f aca="false">J29+K29</f>
        <v>5454553.68058207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5320064.79815744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5320064.79815744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0.0497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5320064.79815744</v>
      </c>
      <c r="K30" s="99" t="n">
        <f aca="false">J30*E30</f>
        <v>264407.220468425</v>
      </c>
      <c r="L30" s="99" t="n">
        <f aca="false">J30+K30</f>
        <v>5584472.01862586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5446620.91414062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5446620.91414062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0.0901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5446620.91414062</v>
      </c>
      <c r="K31" s="99" t="n">
        <f aca="false">J31*E31</f>
        <v>490740.544364069</v>
      </c>
      <c r="L31" s="99" t="n">
        <f aca="false">J31+K31</f>
        <v>5937361.45850469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221407.354233358</v>
      </c>
      <c r="O31" s="99" t="n">
        <f aca="false">IF(D31&gt;$B$4,0,IF(D31&lt;$B$3,0,$B$8*(1+$B$10)^(C31-1)))</f>
        <v>141297.382097377</v>
      </c>
      <c r="P31" s="99" t="n">
        <f aca="false">MAX(N31,O31)</f>
        <v>221407.354233358</v>
      </c>
      <c r="Q31" s="99" t="n">
        <f aca="false">MAX(0,L31-P31)</f>
        <v>5715954.10427133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5715954.10427133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0.0435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5715954.10427133</v>
      </c>
      <c r="K32" s="99" t="n">
        <f aca="false">J32*E32</f>
        <v>248644.003535803</v>
      </c>
      <c r="L32" s="99" t="n">
        <f aca="false">J32+K32</f>
        <v>5964598.10780713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241179.49807052</v>
      </c>
      <c r="O32" s="99" t="n">
        <f aca="false">IF(D32&gt;$B$4,0,IF(D32&lt;$B$3,0,$B$8*(1+$B$10)^(C32-1)))</f>
        <v>144829.816649811</v>
      </c>
      <c r="P32" s="99" t="n">
        <f aca="false">MAX(N32,O32)</f>
        <v>241179.49807052</v>
      </c>
      <c r="Q32" s="99" t="n">
        <f aca="false">MAX(0,L32-P32)</f>
        <v>5723418.60973661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5723418.60973661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0.2636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5723418.60973661</v>
      </c>
      <c r="K33" s="99" t="n">
        <f aca="false">J33*E33</f>
        <v>1508693.14552657</v>
      </c>
      <c r="L33" s="99" t="n">
        <f aca="false">J33+K33</f>
        <v>7232111.75526318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249930.943656621</v>
      </c>
      <c r="O33" s="99" t="n">
        <f aca="false">IF(D33&gt;$B$4,0,IF(D33&lt;$B$3,0,$B$8*(1+$B$10)^(C33-1)))</f>
        <v>148450.562066056</v>
      </c>
      <c r="P33" s="99" t="n">
        <f aca="false">MAX(N33,O33)</f>
        <v>249930.943656621</v>
      </c>
      <c r="Q33" s="99" t="n">
        <f aca="false">MAX(0,L33-P33)</f>
        <v>6982180.81160656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6982180.81160656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-0.108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6982180.81160656</v>
      </c>
      <c r="K34" s="99" t="n">
        <f aca="false">J34*E34</f>
        <v>-754075.527653508</v>
      </c>
      <c r="L34" s="99" t="n">
        <f aca="false">J34+K34</f>
        <v>6228105.28395305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317371.855073025</v>
      </c>
      <c r="O34" s="99" t="n">
        <f aca="false">IF(D34&gt;$B$4,0,IF(D34&lt;$B$3,0,$B$8*(1+$B$10)^(C34-1)))</f>
        <v>152161.826117708</v>
      </c>
      <c r="P34" s="99" t="n">
        <f aca="false">MAX(N34,O34)</f>
        <v>317371.855073025</v>
      </c>
      <c r="Q34" s="99" t="n">
        <f aca="false">MAX(0,L34-P34)</f>
        <v>5910733.42888002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5910733.42888002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0.2124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5910733.42888002</v>
      </c>
      <c r="K35" s="99" t="n">
        <f aca="false">J35*E35</f>
        <v>1255439.78029412</v>
      </c>
      <c r="L35" s="99" t="n">
        <f aca="false">J35+K35</f>
        <v>7166173.20917414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280129.546392418</v>
      </c>
      <c r="O35" s="99" t="n">
        <f aca="false">IF(D35&gt;$B$4,0,IF(D35&lt;$B$3,0,$B$8*(1+$B$10)^(C35-1)))</f>
        <v>155965.87177065</v>
      </c>
      <c r="P35" s="99" t="n">
        <f aca="false">MAX(N35,O35)</f>
        <v>280129.546392418</v>
      </c>
      <c r="Q35" s="99" t="n">
        <f aca="false">MAX(0,L35-P35)</f>
        <v>6886043.66278172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6886043.66278172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0.0733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6886043.66278172</v>
      </c>
      <c r="K36" s="99" t="n">
        <f aca="false">J36*E36</f>
        <v>504747.0004819</v>
      </c>
      <c r="L36" s="99" t="n">
        <f aca="false">J36+K36</f>
        <v>7390790.66326362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340893.250632759</v>
      </c>
      <c r="O36" s="99" t="n">
        <f aca="false">IF(D36&gt;$B$4,0,IF(D36&lt;$B$3,0,$B$8*(1+$B$10)^(C36-1)))</f>
        <v>159865.018564917</v>
      </c>
      <c r="P36" s="99" t="n">
        <f aca="false">MAX(N36,O36)</f>
        <v>340893.250632759</v>
      </c>
      <c r="Q36" s="99" t="n">
        <f aca="false">MAX(0,L36-P36)</f>
        <v>7049897.41263087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7049897.41263087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0.1447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7049897.41263087</v>
      </c>
      <c r="K37" s="99" t="n">
        <f aca="false">J37*E37</f>
        <v>1020120.15560769</v>
      </c>
      <c r="L37" s="99" t="n">
        <f aca="false">J37+K37</f>
        <v>8070017.56823855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363396.773846952</v>
      </c>
      <c r="O37" s="99" t="n">
        <f aca="false">IF(D37&gt;$B$4,0,IF(D37&lt;$B$3,0,$B$8*(1+$B$10)^(C37-1)))</f>
        <v>163861.644029039</v>
      </c>
      <c r="P37" s="99" t="n">
        <f aca="false">MAX(N37,O37)</f>
        <v>363396.773846952</v>
      </c>
      <c r="Q37" s="99" t="n">
        <f aca="false">MAX(0,L37-P37)</f>
        <v>7706620.7943916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7706620.7943916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0.1084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7706620.7943916</v>
      </c>
      <c r="K38" s="99" t="n">
        <f aca="false">J38*E38</f>
        <v>835397.69411205</v>
      </c>
      <c r="L38" s="99" t="n">
        <f aca="false">J38+K38</f>
        <v>8542018.48850365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416574.096994141</v>
      </c>
      <c r="O38" s="99" t="n">
        <f aca="false">IF(D38&gt;$B$4,0,IF(D38&lt;$B$3,0,$B$8*(1+$B$10)^(C38-1)))</f>
        <v>167958.185129765</v>
      </c>
      <c r="P38" s="99" t="n">
        <f aca="false">MAX(N38,O38)</f>
        <v>416574.096994141</v>
      </c>
      <c r="Q38" s="99" t="n">
        <f aca="false">MAX(0,L38-P38)</f>
        <v>8125444.39150951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8125444.39150951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0.0853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8125444.39150951</v>
      </c>
      <c r="K39" s="99" t="n">
        <f aca="false">J39*E39</f>
        <v>693100.406595761</v>
      </c>
      <c r="L39" s="99" t="n">
        <f aca="false">J39+K39</f>
        <v>8818544.79810527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459064.654887543</v>
      </c>
      <c r="O39" s="99" t="n">
        <f aca="false">IF(D39&gt;$B$4,0,IF(D39&lt;$B$3,0,$B$8*(1+$B$10)^(C39-1)))</f>
        <v>172157.13975801</v>
      </c>
      <c r="P39" s="99" t="n">
        <f aca="false">MAX(N39,O39)</f>
        <v>459064.654887543</v>
      </c>
      <c r="Q39" s="99" t="n">
        <f aca="false">MAX(0,L39-P39)</f>
        <v>8359480.14321773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8359480.14321773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0.1187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8359480.14321773</v>
      </c>
      <c r="K40" s="99" t="n">
        <f aca="false">J40*E40</f>
        <v>992270.292999944</v>
      </c>
      <c r="L40" s="99" t="n">
        <f aca="false">J40+K40</f>
        <v>9351750.43621767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497588.10376296</v>
      </c>
      <c r="O40" s="99" t="n">
        <f aca="false">IF(D40&gt;$B$4,0,IF(D40&lt;$B$3,0,$B$8*(1+$B$10)^(C40-1)))</f>
        <v>176461.06825196</v>
      </c>
      <c r="P40" s="99" t="n">
        <f aca="false">MAX(N40,O40)</f>
        <v>497588.10376296</v>
      </c>
      <c r="Q40" s="99" t="n">
        <f aca="false">MAX(0,L40-P40)</f>
        <v>8854162.33245471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8854162.33245471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0.104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8854162.33245471</v>
      </c>
      <c r="K41" s="99" t="n">
        <f aca="false">J41*E41</f>
        <v>920832.88257529</v>
      </c>
      <c r="L41" s="99" t="n">
        <f aca="false">J41+K41</f>
        <v>9774995.21503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553385.14577842</v>
      </c>
      <c r="O41" s="99" t="n">
        <f aca="false">IF(D41&gt;$B$4,0,IF(D41&lt;$B$3,0,$B$8*(1+$B$10)^(C41-1)))</f>
        <v>180872.594958259</v>
      </c>
      <c r="P41" s="99" t="n">
        <f aca="false">MAX(N41,O41)</f>
        <v>553385.14577842</v>
      </c>
      <c r="Q41" s="99" t="n">
        <f aca="false">MAX(0,L41-P41)</f>
        <v>9221610.06925158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9221610.06925158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-0.056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9221610.06925158</v>
      </c>
      <c r="K42" s="99" t="n">
        <f aca="false">J42*E42</f>
        <v>-516410.163878089</v>
      </c>
      <c r="L42" s="99" t="n">
        <f aca="false">J42+K42</f>
        <v>8705199.9053735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606684.872977078</v>
      </c>
      <c r="O42" s="99" t="n">
        <f aca="false">IF(D42&gt;$B$4,0,IF(D42&lt;$B$3,0,$B$8*(1+$B$10)^(C42-1)))</f>
        <v>185394.409832215</v>
      </c>
      <c r="P42" s="99" t="n">
        <f aca="false">MAX(N42,O42)</f>
        <v>606684.872977078</v>
      </c>
      <c r="Q42" s="99" t="n">
        <f aca="false">MAX(0,L42-P42)</f>
        <v>8098515.03239642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8098515.03239642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0.128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8098515.03239642</v>
      </c>
      <c r="K43" s="99" t="n">
        <f aca="false">J43*E43</f>
        <v>1036609.92414674</v>
      </c>
      <c r="L43" s="99" t="n">
        <f aca="false">J43+K43</f>
        <v>9135124.95654316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562396.877249751</v>
      </c>
      <c r="O43" s="99" t="n">
        <f aca="false">IF(D43&gt;$B$4,0,IF(D43&lt;$B$3,0,$B$8*(1+$B$10)^(C43-1)))</f>
        <v>190029.270078021</v>
      </c>
      <c r="P43" s="99" t="n">
        <f aca="false">MAX(N43,O43)</f>
        <v>562396.877249751</v>
      </c>
      <c r="Q43" s="99" t="n">
        <f aca="false">MAX(0,L43-P43)</f>
        <v>8572728.07929341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8572728.07929341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0.0867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8572728.07929341</v>
      </c>
      <c r="K44" s="99" t="n">
        <f aca="false">J44*E44</f>
        <v>743255.524474738</v>
      </c>
      <c r="L44" s="99" t="n">
        <f aca="false">J44+K44</f>
        <v>9315983.60376815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625746.575130906</v>
      </c>
      <c r="O44" s="99" t="n">
        <f aca="false">IF(D44&gt;$B$4,0,IF(D44&lt;$B$3,0,$B$8*(1+$B$10)^(C44-1)))</f>
        <v>194780.001829971</v>
      </c>
      <c r="P44" s="99" t="n">
        <f aca="false">MAX(N44,O44)</f>
        <v>625746.575130906</v>
      </c>
      <c r="Q44" s="99" t="n">
        <f aca="false">MAX(0,L44-P44)</f>
        <v>8690237.02863724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8690237.02863724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0.1265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8690237.02863724</v>
      </c>
      <c r="K45" s="99" t="n">
        <f aca="false">J45*E45</f>
        <v>1099314.98412261</v>
      </c>
      <c r="L45" s="99" t="n">
        <f aca="false">J45+K45</f>
        <v>9789552.01275985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673661.785165677</v>
      </c>
      <c r="O45" s="99" t="n">
        <f aca="false">IF(D45&gt;$B$4,0,IF(D45&lt;$B$3,0,$B$8*(1+$B$10)^(C45-1)))</f>
        <v>199649.50187572</v>
      </c>
      <c r="P45" s="99" t="n">
        <f aca="false">MAX(N45,O45)</f>
        <v>673661.785165677</v>
      </c>
      <c r="Q45" s="99" t="n">
        <f aca="false">MAX(0,L45-P45)</f>
        <v>9115890.22759418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9115890.22759418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0.0603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9115890.22759418</v>
      </c>
      <c r="K46" s="99" t="n">
        <f aca="false">J46*E46</f>
        <v>549688.180723929</v>
      </c>
      <c r="L46" s="99" t="n">
        <f aca="false">J46+K46</f>
        <v>9665578.4083181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747204.117015916</v>
      </c>
      <c r="O46" s="99" t="n">
        <f aca="false">IF(D46&gt;$B$4,0,IF(D46&lt;$B$3,0,$B$8*(1+$B$10)^(C46-1)))</f>
        <v>204640.739422613</v>
      </c>
      <c r="P46" s="99" t="n">
        <f aca="false">MAX(N46,O46)</f>
        <v>747204.117015916</v>
      </c>
      <c r="Q46" s="99" t="n">
        <f aca="false">MAX(0,L46-P46)</f>
        <v>8918374.29130219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8918374.29130219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0.1471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8918374.29130219</v>
      </c>
      <c r="K47" s="99" t="n">
        <f aca="false">J47*E47</f>
        <v>1311892.85825055</v>
      </c>
      <c r="L47" s="99" t="n">
        <f aca="false">J47+K47</f>
        <v>10230267.1495527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10230267.1495527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10230267.1495527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0.0539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10230267.1495527</v>
      </c>
      <c r="K48" s="99" t="n">
        <f aca="false">J48*E48</f>
        <v>551411.399360893</v>
      </c>
      <c r="L48" s="99" t="n">
        <f aca="false">J48+K48</f>
        <v>10781678.5489136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10781678.5489136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10781678.5489136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0.072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10781678.5489136</v>
      </c>
      <c r="K49" s="99" t="n">
        <f aca="false">J49*E49</f>
        <v>776280.855521781</v>
      </c>
      <c r="L49" s="99" t="n">
        <f aca="false">J49+K49</f>
        <v>11557959.4044354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11557959.4044354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11557959.4044354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0.176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11557959.4044354</v>
      </c>
      <c r="K50" s="99" t="n">
        <f aca="false">J50*E50</f>
        <v>2034200.85518063</v>
      </c>
      <c r="L50" s="99" t="n">
        <f aca="false">J50+K50</f>
        <v>13592160.259616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13592160.259616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13592160.259616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0.14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13592160.259616</v>
      </c>
      <c r="K51" s="99" t="n">
        <f aca="false">J51*E51</f>
        <v>1902902.43634625</v>
      </c>
      <c r="L51" s="99" t="n">
        <f aca="false">J51+K51</f>
        <v>15495062.6959623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15495062.6959623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15495062.6959623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-0.0747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15495062.6959623</v>
      </c>
      <c r="K52" s="99" t="n">
        <f aca="false">J52*E52</f>
        <v>-1157481.18338838</v>
      </c>
      <c r="L52" s="99" t="n">
        <f aca="false">J52+K52</f>
        <v>14337581.5125739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14337581.5125739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14337581.5125739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-0.1133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14337581.5125739</v>
      </c>
      <c r="K53" s="99" t="n">
        <f aca="false">J53*E53</f>
        <v>-1624447.98537462</v>
      </c>
      <c r="L53" s="99" t="n">
        <f aca="false">J53+K53</f>
        <v>12713133.5271993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12713133.5271993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12713133.5271993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-0.2157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12713133.5271993</v>
      </c>
      <c r="K54" s="99" t="n">
        <f aca="false">J54*E54</f>
        <v>-2742222.90181688</v>
      </c>
      <c r="L54" s="99" t="n">
        <f aca="false">J54+K54</f>
        <v>9970910.6253824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9970910.6253824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9970910.6253824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66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Monthly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401a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401a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1000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0.07</v>
      </c>
      <c r="C6" s="57"/>
      <c r="D6" s="64" t="s">
        <v>17</v>
      </c>
      <c r="E6" s="79" t="n">
        <f aca="false">VLOOKUP($A$14,Scenarios!$A:$CE,HLOOKUP(D6,Scenarios!$1:$2,2,FALSE()),FALSE())</f>
        <v>2000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217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401a with Monthly / Monthly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0.1276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255200</v>
      </c>
      <c r="L17" s="99" t="n">
        <f aca="false">J17+K17</f>
        <v>2255200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2255200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24000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12000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43500</v>
      </c>
      <c r="W17" s="99" t="n">
        <f aca="false">MIN(R17,T17)</f>
        <v>22500</v>
      </c>
      <c r="X17" s="99" t="n">
        <f aca="false">MIN(U17,R17-W17)</f>
        <v>1500</v>
      </c>
      <c r="Y17" s="99" t="n">
        <f aca="false">MIN(S17,V17)</f>
        <v>12000</v>
      </c>
      <c r="Z17" s="99" t="n">
        <f aca="false">W17+X17+Y17</f>
        <v>36000</v>
      </c>
      <c r="AA17" s="100" t="n">
        <f aca="false">Q17+Z17</f>
        <v>2291200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0.0671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2291200</v>
      </c>
      <c r="K18" s="99" t="n">
        <f aca="false">J18*E18</f>
        <v>153739.52</v>
      </c>
      <c r="L18" s="99" t="n">
        <f aca="false">J18+K18</f>
        <v>2444939.52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2444939.52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24000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12000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44587.5</v>
      </c>
      <c r="W18" s="99" t="n">
        <f aca="false">MIN(R18,T18)</f>
        <v>23062.5</v>
      </c>
      <c r="X18" s="99" t="n">
        <f aca="false">MIN(U18,R18-W18)</f>
        <v>937.500000000004</v>
      </c>
      <c r="Y18" s="99" t="n">
        <f aca="false">MIN(S18,V18)</f>
        <v>12000</v>
      </c>
      <c r="Z18" s="99" t="n">
        <f aca="false">W18+X18+Y18</f>
        <v>36000</v>
      </c>
      <c r="AA18" s="100" t="n">
        <f aca="false">Q18+W18+X18+Y18</f>
        <v>2480939.52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0.0299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2480939.52</v>
      </c>
      <c r="K19" s="99" t="n">
        <f aca="false">J19*E19</f>
        <v>74180.091648</v>
      </c>
      <c r="L19" s="99" t="n">
        <f aca="false">J19+K19</f>
        <v>2555119.611648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2555119.611648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24000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12000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45702.1875</v>
      </c>
      <c r="W19" s="99" t="n">
        <f aca="false">MIN(R19,T19)</f>
        <v>23639.0625</v>
      </c>
      <c r="X19" s="99" t="n">
        <f aca="false">MIN(U19,R19-W19)</f>
        <v>360.9375</v>
      </c>
      <c r="Y19" s="99" t="n">
        <f aca="false">MIN(S19,V19)</f>
        <v>12000</v>
      </c>
      <c r="Z19" s="99" t="n">
        <f aca="false">W19+X19+Y19</f>
        <v>36000</v>
      </c>
      <c r="AA19" s="100" t="n">
        <f aca="false">Q19+W19+X19+Y19</f>
        <v>2591119.611648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0.154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2591119.611648</v>
      </c>
      <c r="K20" s="99" t="n">
        <f aca="false">J20*E20</f>
        <v>399032.420193792</v>
      </c>
      <c r="L20" s="99" t="n">
        <f aca="false">J20+K20</f>
        <v>2990152.03184179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2990152.03184179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24000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12000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47074.78125</v>
      </c>
      <c r="W20" s="99" t="n">
        <f aca="false">MIN(R20,T20)</f>
        <v>24000</v>
      </c>
      <c r="X20" s="99" t="n">
        <f aca="false">MIN(U20,R20-W20)</f>
        <v>0</v>
      </c>
      <c r="Y20" s="99" t="n">
        <f aca="false">MIN(S20,V20)</f>
        <v>12000</v>
      </c>
      <c r="Z20" s="99" t="n">
        <f aca="false">W20+X20+Y20</f>
        <v>36000</v>
      </c>
      <c r="AA20" s="100" t="n">
        <f aca="false">Q20+W20+X20+Y20</f>
        <v>3026152.03184179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0.1122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3026152.03184179</v>
      </c>
      <c r="K21" s="99" t="n">
        <f aca="false">J21*E21</f>
        <v>339534.257972649</v>
      </c>
      <c r="L21" s="99" t="n">
        <f aca="false">J21+K21</f>
        <v>3365686.28981444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3255305.00075194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3255305.00075194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0.1144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3255305.00075194</v>
      </c>
      <c r="K22" s="99" t="n">
        <f aca="false">J22*E22</f>
        <v>372406.892086022</v>
      </c>
      <c r="L22" s="99" t="n">
        <f aca="false">J22+K22</f>
        <v>3627711.89283796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3514571.0715489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3514571.0715489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0.1412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3514571.0715489</v>
      </c>
      <c r="K23" s="99" t="n">
        <f aca="false">J23*E23</f>
        <v>496257.435302705</v>
      </c>
      <c r="L23" s="99" t="n">
        <f aca="false">J23+K23</f>
        <v>4010828.5068516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3894859.16503032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3894859.16503032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-0.0688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3894859.16503032</v>
      </c>
      <c r="K24" s="99" t="n">
        <f aca="false">J24*E24</f>
        <v>-267966.310554086</v>
      </c>
      <c r="L24" s="99" t="n">
        <f aca="false">J24+K24</f>
        <v>3626892.85447623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3508024.27910941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3508024.27910941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0.0171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3508024.27910941</v>
      </c>
      <c r="K25" s="99" t="n">
        <f aca="false">J25*E25</f>
        <v>59987.2151727709</v>
      </c>
      <c r="L25" s="99" t="n">
        <f aca="false">J25+K25</f>
        <v>3568011.49428218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3446171.20453119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3446171.20453119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0.0897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3446171.20453119</v>
      </c>
      <c r="K26" s="99" t="n">
        <f aca="false">J26*E26</f>
        <v>309121.557046448</v>
      </c>
      <c r="L26" s="99" t="n">
        <f aca="false">J26+K26</f>
        <v>3755292.76157763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3630406.46458287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3630406.46458287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0.1499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3630406.46458287</v>
      </c>
      <c r="K27" s="99" t="n">
        <f aca="false">J27*E27</f>
        <v>544197.929040972</v>
      </c>
      <c r="L27" s="99" t="n">
        <f aca="false">J27+K27</f>
        <v>4174604.39362384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4046595.93920421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4046595.93920421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0.0911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4046595.93920421</v>
      </c>
      <c r="K28" s="99" t="n">
        <f aca="false">J28*E28</f>
        <v>368644.890061503</v>
      </c>
      <c r="L28" s="99" t="n">
        <f aca="false">J28+K28</f>
        <v>4415240.82926571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4284032.16348558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4284032.16348558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0.112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4284032.16348558</v>
      </c>
      <c r="K29" s="99" t="n">
        <f aca="false">J29*E29</f>
        <v>479811.602310385</v>
      </c>
      <c r="L29" s="99" t="n">
        <f aca="false">J29+K29</f>
        <v>4763843.76579597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4629354.88337134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4629354.88337134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0.0435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4629354.88337134</v>
      </c>
      <c r="K30" s="99" t="n">
        <f aca="false">J30*E30</f>
        <v>201376.937426653</v>
      </c>
      <c r="L30" s="99" t="n">
        <f aca="false">J30+K30</f>
        <v>4830731.82079799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4692880.71631275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4692880.71631275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0.0789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4692880.71631275</v>
      </c>
      <c r="K31" s="99" t="n">
        <f aca="false">J31*E31</f>
        <v>370268.288517076</v>
      </c>
      <c r="L31" s="99" t="n">
        <f aca="false">J31+K31</f>
        <v>5063149.00482982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190767.508793201</v>
      </c>
      <c r="O31" s="99" t="n">
        <f aca="false">IF(D31&gt;$B$4,0,IF(D31&lt;$B$3,0,$B$8*(1+$B$10)^(C31-1)))</f>
        <v>141297.382097377</v>
      </c>
      <c r="P31" s="99" t="n">
        <f aca="false">MAX(N31,O31)</f>
        <v>190767.508793201</v>
      </c>
      <c r="Q31" s="99" t="n">
        <f aca="false">MAX(0,L31-P31)</f>
        <v>4872381.49603662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4872381.49603662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0.038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4872381.49603662</v>
      </c>
      <c r="K32" s="99" t="n">
        <f aca="false">J32*E32</f>
        <v>185150.496849392</v>
      </c>
      <c r="L32" s="99" t="n">
        <f aca="false">J32+K32</f>
        <v>5057531.99288601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205585.717132347</v>
      </c>
      <c r="O32" s="99" t="n">
        <f aca="false">IF(D32&gt;$B$4,0,IF(D32&lt;$B$3,0,$B$8*(1+$B$10)^(C32-1)))</f>
        <v>144829.816649811</v>
      </c>
      <c r="P32" s="99" t="n">
        <f aca="false">MAX(N32,O32)</f>
        <v>205585.717132347</v>
      </c>
      <c r="Q32" s="99" t="n">
        <f aca="false">MAX(0,L32-P32)</f>
        <v>4851946.27575367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4851946.27575367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0.2306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4851946.27575367</v>
      </c>
      <c r="K33" s="99" t="n">
        <f aca="false">J33*E33</f>
        <v>1118858.8111888</v>
      </c>
      <c r="L33" s="99" t="n">
        <f aca="false">J33+K33</f>
        <v>5970805.08694246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211875.383220684</v>
      </c>
      <c r="O33" s="99" t="n">
        <f aca="false">IF(D33&gt;$B$4,0,IF(D33&lt;$B$3,0,$B$8*(1+$B$10)^(C33-1)))</f>
        <v>148450.562066056</v>
      </c>
      <c r="P33" s="99" t="n">
        <f aca="false">MAX(N33,O33)</f>
        <v>211875.383220684</v>
      </c>
      <c r="Q33" s="99" t="n">
        <f aca="false">MAX(0,L33-P33)</f>
        <v>5758929.70372178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5758929.70372178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-0.0945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5758929.70372178</v>
      </c>
      <c r="K34" s="99" t="n">
        <f aca="false">J34*E34</f>
        <v>-544218.857001708</v>
      </c>
      <c r="L34" s="99" t="n">
        <f aca="false">J34+K34</f>
        <v>5214710.84672007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261769.531987353</v>
      </c>
      <c r="O34" s="99" t="n">
        <f aca="false">IF(D34&gt;$B$4,0,IF(D34&lt;$B$3,0,$B$8*(1+$B$10)^(C34-1)))</f>
        <v>152161.826117708</v>
      </c>
      <c r="P34" s="99" t="n">
        <f aca="false">MAX(N34,O34)</f>
        <v>261769.531987353</v>
      </c>
      <c r="Q34" s="99" t="n">
        <f aca="false">MAX(0,L34-P34)</f>
        <v>4952941.31473272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4952941.31473272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0.1859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4952941.31473272</v>
      </c>
      <c r="K35" s="99" t="n">
        <f aca="false">J35*E35</f>
        <v>920751.790408812</v>
      </c>
      <c r="L35" s="99" t="n">
        <f aca="false">J35+K35</f>
        <v>5873693.10514153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234736.555200603</v>
      </c>
      <c r="O35" s="99" t="n">
        <f aca="false">IF(D35&gt;$B$4,0,IF(D35&lt;$B$3,0,$B$8*(1+$B$10)^(C35-1)))</f>
        <v>155965.87177065</v>
      </c>
      <c r="P35" s="99" t="n">
        <f aca="false">MAX(N35,O35)</f>
        <v>234736.555200603</v>
      </c>
      <c r="Q35" s="99" t="n">
        <f aca="false">MAX(0,L35-P35)</f>
        <v>5638956.54994092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5638956.54994092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0.0642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5638956.54994092</v>
      </c>
      <c r="K36" s="99" t="n">
        <f aca="false">J36*E36</f>
        <v>362021.010506207</v>
      </c>
      <c r="L36" s="99" t="n">
        <f aca="false">J36+K36</f>
        <v>6000977.56044713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279156.264848561</v>
      </c>
      <c r="O36" s="99" t="n">
        <f aca="false">IF(D36&gt;$B$4,0,IF(D36&lt;$B$3,0,$B$8*(1+$B$10)^(C36-1)))</f>
        <v>159865.018564917</v>
      </c>
      <c r="P36" s="99" t="n">
        <f aca="false">MAX(N36,O36)</f>
        <v>279156.264848561</v>
      </c>
      <c r="Q36" s="99" t="n">
        <f aca="false">MAX(0,L36-P36)</f>
        <v>5721821.29559857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5721821.29559857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0.1266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5721821.29559857</v>
      </c>
      <c r="K37" s="99" t="n">
        <f aca="false">J37*E37</f>
        <v>724382.576022779</v>
      </c>
      <c r="L37" s="99" t="n">
        <f aca="false">J37+K37</f>
        <v>6446203.87162135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294939.242041163</v>
      </c>
      <c r="O37" s="99" t="n">
        <f aca="false">IF(D37&gt;$B$4,0,IF(D37&lt;$B$3,0,$B$8*(1+$B$10)^(C37-1)))</f>
        <v>163861.644029039</v>
      </c>
      <c r="P37" s="99" t="n">
        <f aca="false">MAX(N37,O37)</f>
        <v>294939.242041163</v>
      </c>
      <c r="Q37" s="99" t="n">
        <f aca="false">MAX(0,L37-P37)</f>
        <v>6151264.62958019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6151264.62958019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0.0948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6151264.62958019</v>
      </c>
      <c r="K38" s="99" t="n">
        <f aca="false">J38*E38</f>
        <v>583139.886884202</v>
      </c>
      <c r="L38" s="99" t="n">
        <f aca="false">J38+K38</f>
        <v>6734404.51646439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332500.790788118</v>
      </c>
      <c r="O38" s="99" t="n">
        <f aca="false">IF(D38&gt;$B$4,0,IF(D38&lt;$B$3,0,$B$8*(1+$B$10)^(C38-1)))</f>
        <v>167958.185129765</v>
      </c>
      <c r="P38" s="99" t="n">
        <f aca="false">MAX(N38,O38)</f>
        <v>332500.790788118</v>
      </c>
      <c r="Q38" s="99" t="n">
        <f aca="false">MAX(0,L38-P38)</f>
        <v>6401903.72567627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6401903.72567627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0.0747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6401903.72567627</v>
      </c>
      <c r="K39" s="99" t="n">
        <f aca="false">J39*E39</f>
        <v>478222.208308017</v>
      </c>
      <c r="L39" s="99" t="n">
        <f aca="false">J39+K39</f>
        <v>6880125.93398429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361689.476026908</v>
      </c>
      <c r="O39" s="99" t="n">
        <f aca="false">IF(D39&gt;$B$4,0,IF(D39&lt;$B$3,0,$B$8*(1+$B$10)^(C39-1)))</f>
        <v>172157.13975801</v>
      </c>
      <c r="P39" s="99" t="n">
        <f aca="false">MAX(N39,O39)</f>
        <v>361689.476026908</v>
      </c>
      <c r="Q39" s="99" t="n">
        <f aca="false">MAX(0,L39-P39)</f>
        <v>6518436.45795738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6518436.45795738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0.1038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6518436.45795738</v>
      </c>
      <c r="K40" s="99" t="n">
        <f aca="false">J40*E40</f>
        <v>676613.704335976</v>
      </c>
      <c r="L40" s="99" t="n">
        <f aca="false">J40+K40</f>
        <v>7195050.16229336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388002.170116511</v>
      </c>
      <c r="O40" s="99" t="n">
        <f aca="false">IF(D40&gt;$B$4,0,IF(D40&lt;$B$3,0,$B$8*(1+$B$10)^(C40-1)))</f>
        <v>176461.06825196</v>
      </c>
      <c r="P40" s="99" t="n">
        <f aca="false">MAX(N40,O40)</f>
        <v>388002.170116511</v>
      </c>
      <c r="Q40" s="99" t="n">
        <f aca="false">MAX(0,L40-P40)</f>
        <v>6807047.99217685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6807047.99217685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0.091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6807047.99217685</v>
      </c>
      <c r="K41" s="99" t="n">
        <f aca="false">J41*E41</f>
        <v>619441.367288093</v>
      </c>
      <c r="L41" s="99" t="n">
        <f aca="false">J41+K41</f>
        <v>7426489.35946494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425440.499511053</v>
      </c>
      <c r="O41" s="99" t="n">
        <f aca="false">IF(D41&gt;$B$4,0,IF(D41&lt;$B$3,0,$B$8*(1+$B$10)^(C41-1)))</f>
        <v>180872.594958259</v>
      </c>
      <c r="P41" s="99" t="n">
        <f aca="false">MAX(N41,O41)</f>
        <v>425440.499511053</v>
      </c>
      <c r="Q41" s="99" t="n">
        <f aca="false">MAX(0,L41-P41)</f>
        <v>7001048.85995389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7001048.85995389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-0.049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7001048.85995389</v>
      </c>
      <c r="K42" s="99" t="n">
        <f aca="false">J42*E42</f>
        <v>-343051.39413774</v>
      </c>
      <c r="L42" s="99" t="n">
        <f aca="false">J42+K42</f>
        <v>6657997.46581615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460595.319733808</v>
      </c>
      <c r="O42" s="99" t="n">
        <f aca="false">IF(D42&gt;$B$4,0,IF(D42&lt;$B$3,0,$B$8*(1+$B$10)^(C42-1)))</f>
        <v>185394.409832215</v>
      </c>
      <c r="P42" s="99" t="n">
        <f aca="false">MAX(N42,O42)</f>
        <v>460595.319733808</v>
      </c>
      <c r="Q42" s="99" t="n">
        <f aca="false">MAX(0,L42-P42)</f>
        <v>6197402.14608234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6197402.14608234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0.112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6197402.14608234</v>
      </c>
      <c r="K43" s="99" t="n">
        <f aca="false">J43*E43</f>
        <v>694109.040361222</v>
      </c>
      <c r="L43" s="99" t="n">
        <f aca="false">J43+K43</f>
        <v>6891511.18644356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430375.149033496</v>
      </c>
      <c r="O43" s="99" t="n">
        <f aca="false">IF(D43&gt;$B$4,0,IF(D43&lt;$B$3,0,$B$8*(1+$B$10)^(C43-1)))</f>
        <v>190029.270078021</v>
      </c>
      <c r="P43" s="99" t="n">
        <f aca="false">MAX(N43,O43)</f>
        <v>430375.149033496</v>
      </c>
      <c r="Q43" s="99" t="n">
        <f aca="false">MAX(0,L43-P43)</f>
        <v>6461136.03741006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6461136.03741006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0.0758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6461136.03741006</v>
      </c>
      <c r="K44" s="99" t="n">
        <f aca="false">J44*E44</f>
        <v>489754.111635683</v>
      </c>
      <c r="L44" s="99" t="n">
        <f aca="false">J44+K44</f>
        <v>6950890.14904575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471615.769154019</v>
      </c>
      <c r="O44" s="99" t="n">
        <f aca="false">IF(D44&gt;$B$4,0,IF(D44&lt;$B$3,0,$B$8*(1+$B$10)^(C44-1)))</f>
        <v>194780.001829971</v>
      </c>
      <c r="P44" s="99" t="n">
        <f aca="false">MAX(N44,O44)</f>
        <v>471615.769154019</v>
      </c>
      <c r="Q44" s="99" t="n">
        <f aca="false">MAX(0,L44-P44)</f>
        <v>6479274.37989173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6479274.37989173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0.1107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6479274.37989173</v>
      </c>
      <c r="K45" s="99" t="n">
        <f aca="false">J45*E45</f>
        <v>717255.673854014</v>
      </c>
      <c r="L45" s="99" t="n">
        <f aca="false">J45+K45</f>
        <v>7196530.05374574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502269.331774552</v>
      </c>
      <c r="O45" s="99" t="n">
        <f aca="false">IF(D45&gt;$B$4,0,IF(D45&lt;$B$3,0,$B$8*(1+$B$10)^(C45-1)))</f>
        <v>199649.50187572</v>
      </c>
      <c r="P45" s="99" t="n">
        <f aca="false">MAX(N45,O45)</f>
        <v>502269.331774552</v>
      </c>
      <c r="Q45" s="99" t="n">
        <f aca="false">MAX(0,L45-P45)</f>
        <v>6694260.72197119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6694260.72197119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0.0527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6694260.72197119</v>
      </c>
      <c r="K46" s="99" t="n">
        <f aca="false">J46*E46</f>
        <v>352787.540047882</v>
      </c>
      <c r="L46" s="99" t="n">
        <f aca="false">J46+K46</f>
        <v>7047048.26201907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548709.89524354</v>
      </c>
      <c r="O46" s="99" t="n">
        <f aca="false">IF(D46&gt;$B$4,0,IF(D46&lt;$B$3,0,$B$8*(1+$B$10)^(C46-1)))</f>
        <v>204640.739422613</v>
      </c>
      <c r="P46" s="99" t="n">
        <f aca="false">MAX(N46,O46)</f>
        <v>548709.89524354</v>
      </c>
      <c r="Q46" s="99" t="n">
        <f aca="false">MAX(0,L46-P46)</f>
        <v>6498338.36677553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6498338.36677553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0.1287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6498338.36677553</v>
      </c>
      <c r="K47" s="99" t="n">
        <f aca="false">J47*E47</f>
        <v>836336.147804011</v>
      </c>
      <c r="L47" s="99" t="n">
        <f aca="false">J47+K47</f>
        <v>7334674.51457954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7334674.51457954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7334674.51457954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0.0471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7334674.51457954</v>
      </c>
      <c r="K48" s="99" t="n">
        <f aca="false">J48*E48</f>
        <v>345463.169636696</v>
      </c>
      <c r="L48" s="99" t="n">
        <f aca="false">J48+K48</f>
        <v>7680137.68421624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7680137.68421624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7680137.68421624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0.063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7680137.68421624</v>
      </c>
      <c r="K49" s="99" t="n">
        <f aca="false">J49*E49</f>
        <v>483848.674105623</v>
      </c>
      <c r="L49" s="99" t="n">
        <f aca="false">J49+K49</f>
        <v>8163986.35832186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8163986.35832186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8163986.35832186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0.154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8163986.35832186</v>
      </c>
      <c r="K50" s="99" t="n">
        <f aca="false">J50*E50</f>
        <v>1257253.89918157</v>
      </c>
      <c r="L50" s="99" t="n">
        <f aca="false">J50+K50</f>
        <v>9421240.25750343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9421240.25750343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9421240.25750343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0.1225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9421240.25750343</v>
      </c>
      <c r="K51" s="99" t="n">
        <f aca="false">J51*E51</f>
        <v>1154101.93154417</v>
      </c>
      <c r="L51" s="99" t="n">
        <f aca="false">J51+K51</f>
        <v>10575342.1890476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10575342.1890476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10575342.1890476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-0.0653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10575342.1890476</v>
      </c>
      <c r="K52" s="99" t="n">
        <f aca="false">J52*E52</f>
        <v>-690569.844944808</v>
      </c>
      <c r="L52" s="99" t="n">
        <f aca="false">J52+K52</f>
        <v>9884772.34410279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9884772.34410279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9884772.34410279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-0.0992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9884772.34410279</v>
      </c>
      <c r="K53" s="99" t="n">
        <f aca="false">J53*E53</f>
        <v>-980569.416534997</v>
      </c>
      <c r="L53" s="99" t="n">
        <f aca="false">J53+K53</f>
        <v>8904202.92756779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8904202.92756779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8904202.92756779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-0.1888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8904202.92756779</v>
      </c>
      <c r="K54" s="99" t="n">
        <f aca="false">J54*E54</f>
        <v>-1681113.5127248</v>
      </c>
      <c r="L54" s="99" t="n">
        <f aca="false">J54+K54</f>
        <v>7223089.41484299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7223089.41484299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7223089.41484299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67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Annual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401a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401a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30000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218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401a with Annual / Annual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30000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43500</v>
      </c>
      <c r="W17" s="99" t="n">
        <f aca="false">MIN(R17,T17)</f>
        <v>22500</v>
      </c>
      <c r="X17" s="99" t="n">
        <f aca="false">MIN(U17,R17-W17)</f>
        <v>2500</v>
      </c>
      <c r="Y17" s="99" t="n">
        <f aca="false">MIN(S17,V17)</f>
        <v>30000</v>
      </c>
      <c r="Z17" s="99" t="n">
        <f aca="false">W17+X17+Y17</f>
        <v>55000</v>
      </c>
      <c r="AA17" s="100" t="n">
        <f aca="false">Q17+Z17</f>
        <v>2237400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2237400</v>
      </c>
      <c r="K18" s="99" t="n">
        <f aca="false">J18*E18</f>
        <v>107171.46</v>
      </c>
      <c r="L18" s="99" t="n">
        <f aca="false">J18+K18</f>
        <v>2344571.46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2344571.46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30000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44587.5</v>
      </c>
      <c r="W18" s="99" t="n">
        <f aca="false">MIN(R18,T18)</f>
        <v>23062.5</v>
      </c>
      <c r="X18" s="99" t="n">
        <f aca="false">MIN(U18,R18-W18)</f>
        <v>1937.5</v>
      </c>
      <c r="Y18" s="99" t="n">
        <f aca="false">MIN(S18,V18)</f>
        <v>30000</v>
      </c>
      <c r="Z18" s="99" t="n">
        <f aca="false">W18+X18+Y18</f>
        <v>55000</v>
      </c>
      <c r="AA18" s="100" t="n">
        <f aca="false">Q18+W18+X18+Y18</f>
        <v>2399571.46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2399571.46</v>
      </c>
      <c r="K19" s="99" t="n">
        <f aca="false">J19*E19</f>
        <v>51110.872098</v>
      </c>
      <c r="L19" s="99" t="n">
        <f aca="false">J19+K19</f>
        <v>2450682.332098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2450682.332098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30000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45702.1875</v>
      </c>
      <c r="W19" s="99" t="n">
        <f aca="false">MIN(R19,T19)</f>
        <v>23639.0625</v>
      </c>
      <c r="X19" s="99" t="n">
        <f aca="false">MIN(U19,R19-W19)</f>
        <v>1360.9375</v>
      </c>
      <c r="Y19" s="99" t="n">
        <f aca="false">MIN(S19,V19)</f>
        <v>30000</v>
      </c>
      <c r="Z19" s="99" t="n">
        <f aca="false">W19+X19+Y19</f>
        <v>55000</v>
      </c>
      <c r="AA19" s="100" t="n">
        <f aca="false">Q19+W19+X19+Y19</f>
        <v>2505682.332098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2505682.332098</v>
      </c>
      <c r="K20" s="99" t="n">
        <f aca="false">J20*E20</f>
        <v>275625.05653078</v>
      </c>
      <c r="L20" s="99" t="n">
        <f aca="false">J20+K20</f>
        <v>2781307.38862878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2781307.38862878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30000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46844.7421875</v>
      </c>
      <c r="W20" s="99" t="n">
        <f aca="false">MIN(R20,T20)</f>
        <v>24230.0390625</v>
      </c>
      <c r="X20" s="99" t="n">
        <f aca="false">MIN(U20,R20-W20)</f>
        <v>769.960937500007</v>
      </c>
      <c r="Y20" s="99" t="n">
        <f aca="false">MIN(S20,V20)</f>
        <v>30000</v>
      </c>
      <c r="Z20" s="99" t="n">
        <f aca="false">W20+X20+Y20</f>
        <v>55000</v>
      </c>
      <c r="AA20" s="100" t="n">
        <f aca="false">Q20+W20+X20+Y20</f>
        <v>2836307.38862878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2836307.38862878</v>
      </c>
      <c r="K21" s="99" t="n">
        <f aca="false">J21*E21</f>
        <v>227471.852568028</v>
      </c>
      <c r="L21" s="99" t="n">
        <f aca="false">J21+K21</f>
        <v>3063779.24119681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2953397.95213431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2953397.95213431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2953397.95213431</v>
      </c>
      <c r="K22" s="99" t="n">
        <f aca="false">J22*E22</f>
        <v>241587.952484586</v>
      </c>
      <c r="L22" s="99" t="n">
        <f aca="false">J22+K22</f>
        <v>3194985.90461889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3081845.08332983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3081845.08332983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3081845.08332983</v>
      </c>
      <c r="K23" s="99" t="n">
        <f aca="false">J23*E23</f>
        <v>310649.984399647</v>
      </c>
      <c r="L23" s="99" t="n">
        <f aca="false">J23+K23</f>
        <v>3392495.06772948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3276525.72590819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3276525.72590819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3276525.72590819</v>
      </c>
      <c r="K24" s="99" t="n">
        <f aca="false">J24*E24</f>
        <v>-161205.065714683</v>
      </c>
      <c r="L24" s="99" t="n">
        <f aca="false">J24+K24</f>
        <v>3115320.66019351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2996452.08482669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2996452.08482669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2996452.08482669</v>
      </c>
      <c r="K25" s="99" t="n">
        <f aca="false">J25*E25</f>
        <v>36856.3606433682</v>
      </c>
      <c r="L25" s="99" t="n">
        <f aca="false">J25+K25</f>
        <v>3033308.44547005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2911468.15571906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2911468.15571906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2911468.15571906</v>
      </c>
      <c r="K26" s="99" t="n">
        <f aca="false">J26*E26</f>
        <v>186625.108781592</v>
      </c>
      <c r="L26" s="99" t="n">
        <f aca="false">J26+K26</f>
        <v>3098093.26450065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2973206.96750589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2973206.96750589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2973206.96750589</v>
      </c>
      <c r="K27" s="99" t="n">
        <f aca="false">J27*E27</f>
        <v>318430.466219881</v>
      </c>
      <c r="L27" s="99" t="n">
        <f aca="false">J27+K27</f>
        <v>3291637.43372577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3163628.97930613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3163628.97930613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3163628.97930613</v>
      </c>
      <c r="K28" s="99" t="n">
        <f aca="false">J28*E28</f>
        <v>205952.246552829</v>
      </c>
      <c r="L28" s="99" t="n">
        <f aca="false">J28+K28</f>
        <v>3369581.22585896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3238372.56007883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3238372.56007883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3238372.56007883</v>
      </c>
      <c r="K29" s="99" t="n">
        <f aca="false">J29*E29</f>
        <v>259069.804806307</v>
      </c>
      <c r="L29" s="99" t="n">
        <f aca="false">J29+K29</f>
        <v>3497442.36488514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3362953.48246051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3362953.48246051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3362953.48246051</v>
      </c>
      <c r="K30" s="99" t="n">
        <f aca="false">J30*E30</f>
        <v>104587.853304522</v>
      </c>
      <c r="L30" s="99" t="n">
        <f aca="false">J30+K30</f>
        <v>3467541.33576503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3329690.23127979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3329690.23127979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3329690.23127979</v>
      </c>
      <c r="K31" s="99" t="n">
        <f aca="false">J31*E31</f>
        <v>187461.560021052</v>
      </c>
      <c r="L31" s="99" t="n">
        <f aca="false">J31+K31</f>
        <v>3517151.79130084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135353.261434138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3375854.40920346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3375854.40920346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3375854.40920346</v>
      </c>
      <c r="K32" s="99" t="n">
        <f aca="false">J32*E32</f>
        <v>91823.2399303342</v>
      </c>
      <c r="L32" s="99" t="n">
        <f aca="false">J32+K32</f>
        <v>3467677.6491338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142441.114312382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3322847.83248399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3322847.83248399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3322847.83248399</v>
      </c>
      <c r="K33" s="99" t="n">
        <f aca="false">J33*E33</f>
        <v>547605.322793361</v>
      </c>
      <c r="L33" s="99" t="n">
        <f aca="false">J33+K33</f>
        <v>3870453.15527735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145102.525435982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3722002.59321129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3722002.59321129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3722002.59321129</v>
      </c>
      <c r="K34" s="99" t="n">
        <f aca="false">J34*E34</f>
        <v>-251235.175041762</v>
      </c>
      <c r="L34" s="99" t="n">
        <f aca="false">J34+K34</f>
        <v>3470767.41816953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169181.936055059</v>
      </c>
      <c r="O34" s="99" t="n">
        <f aca="false">IF(D34&gt;$B$4,0,IF(D34&lt;$B$3,0,$B$8*(1+$B$10)^(C34-1)))</f>
        <v>152161.826117708</v>
      </c>
      <c r="P34" s="99" t="n">
        <f aca="false">MAX(N34,O34)</f>
        <v>169181.936055059</v>
      </c>
      <c r="Q34" s="99" t="n">
        <f aca="false">MAX(0,L34-P34)</f>
        <v>3301585.48211447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3301585.48211447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3301585.48211447</v>
      </c>
      <c r="K35" s="99" t="n">
        <f aca="false">J35*E35</f>
        <v>438450.552024802</v>
      </c>
      <c r="L35" s="99" t="n">
        <f aca="false">J35+K35</f>
        <v>3740036.03413927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156473.245597842</v>
      </c>
      <c r="O35" s="99" t="n">
        <f aca="false">IF(D35&gt;$B$4,0,IF(D35&lt;$B$3,0,$B$8*(1+$B$10)^(C35-1)))</f>
        <v>155965.87177065</v>
      </c>
      <c r="P35" s="99" t="n">
        <f aca="false">MAX(N35,O35)</f>
        <v>156473.245597842</v>
      </c>
      <c r="Q35" s="99" t="n">
        <f aca="false">MAX(0,L35-P35)</f>
        <v>3583562.78854143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3583562.78854143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3583562.78854143</v>
      </c>
      <c r="K36" s="99" t="n">
        <f aca="false">J36*E36</f>
        <v>164127.175715198</v>
      </c>
      <c r="L36" s="99" t="n">
        <f aca="false">J36+K36</f>
        <v>3747689.96425663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177404.098442645</v>
      </c>
      <c r="O36" s="99" t="n">
        <f aca="false">IF(D36&gt;$B$4,0,IF(D36&lt;$B$3,0,$B$8*(1+$B$10)^(C36-1)))</f>
        <v>159865.018564917</v>
      </c>
      <c r="P36" s="99" t="n">
        <f aca="false">MAX(N36,O36)</f>
        <v>177404.098442645</v>
      </c>
      <c r="Q36" s="99" t="n">
        <f aca="false">MAX(0,L36-P36)</f>
        <v>3570285.86581398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3570285.86581398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3570285.86581398</v>
      </c>
      <c r="K37" s="99" t="n">
        <f aca="false">J37*E37</f>
        <v>322753.842269584</v>
      </c>
      <c r="L37" s="99" t="n">
        <f aca="false">J37+K37</f>
        <v>3893039.70808357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184035.353907937</v>
      </c>
      <c r="O37" s="99" t="n">
        <f aca="false">IF(D37&gt;$B$4,0,IF(D37&lt;$B$3,0,$B$8*(1+$B$10)^(C37-1)))</f>
        <v>163861.644029039</v>
      </c>
      <c r="P37" s="99" t="n">
        <f aca="false">MAX(N37,O37)</f>
        <v>184035.353907937</v>
      </c>
      <c r="Q37" s="99" t="n">
        <f aca="false">MAX(0,L37-P37)</f>
        <v>3709004.35417563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3709004.35417563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3709004.35417563</v>
      </c>
      <c r="K38" s="99" t="n">
        <f aca="false">J38*E38</f>
        <v>251470.495213108</v>
      </c>
      <c r="L38" s="99" t="n">
        <f aca="false">J38+K38</f>
        <v>3960474.84938874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200486.721847331</v>
      </c>
      <c r="O38" s="99" t="n">
        <f aca="false">IF(D38&gt;$B$4,0,IF(D38&lt;$B$3,0,$B$8*(1+$B$10)^(C38-1)))</f>
        <v>167958.185129765</v>
      </c>
      <c r="P38" s="99" t="n">
        <f aca="false">MAX(N38,O38)</f>
        <v>200486.721847331</v>
      </c>
      <c r="Q38" s="99" t="n">
        <f aca="false">MAX(0,L38-P38)</f>
        <v>3759988.12754141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3759988.12754141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3759988.12754141</v>
      </c>
      <c r="K39" s="99" t="n">
        <f aca="false">J39*E39</f>
        <v>200407.367197957</v>
      </c>
      <c r="L39" s="99" t="n">
        <f aca="false">J39+K39</f>
        <v>3960395.49473936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212428.707770701</v>
      </c>
      <c r="O39" s="99" t="n">
        <f aca="false">IF(D39&gt;$B$4,0,IF(D39&lt;$B$3,0,$B$8*(1+$B$10)^(C39-1)))</f>
        <v>172157.13975801</v>
      </c>
      <c r="P39" s="99" t="n">
        <f aca="false">MAX(N39,O39)</f>
        <v>212428.707770701</v>
      </c>
      <c r="Q39" s="99" t="n">
        <f aca="false">MAX(0,L39-P39)</f>
        <v>3747966.78696866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3747966.78696866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3747966.78696866</v>
      </c>
      <c r="K40" s="99" t="n">
        <f aca="false">J40*E40</f>
        <v>278099.135593075</v>
      </c>
      <c r="L40" s="99" t="n">
        <f aca="false">J40+K40</f>
        <v>4026065.92256174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223093.261129087</v>
      </c>
      <c r="O40" s="99" t="n">
        <f aca="false">IF(D40&gt;$B$4,0,IF(D40&lt;$B$3,0,$B$8*(1+$B$10)^(C40-1)))</f>
        <v>176461.06825196</v>
      </c>
      <c r="P40" s="99" t="n">
        <f aca="false">MAX(N40,O40)</f>
        <v>223093.261129087</v>
      </c>
      <c r="Q40" s="99" t="n">
        <f aca="false">MAX(0,L40-P40)</f>
        <v>3802972.66143265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3802972.66143265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3802972.66143265</v>
      </c>
      <c r="K41" s="99" t="n">
        <f aca="false">J41*E41</f>
        <v>247193.222993122</v>
      </c>
      <c r="L41" s="99" t="n">
        <f aca="false">J41+K41</f>
        <v>4050165.88442577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237685.791339541</v>
      </c>
      <c r="O41" s="99" t="n">
        <f aca="false">IF(D41&gt;$B$4,0,IF(D41&lt;$B$3,0,$B$8*(1+$B$10)^(C41-1)))</f>
        <v>180872.594958259</v>
      </c>
      <c r="P41" s="99" t="n">
        <f aca="false">MAX(N41,O41)</f>
        <v>237685.791339541</v>
      </c>
      <c r="Q41" s="99" t="n">
        <f aca="false">MAX(0,L41-P41)</f>
        <v>3812480.09308623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3812480.09308623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3812480.09308623</v>
      </c>
      <c r="K42" s="99" t="n">
        <f aca="false">J42*E42</f>
        <v>-133436.803258018</v>
      </c>
      <c r="L42" s="99" t="n">
        <f aca="false">J42+K42</f>
        <v>3679043.28982821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250821.058755673</v>
      </c>
      <c r="O42" s="99" t="n">
        <f aca="false">IF(D42&gt;$B$4,0,IF(D42&lt;$B$3,0,$B$8*(1+$B$10)^(C42-1)))</f>
        <v>185394.409832215</v>
      </c>
      <c r="P42" s="99" t="n">
        <f aca="false">MAX(N42,O42)</f>
        <v>250821.058755673</v>
      </c>
      <c r="Q42" s="99" t="n">
        <f aca="false">MAX(0,L42-P42)</f>
        <v>3428222.23107254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3428222.23107254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3428222.23107254</v>
      </c>
      <c r="K43" s="99" t="n">
        <f aca="false">J43*E43</f>
        <v>274257.778485803</v>
      </c>
      <c r="L43" s="99" t="n">
        <f aca="false">J43+K43</f>
        <v>3702480.00955834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238070.988268926</v>
      </c>
      <c r="O43" s="99" t="n">
        <f aca="false">IF(D43&gt;$B$4,0,IF(D43&lt;$B$3,0,$B$8*(1+$B$10)^(C43-1)))</f>
        <v>190029.270078021</v>
      </c>
      <c r="P43" s="99" t="n">
        <f aca="false">MAX(N43,O43)</f>
        <v>238070.988268926</v>
      </c>
      <c r="Q43" s="99" t="n">
        <f aca="false">MAX(0,L43-P43)</f>
        <v>3464409.02128942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3464409.02128942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3464409.02128942</v>
      </c>
      <c r="K44" s="99" t="n">
        <f aca="false">J44*E44</f>
        <v>187770.968953886</v>
      </c>
      <c r="L44" s="99" t="n">
        <f aca="false">J44+K44</f>
        <v>3652179.9902433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252876.570897038</v>
      </c>
      <c r="O44" s="99" t="n">
        <f aca="false">IF(D44&gt;$B$4,0,IF(D44&lt;$B$3,0,$B$8*(1+$B$10)^(C44-1)))</f>
        <v>194780.001829971</v>
      </c>
      <c r="P44" s="99" t="n">
        <f aca="false">MAX(N44,O44)</f>
        <v>252876.570897038</v>
      </c>
      <c r="Q44" s="99" t="n">
        <f aca="false">MAX(0,L44-P44)</f>
        <v>3399303.41934627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3399303.41934627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3399303.41934627</v>
      </c>
      <c r="K45" s="99" t="n">
        <f aca="false">J45*E45</f>
        <v>268884.90047029</v>
      </c>
      <c r="L45" s="99" t="n">
        <f aca="false">J45+K45</f>
        <v>3668188.31981656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263511.892972579</v>
      </c>
      <c r="O45" s="99" t="n">
        <f aca="false">IF(D45&gt;$B$4,0,IF(D45&lt;$B$3,0,$B$8*(1+$B$10)^(C45-1)))</f>
        <v>199649.50187572</v>
      </c>
      <c r="P45" s="99" t="n">
        <f aca="false">MAX(N45,O45)</f>
        <v>263511.892972579</v>
      </c>
      <c r="Q45" s="99" t="n">
        <f aca="false">MAX(0,L45-P45)</f>
        <v>3404676.42684398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3404676.42684398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3404676.42684398</v>
      </c>
      <c r="K46" s="99" t="n">
        <f aca="false">J46*E46</f>
        <v>128356.301292018</v>
      </c>
      <c r="L46" s="99" t="n">
        <f aca="false">J46+K46</f>
        <v>3533032.728136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279071.8382659</v>
      </c>
      <c r="O46" s="99" t="n">
        <f aca="false">IF(D46&gt;$B$4,0,IF(D46&lt;$B$3,0,$B$8*(1+$B$10)^(C46-1)))</f>
        <v>204640.739422613</v>
      </c>
      <c r="P46" s="99" t="n">
        <f aca="false">MAX(N46,O46)</f>
        <v>279071.8382659</v>
      </c>
      <c r="Q46" s="99" t="n">
        <f aca="false">MAX(0,L46-P46)</f>
        <v>3253960.8898701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3253960.8898701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3253960.8898701</v>
      </c>
      <c r="K47" s="99" t="n">
        <f aca="false">J47*E47</f>
        <v>299039.005779062</v>
      </c>
      <c r="L47" s="99" t="n">
        <f aca="false">J47+K47</f>
        <v>3552999.89564916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3552999.89564916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3552999.89564916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3552999.89564916</v>
      </c>
      <c r="K48" s="99" t="n">
        <f aca="false">J48*E48</f>
        <v>119736.096483377</v>
      </c>
      <c r="L48" s="99" t="n">
        <f aca="false">J48+K48</f>
        <v>3672735.99213253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3672735.99213253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3672735.99213253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3672735.99213253</v>
      </c>
      <c r="K49" s="99" t="n">
        <f aca="false">J49*E49</f>
        <v>165273.119645964</v>
      </c>
      <c r="L49" s="99" t="n">
        <f aca="false">J49+K49</f>
        <v>3838009.1117785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3838009.1117785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3838009.1117785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3838009.1117785</v>
      </c>
      <c r="K50" s="99" t="n">
        <f aca="false">J50*E50</f>
        <v>422181.002295635</v>
      </c>
      <c r="L50" s="99" t="n">
        <f aca="false">J50+K50</f>
        <v>4260190.11407413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4260190.11407413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4260190.11407413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4260190.11407413</v>
      </c>
      <c r="K51" s="99" t="n">
        <f aca="false">J51*E51</f>
        <v>372766.634981487</v>
      </c>
      <c r="L51" s="99" t="n">
        <f aca="false">J51+K51</f>
        <v>4632956.74905562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4632956.74905562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4632956.74905562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4632956.74905562</v>
      </c>
      <c r="K52" s="99" t="n">
        <f aca="false">J52*E52</f>
        <v>-216359.080180897</v>
      </c>
      <c r="L52" s="99" t="n">
        <f aca="false">J52+K52</f>
        <v>4416597.66887472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4416597.66887472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4416597.66887472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4416597.66887472</v>
      </c>
      <c r="K53" s="99" t="n">
        <f aca="false">J53*E53</f>
        <v>-312695.11495633</v>
      </c>
      <c r="L53" s="99" t="n">
        <f aca="false">J53+K53</f>
        <v>4103902.55391839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4103902.55391839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4103902.55391839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4103902.55391839</v>
      </c>
      <c r="K54" s="99" t="n">
        <f aca="false">J54*E54</f>
        <v>-553206.064268199</v>
      </c>
      <c r="L54" s="99" t="n">
        <f aca="false">J54+K54</f>
        <v>3550696.48965019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3550696.48965019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3550696.48965019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68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% of Salary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401a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401a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0.05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219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401a with % of Salary / % of Salary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0.0912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182400</v>
      </c>
      <c r="L17" s="99" t="n">
        <f aca="false">J17+K17</f>
        <v>2182400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2182400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5000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61000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5000</v>
      </c>
      <c r="Z17" s="99" t="n">
        <f aca="false">W17+X17+Y17</f>
        <v>10000</v>
      </c>
      <c r="AA17" s="100" t="n">
        <f aca="false">Q17+Z17</f>
        <v>2192400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0.0479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2192400</v>
      </c>
      <c r="K18" s="99" t="n">
        <f aca="false">J18*E18</f>
        <v>105015.96</v>
      </c>
      <c r="L18" s="99" t="n">
        <f aca="false">J18+K18</f>
        <v>2297415.96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2297415.96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5100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62550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5100</v>
      </c>
      <c r="Z18" s="99" t="n">
        <f aca="false">W18+X18+Y18</f>
        <v>10200</v>
      </c>
      <c r="AA18" s="100" t="n">
        <f aca="false">Q18+W18+X18+Y18</f>
        <v>2307615.96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0.0213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2307615.96</v>
      </c>
      <c r="K19" s="99" t="n">
        <f aca="false">J19*E19</f>
        <v>49152.219948</v>
      </c>
      <c r="L19" s="99" t="n">
        <f aca="false">J19+K19</f>
        <v>2356768.179948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2356768.179948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5202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64139.25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5202</v>
      </c>
      <c r="Z19" s="99" t="n">
        <f aca="false">W19+X19+Y19</f>
        <v>10404</v>
      </c>
      <c r="AA19" s="100" t="n">
        <f aca="false">Q19+W19+X19+Y19</f>
        <v>2367172.179948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0.11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2367172.179948</v>
      </c>
      <c r="K20" s="99" t="n">
        <f aca="false">J20*E20</f>
        <v>260388.93979428</v>
      </c>
      <c r="L20" s="99" t="n">
        <f aca="false">J20+K20</f>
        <v>2627561.11974228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2627561.11974228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5306.04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65768.74125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5306.04</v>
      </c>
      <c r="Z20" s="99" t="n">
        <f aca="false">W20+X20+Y20</f>
        <v>10612.08</v>
      </c>
      <c r="AA20" s="100" t="n">
        <f aca="false">Q20+W20+X20+Y20</f>
        <v>2638173.19974228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0.0802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2638173.19974228</v>
      </c>
      <c r="K21" s="99" t="n">
        <f aca="false">J21*E21</f>
        <v>211581.490619331</v>
      </c>
      <c r="L21" s="99" t="n">
        <f aca="false">J21+K21</f>
        <v>2849754.69036161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2739373.40129911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2739373.40129911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0.0818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2739373.40129911</v>
      </c>
      <c r="K22" s="99" t="n">
        <f aca="false">J22*E22</f>
        <v>224080.744226267</v>
      </c>
      <c r="L22" s="99" t="n">
        <f aca="false">J22+K22</f>
        <v>2963454.14552538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2850313.32423631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2850313.32423631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0.1008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2850313.32423631</v>
      </c>
      <c r="K23" s="99" t="n">
        <f aca="false">J23*E23</f>
        <v>287311.583083021</v>
      </c>
      <c r="L23" s="99" t="n">
        <f aca="false">J23+K23</f>
        <v>3137624.90731934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3021655.56549805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3021655.56549805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-0.0492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3021655.56549805</v>
      </c>
      <c r="K24" s="99" t="n">
        <f aca="false">J24*E24</f>
        <v>-148665.453822504</v>
      </c>
      <c r="L24" s="99" t="n">
        <f aca="false">J24+K24</f>
        <v>2872990.11167554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2754121.53630872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2754121.53630872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0.0123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2754121.53630872</v>
      </c>
      <c r="K25" s="99" t="n">
        <f aca="false">J25*E25</f>
        <v>33875.6948965973</v>
      </c>
      <c r="L25" s="99" t="n">
        <f aca="false">J25+K25</f>
        <v>2787997.23120532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2666156.94145433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2666156.94145433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0.0641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2666156.94145433</v>
      </c>
      <c r="K26" s="99" t="n">
        <f aca="false">J26*E26</f>
        <v>170900.659947222</v>
      </c>
      <c r="L26" s="99" t="n">
        <f aca="false">J26+K26</f>
        <v>2837057.60140155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2712171.30440678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2712171.30440678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0.1071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2712171.30440678</v>
      </c>
      <c r="K27" s="99" t="n">
        <f aca="false">J27*E27</f>
        <v>290473.546701966</v>
      </c>
      <c r="L27" s="99" t="n">
        <f aca="false">J27+K27</f>
        <v>3002644.85110875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2874636.39668911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2874636.39668911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0.0651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2874636.39668911</v>
      </c>
      <c r="K28" s="99" t="n">
        <f aca="false">J28*E28</f>
        <v>187138.829424461</v>
      </c>
      <c r="L28" s="99" t="n">
        <f aca="false">J28+K28</f>
        <v>3061775.22611357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2930566.56033345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2930566.56033345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2930566.56033345</v>
      </c>
      <c r="K29" s="99" t="n">
        <f aca="false">J29*E29</f>
        <v>234445.324826676</v>
      </c>
      <c r="L29" s="99" t="n">
        <f aca="false">J29+K29</f>
        <v>3165011.88516012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3030523.00273549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3030523.00273549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0.0311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3030523.00273549</v>
      </c>
      <c r="K30" s="99" t="n">
        <f aca="false">J30*E30</f>
        <v>94249.2653850739</v>
      </c>
      <c r="L30" s="99" t="n">
        <f aca="false">J30+K30</f>
        <v>3124772.26812057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2986921.16363532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2986921.16363532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0.0563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2986921.16363532</v>
      </c>
      <c r="K31" s="99" t="n">
        <f aca="false">J31*E31</f>
        <v>168163.661512669</v>
      </c>
      <c r="L31" s="99" t="n">
        <f aca="false">J31+K31</f>
        <v>3155084.82514799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121419.559497371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3013787.44305062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3013787.44305062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0.0272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3013787.44305062</v>
      </c>
      <c r="K32" s="99" t="n">
        <f aca="false">J32*E32</f>
        <v>81975.0184509767</v>
      </c>
      <c r="L32" s="99" t="n">
        <f aca="false">J32+K32</f>
        <v>3095762.46150159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127164.027132937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2950932.64485178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2950932.64485178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0.1648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2950932.64485178</v>
      </c>
      <c r="K33" s="99" t="n">
        <f aca="false">J33*E33</f>
        <v>486313.699871574</v>
      </c>
      <c r="L33" s="99" t="n">
        <f aca="false">J33+K33</f>
        <v>3437246.34472336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128861.687548113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3288795.7826573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3288795.7826573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-0.0675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3288795.7826573</v>
      </c>
      <c r="K34" s="99" t="n">
        <f aca="false">J34*E34</f>
        <v>-221993.715329368</v>
      </c>
      <c r="L34" s="99" t="n">
        <f aca="false">J34+K34</f>
        <v>3066802.06732793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149490.717393514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2914640.24121022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2914640.24121022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0.1328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2914640.24121022</v>
      </c>
      <c r="K35" s="99" t="n">
        <f aca="false">J35*E35</f>
        <v>387064.224032718</v>
      </c>
      <c r="L35" s="99" t="n">
        <f aca="false">J35+K35</f>
        <v>3301704.46524294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138134.608588162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3145738.59347229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3145738.59347229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0.0458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3145738.59347229</v>
      </c>
      <c r="K36" s="99" t="n">
        <f aca="false">J36*E36</f>
        <v>144074.827581031</v>
      </c>
      <c r="L36" s="99" t="n">
        <f aca="false">J36+K36</f>
        <v>3289813.42105332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155729.633340212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3129948.40248841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3129948.40248841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0.0904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3129948.40248841</v>
      </c>
      <c r="K37" s="99" t="n">
        <f aca="false">J37*E37</f>
        <v>282947.335584952</v>
      </c>
      <c r="L37" s="99" t="n">
        <f aca="false">J37+K37</f>
        <v>3412895.73807336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161337.546520021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3249034.09404432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3249034.09404432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0.0678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3249034.09404432</v>
      </c>
      <c r="K38" s="99" t="n">
        <f aca="false">J38*E38</f>
        <v>220284.511576205</v>
      </c>
      <c r="L38" s="99" t="n">
        <f aca="false">J38+K38</f>
        <v>3469318.60562052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175623.464542936</v>
      </c>
      <c r="O38" s="99" t="n">
        <f aca="false">IF(D38&gt;$B$4,0,IF(D38&lt;$B$3,0,$B$8*(1+$B$10)^(C38-1)))</f>
        <v>167958.185129765</v>
      </c>
      <c r="P38" s="99" t="n">
        <f aca="false">MAX(N38,O38)</f>
        <v>175623.464542936</v>
      </c>
      <c r="Q38" s="99" t="n">
        <f aca="false">MAX(0,L38-P38)</f>
        <v>3293695.14107759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3293695.14107759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0.0533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3293695.14107759</v>
      </c>
      <c r="K39" s="99" t="n">
        <f aca="false">J39*E39</f>
        <v>175553.951019435</v>
      </c>
      <c r="L39" s="99" t="n">
        <f aca="false">J39+K39</f>
        <v>3469249.09209702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186084.471247321</v>
      </c>
      <c r="O39" s="99" t="n">
        <f aca="false">IF(D39&gt;$B$4,0,IF(D39&lt;$B$3,0,$B$8*(1+$B$10)^(C39-1)))</f>
        <v>172157.13975801</v>
      </c>
      <c r="P39" s="99" t="n">
        <f aca="false">MAX(N39,O39)</f>
        <v>186084.471247321</v>
      </c>
      <c r="Q39" s="99" t="n">
        <f aca="false">MAX(0,L39-P39)</f>
        <v>3283164.6208497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3283164.6208497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0.0742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3283164.6208497</v>
      </c>
      <c r="K40" s="99" t="n">
        <f aca="false">J40*E40</f>
        <v>243610.814867048</v>
      </c>
      <c r="L40" s="99" t="n">
        <f aca="false">J40+K40</f>
        <v>3526775.43571675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195426.465526768</v>
      </c>
      <c r="O40" s="99" t="n">
        <f aca="false">IF(D40&gt;$B$4,0,IF(D40&lt;$B$3,0,$B$8*(1+$B$10)^(C40-1)))</f>
        <v>176461.06825196</v>
      </c>
      <c r="P40" s="99" t="n">
        <f aca="false">MAX(N40,O40)</f>
        <v>195426.465526768</v>
      </c>
      <c r="Q40" s="99" t="n">
        <f aca="false">MAX(0,L40-P40)</f>
        <v>3331348.97018998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3331348.97018998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0.065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3331348.97018998</v>
      </c>
      <c r="K41" s="99" t="n">
        <f aca="false">J41*E41</f>
        <v>216537.683062349</v>
      </c>
      <c r="L41" s="99" t="n">
        <f aca="false">J41+K41</f>
        <v>3547886.65325233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208209.310636874</v>
      </c>
      <c r="O41" s="99" t="n">
        <f aca="false">IF(D41&gt;$B$4,0,IF(D41&lt;$B$3,0,$B$8*(1+$B$10)^(C41-1)))</f>
        <v>180872.594958259</v>
      </c>
      <c r="P41" s="99" t="n">
        <f aca="false">MAX(N41,O41)</f>
        <v>208209.310636874</v>
      </c>
      <c r="Q41" s="99" t="n">
        <f aca="false">MAX(0,L41-P41)</f>
        <v>3339677.34261545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3339677.34261545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-0.035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3339677.34261545</v>
      </c>
      <c r="K42" s="99" t="n">
        <f aca="false">J42*E42</f>
        <v>-116888.706991541</v>
      </c>
      <c r="L42" s="99" t="n">
        <f aca="false">J42+K42</f>
        <v>3222788.63562391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219715.614645754</v>
      </c>
      <c r="O42" s="99" t="n">
        <f aca="false">IF(D42&gt;$B$4,0,IF(D42&lt;$B$3,0,$B$8*(1+$B$10)^(C42-1)))</f>
        <v>185394.409832215</v>
      </c>
      <c r="P42" s="99" t="n">
        <f aca="false">MAX(N42,O42)</f>
        <v>219715.614645754</v>
      </c>
      <c r="Q42" s="99" t="n">
        <f aca="false">MAX(0,L42-P42)</f>
        <v>3003073.02097816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3003073.02097816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3003073.02097816</v>
      </c>
      <c r="K43" s="99" t="n">
        <f aca="false">J43*E43</f>
        <v>240245.841678253</v>
      </c>
      <c r="L43" s="99" t="n">
        <f aca="false">J43+K43</f>
        <v>3243318.86265641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208546.737567928</v>
      </c>
      <c r="O43" s="99" t="n">
        <f aca="false">IF(D43&gt;$B$4,0,IF(D43&lt;$B$3,0,$B$8*(1+$B$10)^(C43-1)))</f>
        <v>190029.270078021</v>
      </c>
      <c r="P43" s="99" t="n">
        <f aca="false">MAX(N43,O43)</f>
        <v>208546.737567928</v>
      </c>
      <c r="Q43" s="99" t="n">
        <f aca="false">MAX(0,L43-P43)</f>
        <v>3034772.12508849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3034772.12508849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0.0542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3034772.12508849</v>
      </c>
      <c r="K44" s="99" t="n">
        <f aca="false">J44*E44</f>
        <v>164484.649179796</v>
      </c>
      <c r="L44" s="99" t="n">
        <f aca="false">J44+K44</f>
        <v>3199256.77426828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221516.213510108</v>
      </c>
      <c r="O44" s="99" t="n">
        <f aca="false">IF(D44&gt;$B$4,0,IF(D44&lt;$B$3,0,$B$8*(1+$B$10)^(C44-1)))</f>
        <v>194780.001829971</v>
      </c>
      <c r="P44" s="99" t="n">
        <f aca="false">MAX(N44,O44)</f>
        <v>221516.213510108</v>
      </c>
      <c r="Q44" s="99" t="n">
        <f aca="false">MAX(0,L44-P44)</f>
        <v>2977740.56075817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2977740.56075817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0.0791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2977740.56075817</v>
      </c>
      <c r="K45" s="99" t="n">
        <f aca="false">J45*E45</f>
        <v>235539.278355971</v>
      </c>
      <c r="L45" s="99" t="n">
        <f aca="false">J45+K45</f>
        <v>3213279.83911414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230832.601609161</v>
      </c>
      <c r="O45" s="99" t="n">
        <f aca="false">IF(D45&gt;$B$4,0,IF(D45&lt;$B$3,0,$B$8*(1+$B$10)^(C45-1)))</f>
        <v>199649.50187572</v>
      </c>
      <c r="P45" s="99" t="n">
        <f aca="false">MAX(N45,O45)</f>
        <v>230832.601609161</v>
      </c>
      <c r="Q45" s="99" t="n">
        <f aca="false">MAX(0,L45-P45)</f>
        <v>2982447.23750498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2982447.23750498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0.0377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2982447.23750498</v>
      </c>
      <c r="K46" s="99" t="n">
        <f aca="false">J46*E46</f>
        <v>112438.260853938</v>
      </c>
      <c r="L46" s="99" t="n">
        <f aca="false">J46+K46</f>
        <v>3094885.49835892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244462.888320081</v>
      </c>
      <c r="O46" s="99" t="n">
        <f aca="false">IF(D46&gt;$B$4,0,IF(D46&lt;$B$3,0,$B$8*(1+$B$10)^(C46-1)))</f>
        <v>204640.739422613</v>
      </c>
      <c r="P46" s="99" t="n">
        <f aca="false">MAX(N46,O46)</f>
        <v>244462.888320081</v>
      </c>
      <c r="Q46" s="99" t="n">
        <f aca="false">MAX(0,L46-P46)</f>
        <v>2850422.61003884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2850422.61003884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0.0919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2850422.61003884</v>
      </c>
      <c r="K47" s="99" t="n">
        <f aca="false">J47*E47</f>
        <v>261953.837862569</v>
      </c>
      <c r="L47" s="99" t="n">
        <f aca="false">J47+K47</f>
        <v>3112376.44790141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3112376.44790141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3112376.44790141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0.0337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3112376.44790141</v>
      </c>
      <c r="K48" s="99" t="n">
        <f aca="false">J48*E48</f>
        <v>104887.086294278</v>
      </c>
      <c r="L48" s="99" t="n">
        <f aca="false">J48+K48</f>
        <v>3217263.53419569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3217263.53419569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3217263.53419569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0.045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3217263.53419569</v>
      </c>
      <c r="K49" s="99" t="n">
        <f aca="false">J49*E49</f>
        <v>144776.859038806</v>
      </c>
      <c r="L49" s="99" t="n">
        <f aca="false">J49+K49</f>
        <v>3362040.39323449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3362040.39323449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3362040.39323449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0.11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3362040.39323449</v>
      </c>
      <c r="K50" s="99" t="n">
        <f aca="false">J50*E50</f>
        <v>369824.443255794</v>
      </c>
      <c r="L50" s="99" t="n">
        <f aca="false">J50+K50</f>
        <v>3731864.83649029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3731864.83649029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3731864.83649029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0.0875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3731864.83649029</v>
      </c>
      <c r="K51" s="99" t="n">
        <f aca="false">J51*E51</f>
        <v>326538.1731929</v>
      </c>
      <c r="L51" s="99" t="n">
        <f aca="false">J51+K51</f>
        <v>4058403.00968319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4058403.00968319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4058403.00968319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-0.0467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4058403.00968319</v>
      </c>
      <c r="K52" s="99" t="n">
        <f aca="false">J52*E52</f>
        <v>-189527.420552205</v>
      </c>
      <c r="L52" s="99" t="n">
        <f aca="false">J52+K52</f>
        <v>3868875.58913098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3868875.58913098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3868875.58913098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-0.0708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3868875.58913098</v>
      </c>
      <c r="K53" s="99" t="n">
        <f aca="false">J53*E53</f>
        <v>-273916.391710474</v>
      </c>
      <c r="L53" s="99" t="n">
        <f aca="false">J53+K53</f>
        <v>3594959.19742051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3594959.19742051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3594959.19742051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-0.1348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3594959.19742051</v>
      </c>
      <c r="K54" s="99" t="n">
        <f aca="false">J54*E54</f>
        <v>-484600.499812285</v>
      </c>
      <c r="L54" s="99" t="n">
        <f aca="false">J54+K54</f>
        <v>3110358.69760823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3110358.69760823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3110358.69760823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69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63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None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IRA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76</v>
      </c>
      <c r="C3" s="57"/>
      <c r="D3" s="64" t="s">
        <v>14</v>
      </c>
      <c r="E3" s="72" t="str">
        <f aca="false">VLOOKUP($A$14,Scenarios!$A:$CE,HLOOKUP(D3,Scenarios!$1:$2,2,FALSE()),FALSE())</f>
        <v>IRA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1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1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6500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Maximum Allowable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97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158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IRA with Maximum Allowable / None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63</v>
      </c>
      <c r="E17" s="97" t="n">
        <f aca="false">HLOOKUP($B$6,'RetireUp Market Returns'!A:CT,(1+$B$7+C17),FALSE())</f>
        <v>-0.0354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-70800</v>
      </c>
      <c r="L17" s="99" t="n">
        <f aca="false">J17+K17</f>
        <v>1929200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1929200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7500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6500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6500</v>
      </c>
      <c r="X17" s="99" t="n">
        <f aca="false">MIN(U17,R17-W17)</f>
        <v>1000</v>
      </c>
      <c r="Y17" s="99" t="n">
        <f aca="false">MIN(S17,V17)</f>
        <v>0</v>
      </c>
      <c r="Z17" s="99" t="n">
        <f aca="false">W17+X17+Y17</f>
        <v>7500</v>
      </c>
      <c r="AA17" s="100" t="n">
        <f aca="false">Q17+Z17</f>
        <v>1936700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64</v>
      </c>
      <c r="E18" s="97" t="n">
        <f aca="false">HLOOKUP($B$6,'RetireUp Market Returns'!A:CT,(1+$B$7+C18),FALSE())</f>
        <v>0.1019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1936700</v>
      </c>
      <c r="K18" s="99" t="n">
        <f aca="false">J18*E18</f>
        <v>197349.73</v>
      </c>
      <c r="L18" s="99" t="n">
        <f aca="false">J18+K18</f>
        <v>2134049.73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2134049.73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7687.5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6662.5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6662.5</v>
      </c>
      <c r="X18" s="99" t="n">
        <f aca="false">MIN(U18,R18-W18)</f>
        <v>1025</v>
      </c>
      <c r="Y18" s="99" t="n">
        <f aca="false">MIN(S18,V18)</f>
        <v>0</v>
      </c>
      <c r="Z18" s="99" t="n">
        <f aca="false">W18+X18+Y18</f>
        <v>7687.5</v>
      </c>
      <c r="AA18" s="100" t="n">
        <f aca="false">Q18+W18+X18+Y18</f>
        <v>2141737.23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65</v>
      </c>
      <c r="E19" s="97" t="n">
        <f aca="false">HLOOKUP($B$6,'RetireUp Market Returns'!A:CT,(1+$B$7+C19),FALSE())</f>
        <v>0.1698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2141737.23</v>
      </c>
      <c r="K19" s="99" t="n">
        <f aca="false">J19*E19</f>
        <v>363666.981654</v>
      </c>
      <c r="L19" s="99" t="n">
        <f aca="false">J19+K19</f>
        <v>2505404.211654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2505404.211654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7879.6875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6829.0625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6829.0625</v>
      </c>
      <c r="X19" s="99" t="n">
        <f aca="false">MIN(U19,R19-W19)</f>
        <v>1050.625</v>
      </c>
      <c r="Y19" s="99" t="n">
        <f aca="false">MIN(S19,V19)</f>
        <v>0</v>
      </c>
      <c r="Z19" s="99" t="n">
        <f aca="false">W19+X19+Y19</f>
        <v>7879.6875</v>
      </c>
      <c r="AA19" s="100" t="n">
        <f aca="false">Q19+W19+X19+Y19</f>
        <v>2513283.899154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66</v>
      </c>
      <c r="E20" s="97" t="n">
        <f aca="false">HLOOKUP($B$6,'RetireUp Market Returns'!A:CT,(1+$B$7+C20),FALSE())</f>
        <v>-0.0257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2513283.899154</v>
      </c>
      <c r="K20" s="99" t="n">
        <f aca="false">J20*E20</f>
        <v>-64591.3962082578</v>
      </c>
      <c r="L20" s="99" t="n">
        <f aca="false">J20+K20</f>
        <v>2448692.50294574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2448692.50294574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8076.6796875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6999.7890625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6999.7890625</v>
      </c>
      <c r="X20" s="99" t="n">
        <f aca="false">MIN(U20,R20-W20)</f>
        <v>1076.890625</v>
      </c>
      <c r="Y20" s="99" t="n">
        <f aca="false">MIN(S20,V20)</f>
        <v>0</v>
      </c>
      <c r="Z20" s="99" t="n">
        <f aca="false">W20+X20+Y20</f>
        <v>8076.6796875</v>
      </c>
      <c r="AA20" s="100" t="n">
        <f aca="false">Q20+W20+X20+Y20</f>
        <v>2456769.18263324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67</v>
      </c>
      <c r="E21" s="97" t="n">
        <f aca="false">HLOOKUP($B$6,'RetireUp Market Returns'!A:CT,(1+$B$7+C21),FALSE())</f>
        <v>0.0912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2456769.18263324</v>
      </c>
      <c r="K21" s="99" t="n">
        <f aca="false">J21*E21</f>
        <v>224057.349456152</v>
      </c>
      <c r="L21" s="99" t="n">
        <f aca="false">J21+K21</f>
        <v>2680826.53208939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0</v>
      </c>
      <c r="P21" s="99" t="n">
        <f aca="false">MAX(N21,O21)</f>
        <v>0</v>
      </c>
      <c r="Q21" s="99" t="n">
        <f aca="false">MAX(0,L21-P21)</f>
        <v>2680826.53208939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8278.5966796875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7174.7837890625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0</v>
      </c>
      <c r="W21" s="99" t="n">
        <f aca="false">MIN(R21,T21)</f>
        <v>7174.7837890625</v>
      </c>
      <c r="X21" s="99" t="n">
        <f aca="false">MIN(U21,R21-W21)</f>
        <v>1103.812890625</v>
      </c>
      <c r="Y21" s="99" t="n">
        <f aca="false">MIN(S21,V21)</f>
        <v>0</v>
      </c>
      <c r="Z21" s="99" t="n">
        <f aca="false">W21+X21+Y21</f>
        <v>8278.5966796875</v>
      </c>
      <c r="AA21" s="100" t="n">
        <f aca="false">Q21+W21+X21+Y21</f>
        <v>2689105.12876908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68</v>
      </c>
      <c r="E22" s="97" t="n">
        <f aca="false">HLOOKUP($B$6,'RetireUp Market Returns'!A:CT,(1+$B$7+C22),FALSE())</f>
        <v>0.0479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2689105.12876908</v>
      </c>
      <c r="K22" s="99" t="n">
        <f aca="false">J22*E22</f>
        <v>128808.135668039</v>
      </c>
      <c r="L22" s="99" t="n">
        <f aca="false">J22+K22</f>
        <v>2817913.26443712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0</v>
      </c>
      <c r="P22" s="99" t="n">
        <f aca="false">MAX(N22,O22)</f>
        <v>0</v>
      </c>
      <c r="Q22" s="99" t="n">
        <f aca="false">MAX(0,L22-P22)</f>
        <v>2817913.26443712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8485.56159667968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7354.15338378906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0</v>
      </c>
      <c r="W22" s="99" t="n">
        <f aca="false">MIN(R22,T22)</f>
        <v>7354.15338378906</v>
      </c>
      <c r="X22" s="99" t="n">
        <f aca="false">MIN(U22,R22-W22)</f>
        <v>1131.40821289062</v>
      </c>
      <c r="Y22" s="99" t="n">
        <f aca="false">MIN(S22,V22)</f>
        <v>0</v>
      </c>
      <c r="Z22" s="99" t="n">
        <f aca="false">W22+X22+Y22</f>
        <v>8485.56159667968</v>
      </c>
      <c r="AA22" s="100" t="n">
        <f aca="false">Q22+W22+X22+Y22</f>
        <v>2826398.8260338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69</v>
      </c>
      <c r="E23" s="97" t="n">
        <f aca="false">HLOOKUP($B$6,'RetireUp Market Returns'!A:CT,(1+$B$7+C23),FALSE())</f>
        <v>0.0213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2826398.8260338</v>
      </c>
      <c r="K23" s="99" t="n">
        <f aca="false">J23*E23</f>
        <v>60202.2949945199</v>
      </c>
      <c r="L23" s="99" t="n">
        <f aca="false">J23+K23</f>
        <v>2886601.12102832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0</v>
      </c>
      <c r="P23" s="99" t="n">
        <f aca="false">MAX(N23,O23)</f>
        <v>0</v>
      </c>
      <c r="Q23" s="99" t="n">
        <f aca="false">MAX(0,L23-P23)</f>
        <v>2886601.12102832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8697.70063659668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7538.00721838378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0</v>
      </c>
      <c r="W23" s="99" t="n">
        <f aca="false">MIN(R23,T23)</f>
        <v>7538.00721838378</v>
      </c>
      <c r="X23" s="99" t="n">
        <f aca="false">MIN(U23,R23-W23)</f>
        <v>1159.69341821289</v>
      </c>
      <c r="Y23" s="99" t="n">
        <f aca="false">MIN(S23,V23)</f>
        <v>0</v>
      </c>
      <c r="Z23" s="99" t="n">
        <f aca="false">W23+X23+Y23</f>
        <v>8697.70063659668</v>
      </c>
      <c r="AA23" s="100" t="n">
        <f aca="false">Q23+W23+X23+Y23</f>
        <v>2895298.82166492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70</v>
      </c>
      <c r="E24" s="97" t="n">
        <f aca="false">HLOOKUP($B$6,'RetireUp Market Returns'!A:CT,(1+$B$7+C24),FALSE())</f>
        <v>0.11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2895298.82166492</v>
      </c>
      <c r="K24" s="99" t="n">
        <f aca="false">J24*E24</f>
        <v>318482.870383141</v>
      </c>
      <c r="L24" s="99" t="n">
        <f aca="false">J24+K24</f>
        <v>3213781.69204806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0</v>
      </c>
      <c r="P24" s="99" t="n">
        <f aca="false">MAX(N24,O24)</f>
        <v>0</v>
      </c>
      <c r="Q24" s="99" t="n">
        <f aca="false">MAX(0,L24-P24)</f>
        <v>3213781.69204806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8915.14315251159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7726.45739884338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0</v>
      </c>
      <c r="W24" s="99" t="n">
        <f aca="false">MIN(R24,T24)</f>
        <v>7726.45739884338</v>
      </c>
      <c r="X24" s="99" t="n">
        <f aca="false">MIN(U24,R24-W24)</f>
        <v>1188.68575366821</v>
      </c>
      <c r="Y24" s="99" t="n">
        <f aca="false">MIN(S24,V24)</f>
        <v>0</v>
      </c>
      <c r="Z24" s="99" t="n">
        <f aca="false">W24+X24+Y24</f>
        <v>8915.14315251159</v>
      </c>
      <c r="AA24" s="100" t="n">
        <f aca="false">Q24+W24+X24+Y24</f>
        <v>3222696.83520057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71</v>
      </c>
      <c r="E25" s="97" t="n">
        <f aca="false">HLOOKUP($B$6,'RetireUp Market Returns'!A:CT,(1+$B$7+C25),FALSE())</f>
        <v>0.0802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3222696.83520057</v>
      </c>
      <c r="K25" s="99" t="n">
        <f aca="false">J25*E25</f>
        <v>258460.286183086</v>
      </c>
      <c r="L25" s="99" t="n">
        <f aca="false">J25+K25</f>
        <v>3481157.12138365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0</v>
      </c>
      <c r="P25" s="99" t="n">
        <f aca="false">MAX(N25,O25)</f>
        <v>0</v>
      </c>
      <c r="Q25" s="99" t="n">
        <f aca="false">MAX(0,L25-P25)</f>
        <v>3481157.12138365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9138.02173132438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7919.61883381446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0</v>
      </c>
      <c r="W25" s="99" t="n">
        <f aca="false">MIN(R25,T25)</f>
        <v>7919.61883381446</v>
      </c>
      <c r="X25" s="99" t="n">
        <f aca="false">MIN(U25,R25-W25)</f>
        <v>1218.40289750992</v>
      </c>
      <c r="Y25" s="99" t="n">
        <f aca="false">MIN(S25,V25)</f>
        <v>0</v>
      </c>
      <c r="Z25" s="99" t="n">
        <f aca="false">W25+X25+Y25</f>
        <v>9138.02173132438</v>
      </c>
      <c r="AA25" s="100" t="n">
        <f aca="false">Q25+W25+X25+Y25</f>
        <v>3490295.14311498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72</v>
      </c>
      <c r="E26" s="97" t="n">
        <f aca="false">HLOOKUP($B$6,'RetireUp Market Returns'!A:CT,(1+$B$7+C26),FALSE())</f>
        <v>0.0818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3490295.14311498</v>
      </c>
      <c r="K26" s="99" t="n">
        <f aca="false">J26*E26</f>
        <v>285506.142706805</v>
      </c>
      <c r="L26" s="99" t="n">
        <f aca="false">J26+K26</f>
        <v>3775801.28582178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0</v>
      </c>
      <c r="P26" s="99" t="n">
        <f aca="false">MAX(N26,O26)</f>
        <v>0</v>
      </c>
      <c r="Q26" s="99" t="n">
        <f aca="false">MAX(0,L26-P26)</f>
        <v>3775801.28582178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9366.47227460749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8117.60930465982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0</v>
      </c>
      <c r="W26" s="99" t="n">
        <f aca="false">MIN(R26,T26)</f>
        <v>8117.60930465982</v>
      </c>
      <c r="X26" s="99" t="n">
        <f aca="false">MIN(U26,R26-W26)</f>
        <v>1248.86296994767</v>
      </c>
      <c r="Y26" s="99" t="n">
        <f aca="false">MIN(S26,V26)</f>
        <v>0</v>
      </c>
      <c r="Z26" s="99" t="n">
        <f aca="false">W26+X26+Y26</f>
        <v>9366.47227460749</v>
      </c>
      <c r="AA26" s="100" t="n">
        <f aca="false">Q26+W26+X26+Y26</f>
        <v>3785167.75809639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73</v>
      </c>
      <c r="E27" s="97" t="n">
        <f aca="false">HLOOKUP($B$6,'RetireUp Market Returns'!A:CT,(1+$B$7+C27),FALSE())</f>
        <v>0.1008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3785167.75809639</v>
      </c>
      <c r="K27" s="99" t="n">
        <f aca="false">J27*E27</f>
        <v>381544.910016116</v>
      </c>
      <c r="L27" s="99" t="n">
        <f aca="false">J27+K27</f>
        <v>4166712.66811251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0</v>
      </c>
      <c r="P27" s="99" t="n">
        <f aca="false">MAX(N27,O27)</f>
        <v>0</v>
      </c>
      <c r="Q27" s="99" t="n">
        <f aca="false">MAX(0,L27-P27)</f>
        <v>4166712.66811251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9600.63408147268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8320.54953727632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0</v>
      </c>
      <c r="W27" s="99" t="n">
        <f aca="false">MIN(R27,T27)</f>
        <v>8320.54953727632</v>
      </c>
      <c r="X27" s="99" t="n">
        <f aca="false">MIN(U27,R27-W27)</f>
        <v>1280.08454419636</v>
      </c>
      <c r="Y27" s="99" t="n">
        <f aca="false">MIN(S27,V27)</f>
        <v>0</v>
      </c>
      <c r="Z27" s="99" t="n">
        <f aca="false">W27+X27+Y27</f>
        <v>9600.63408147268</v>
      </c>
      <c r="AA27" s="100" t="n">
        <f aca="false">Q27+W27+X27+Y27</f>
        <v>4176313.30219398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74</v>
      </c>
      <c r="E28" s="97" t="n">
        <f aca="false">HLOOKUP($B$6,'RetireUp Market Returns'!A:CT,(1+$B$7+C28),FALSE())</f>
        <v>-0.0492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4176313.30219398</v>
      </c>
      <c r="K28" s="99" t="n">
        <f aca="false">J28*E28</f>
        <v>-205474.614467944</v>
      </c>
      <c r="L28" s="99" t="n">
        <f aca="false">J28+K28</f>
        <v>3970838.68772604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0</v>
      </c>
      <c r="P28" s="99" t="n">
        <f aca="false">MAX(N28,O28)</f>
        <v>0</v>
      </c>
      <c r="Q28" s="99" t="n">
        <f aca="false">MAX(0,L28-P28)</f>
        <v>3970838.68772604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9840.64993350949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8528.56327570823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0</v>
      </c>
      <c r="W28" s="99" t="n">
        <f aca="false">MIN(R28,T28)</f>
        <v>8528.56327570823</v>
      </c>
      <c r="X28" s="99" t="n">
        <f aca="false">MIN(U28,R28-W28)</f>
        <v>1312.08665780127</v>
      </c>
      <c r="Y28" s="99" t="n">
        <f aca="false">MIN(S28,V28)</f>
        <v>0</v>
      </c>
      <c r="Z28" s="99" t="n">
        <f aca="false">W28+X28+Y28</f>
        <v>9840.64993350949</v>
      </c>
      <c r="AA28" s="100" t="n">
        <f aca="false">Q28+W28+X28+Y28</f>
        <v>3980679.33765955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75</v>
      </c>
      <c r="E29" s="97" t="n">
        <f aca="false">HLOOKUP($B$6,'RetireUp Market Returns'!A:CT,(1+$B$7+C29),FALSE())</f>
        <v>0.0123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3980679.33765955</v>
      </c>
      <c r="K29" s="99" t="n">
        <f aca="false">J29*E29</f>
        <v>48962.3558532124</v>
      </c>
      <c r="L29" s="99" t="n">
        <f aca="false">J29+K29</f>
        <v>4029641.69351276</v>
      </c>
      <c r="M29" s="101" t="n">
        <f aca="false">IF(D29="-","-",IF($F$4="Roth","-",IF($E$3="Health Savings Account","-",IF(AND(A29=2033,D29=74),VLOOKUP(D29,Tables!G:H,2,FALSE()),IF(AND(A29&gt;2032,D29&lt;75),"-",IF(D29&lt;73,"-",VLOOKUP(D29,Tables!G:H,2,FALSE())))))))</f>
        <v>24.6</v>
      </c>
      <c r="N29" s="99" t="n">
        <f aca="false">IF($M29="-",0,J29/$M29)</f>
        <v>161816.233238193</v>
      </c>
      <c r="O29" s="99" t="n">
        <f aca="false">IF(D29&gt;$B$4,0,IF(D29&lt;$B$3,0,$B$8*(1+$B$10)^(C29-1)))</f>
        <v>0</v>
      </c>
      <c r="P29" s="99" t="n">
        <f aca="false">MAX(N29,O29)</f>
        <v>161816.233238193</v>
      </c>
      <c r="Q29" s="99" t="n">
        <f aca="false">MAX(0,L29-P29)</f>
        <v>3867825.46027457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10086.6661818472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8741.77735760093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0</v>
      </c>
      <c r="W29" s="99" t="n">
        <f aca="false">MIN(R29,T29)</f>
        <v>8741.77735760093</v>
      </c>
      <c r="X29" s="99" t="n">
        <f aca="false">MIN(U29,R29-W29)</f>
        <v>1344.8888242463</v>
      </c>
      <c r="Y29" s="99" t="n">
        <f aca="false">MIN(S29,V29)</f>
        <v>0</v>
      </c>
      <c r="Z29" s="99" t="n">
        <f aca="false">W29+X29+Y29</f>
        <v>10086.6661818472</v>
      </c>
      <c r="AA29" s="100" t="n">
        <f aca="false">Q29+W29+X29+Y29</f>
        <v>3877912.12645641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76</v>
      </c>
      <c r="E30" s="97" t="n">
        <f aca="false">HLOOKUP($B$6,'RetireUp Market Returns'!A:CT,(1+$B$7+C30),FALSE())</f>
        <v>0.0641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3877912.12645641</v>
      </c>
      <c r="K30" s="99" t="n">
        <f aca="false">J30*E30</f>
        <v>248574.167305856</v>
      </c>
      <c r="L30" s="99" t="n">
        <f aca="false">J30+K30</f>
        <v>4126486.29376227</v>
      </c>
      <c r="M30" s="101" t="n">
        <f aca="false">IF(D30="-","-",IF($F$4="Roth","-",IF($E$3="Health Savings Account","-",IF(AND(A30=2033,D30=74),VLOOKUP(D30,Tables!G:H,2,FALSE()),IF(AND(A30&gt;2032,D30&lt;75),"-",IF(D30&lt;73,"-",VLOOKUP(D30,Tables!G:H,2,FALSE())))))))</f>
        <v>23.7</v>
      </c>
      <c r="N30" s="99" t="n">
        <f aca="false">IF($M30="-",0,J30/$M30)</f>
        <v>163624.984238667</v>
      </c>
      <c r="O30" s="99" t="n">
        <f aca="false">IF(D30&gt;$B$4,0,IF(D30&lt;$B$3,0,$B$8*(1+$B$10)^(C30-1)))</f>
        <v>137851.104485245</v>
      </c>
      <c r="P30" s="99" t="n">
        <f aca="false">MAX(N30,O30)</f>
        <v>163624.984238667</v>
      </c>
      <c r="Q30" s="99" t="n">
        <f aca="false">MAX(0,L30-P30)</f>
        <v>3962861.3095236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8960.32179154095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0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3962861.3095236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77</v>
      </c>
      <c r="E31" s="97" t="n">
        <f aca="false">HLOOKUP($B$6,'RetireUp Market Returns'!A:CT,(1+$B$7+C31),FALSE())</f>
        <v>0.1071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3962861.3095236</v>
      </c>
      <c r="K31" s="99" t="n">
        <f aca="false">J31*E31</f>
        <v>424422.446249978</v>
      </c>
      <c r="L31" s="99" t="n">
        <f aca="false">J31+K31</f>
        <v>4387283.75577358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22.9</v>
      </c>
      <c r="N31" s="99" t="n">
        <f aca="false">IF($M31="-",0,J31/$M31)</f>
        <v>173050.712206271</v>
      </c>
      <c r="O31" s="99" t="n">
        <f aca="false">IF(D31&gt;$B$4,0,IF(D31&lt;$B$3,0,$B$8*(1+$B$10)^(C31-1)))</f>
        <v>141297.382097377</v>
      </c>
      <c r="P31" s="99" t="n">
        <f aca="false">MAX(N31,O31)</f>
        <v>173050.712206271</v>
      </c>
      <c r="Q31" s="99" t="n">
        <f aca="false">MAX(0,L31-P31)</f>
        <v>4214233.04356731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9184.32983632948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0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4214233.04356731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78</v>
      </c>
      <c r="E32" s="97" t="n">
        <f aca="false">HLOOKUP($B$6,'RetireUp Market Returns'!A:CT,(1+$B$7+C32),FALSE())</f>
        <v>0.0651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4214233.04356731</v>
      </c>
      <c r="K32" s="99" t="n">
        <f aca="false">J32*E32</f>
        <v>274346.571136232</v>
      </c>
      <c r="L32" s="99" t="n">
        <f aca="false">J32+K32</f>
        <v>4488579.61470354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22</v>
      </c>
      <c r="N32" s="99" t="n">
        <f aca="false">IF($M32="-",0,J32/$M32)</f>
        <v>191556.047434878</v>
      </c>
      <c r="O32" s="99" t="n">
        <f aca="false">IF(D32&gt;$B$4,0,IF(D32&lt;$B$3,0,$B$8*(1+$B$10)^(C32-1)))</f>
        <v>144829.816649811</v>
      </c>
      <c r="P32" s="99" t="n">
        <f aca="false">MAX(N32,O32)</f>
        <v>191556.047434878</v>
      </c>
      <c r="Q32" s="99" t="n">
        <f aca="false">MAX(0,L32-P32)</f>
        <v>4297023.56726866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9413.93808223771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0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4297023.56726866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79</v>
      </c>
      <c r="E33" s="97" t="n">
        <f aca="false">HLOOKUP($B$6,'RetireUp Market Returns'!A:CT,(1+$B$7+C33),FALSE())</f>
        <v>0.08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4297023.56726866</v>
      </c>
      <c r="K33" s="99" t="n">
        <f aca="false">J33*E33</f>
        <v>343761.885381493</v>
      </c>
      <c r="L33" s="99" t="n">
        <f aca="false">J33+K33</f>
        <v>4640785.45265016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21.1</v>
      </c>
      <c r="N33" s="99" t="n">
        <f aca="false">IF($M33="-",0,J33/$M33)</f>
        <v>203650.40603169</v>
      </c>
      <c r="O33" s="99" t="n">
        <f aca="false">IF(D33&gt;$B$4,0,IF(D33&lt;$B$3,0,$B$8*(1+$B$10)^(C33-1)))</f>
        <v>148450.562066056</v>
      </c>
      <c r="P33" s="99" t="n">
        <f aca="false">MAX(N33,O33)</f>
        <v>203650.40603169</v>
      </c>
      <c r="Q33" s="99" t="n">
        <f aca="false">MAX(0,L33-P33)</f>
        <v>4437135.04661847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9649.28653429366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0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4437135.04661847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80</v>
      </c>
      <c r="E34" s="97" t="n">
        <f aca="false">HLOOKUP($B$6,'RetireUp Market Returns'!A:CT,(1+$B$7+C34),FALSE())</f>
        <v>0.0311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4437135.04661847</v>
      </c>
      <c r="K34" s="99" t="n">
        <f aca="false">J34*E34</f>
        <v>137994.899949834</v>
      </c>
      <c r="L34" s="99" t="n">
        <f aca="false">J34+K34</f>
        <v>4575129.9465683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20.2</v>
      </c>
      <c r="N34" s="99" t="n">
        <f aca="false">IF($M34="-",0,J34/$M34)</f>
        <v>219660.150822696</v>
      </c>
      <c r="O34" s="99" t="n">
        <f aca="false">IF(D34&gt;$B$4,0,IF(D34&lt;$B$3,0,$B$8*(1+$B$10)^(C34-1)))</f>
        <v>152161.826117708</v>
      </c>
      <c r="P34" s="99" t="n">
        <f aca="false">MAX(N34,O34)</f>
        <v>219660.150822696</v>
      </c>
      <c r="Q34" s="99" t="n">
        <f aca="false">MAX(0,L34-P34)</f>
        <v>4355469.7957456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9890.51869765099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0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4355469.7957456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81</v>
      </c>
      <c r="E35" s="97" t="n">
        <f aca="false">HLOOKUP($B$6,'RetireUp Market Returns'!A:CT,(1+$B$7+C35),FALSE())</f>
        <v>0.0563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4355469.7957456</v>
      </c>
      <c r="K35" s="99" t="n">
        <f aca="false">J35*E35</f>
        <v>245212.949500477</v>
      </c>
      <c r="L35" s="99" t="n">
        <f aca="false">J35+K35</f>
        <v>4600682.74524608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19.4</v>
      </c>
      <c r="N35" s="99" t="n">
        <f aca="false">IF($M35="-",0,J35/$M35)</f>
        <v>224508.752358021</v>
      </c>
      <c r="O35" s="99" t="n">
        <f aca="false">IF(D35&gt;$B$4,0,IF(D35&lt;$B$3,0,$B$8*(1+$B$10)^(C35-1)))</f>
        <v>155965.87177065</v>
      </c>
      <c r="P35" s="99" t="n">
        <f aca="false">MAX(N35,O35)</f>
        <v>224508.752358021</v>
      </c>
      <c r="Q35" s="99" t="n">
        <f aca="false">MAX(0,L35-P35)</f>
        <v>4376173.99288806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10137.7816650923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0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4376173.99288806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82</v>
      </c>
      <c r="E36" s="97" t="n">
        <f aca="false">HLOOKUP($B$6,'RetireUp Market Returns'!A:CT,(1+$B$7+C36),FALSE())</f>
        <v>0.0272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4376173.99288806</v>
      </c>
      <c r="K36" s="99" t="n">
        <f aca="false">J36*E36</f>
        <v>119031.932606555</v>
      </c>
      <c r="L36" s="99" t="n">
        <f aca="false">J36+K36</f>
        <v>4495205.92549462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18.5</v>
      </c>
      <c r="N36" s="99" t="n">
        <f aca="false">IF($M36="-",0,J36/$M36)</f>
        <v>236549.945561517</v>
      </c>
      <c r="O36" s="99" t="n">
        <f aca="false">IF(D36&gt;$B$4,0,IF(D36&lt;$B$3,0,$B$8*(1+$B$10)^(C36-1)))</f>
        <v>159865.018564917</v>
      </c>
      <c r="P36" s="99" t="n">
        <f aca="false">MAX(N36,O36)</f>
        <v>236549.945561517</v>
      </c>
      <c r="Q36" s="99" t="n">
        <f aca="false">MAX(0,L36-P36)</f>
        <v>4258655.9799331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10391.2262067196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0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4258655.9799331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83</v>
      </c>
      <c r="E37" s="97" t="n">
        <f aca="false">HLOOKUP($B$6,'RetireUp Market Returns'!A:CT,(1+$B$7+C37),FALSE())</f>
        <v>0.1648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4258655.9799331</v>
      </c>
      <c r="K37" s="99" t="n">
        <f aca="false">J37*E37</f>
        <v>701826.505492975</v>
      </c>
      <c r="L37" s="99" t="n">
        <f aca="false">J37+K37</f>
        <v>4960482.48542607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17.7</v>
      </c>
      <c r="N37" s="99" t="n">
        <f aca="false">IF($M37="-",0,J37/$M37)</f>
        <v>240602.032764582</v>
      </c>
      <c r="O37" s="99" t="n">
        <f aca="false">IF(D37&gt;$B$4,0,IF(D37&lt;$B$3,0,$B$8*(1+$B$10)^(C37-1)))</f>
        <v>163861.644029039</v>
      </c>
      <c r="P37" s="99" t="n">
        <f aca="false">MAX(N37,O37)</f>
        <v>240602.032764582</v>
      </c>
      <c r="Q37" s="99" t="n">
        <f aca="false">MAX(0,L37-P37)</f>
        <v>4719880.45266149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10651.0068618876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0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4719880.45266149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84</v>
      </c>
      <c r="E38" s="97" t="n">
        <f aca="false">HLOOKUP($B$6,'RetireUp Market Returns'!A:CT,(1+$B$7+C38),FALSE())</f>
        <v>-0.0675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4719880.45266149</v>
      </c>
      <c r="K38" s="99" t="n">
        <f aca="false">J38*E38</f>
        <v>-318591.930554651</v>
      </c>
      <c r="L38" s="99" t="n">
        <f aca="false">J38+K38</f>
        <v>4401288.52210684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16.8</v>
      </c>
      <c r="N38" s="99" t="n">
        <f aca="false">IF($M38="-",0,J38/$M38)</f>
        <v>280945.265039375</v>
      </c>
      <c r="O38" s="99" t="n">
        <f aca="false">IF(D38&gt;$B$4,0,IF(D38&lt;$B$3,0,$B$8*(1+$B$10)^(C38-1)))</f>
        <v>167958.185129765</v>
      </c>
      <c r="P38" s="99" t="n">
        <f aca="false">MAX(N38,O38)</f>
        <v>280945.265039375</v>
      </c>
      <c r="Q38" s="99" t="n">
        <f aca="false">MAX(0,L38-P38)</f>
        <v>4120343.25706747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10917.2820334348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0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4120343.25706747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85</v>
      </c>
      <c r="E39" s="97" t="n">
        <f aca="false">HLOOKUP($B$6,'RetireUp Market Returns'!A:CT,(1+$B$7+C39),FALSE())</f>
        <v>0.1328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4120343.25706747</v>
      </c>
      <c r="K39" s="99" t="n">
        <f aca="false">J39*E39</f>
        <v>547181.58453856</v>
      </c>
      <c r="L39" s="99" t="n">
        <f aca="false">J39+K39</f>
        <v>4667524.84160603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16</v>
      </c>
      <c r="N39" s="99" t="n">
        <f aca="false">IF($M39="-",0,J39/$M39)</f>
        <v>257521.453566717</v>
      </c>
      <c r="O39" s="99" t="n">
        <f aca="false">IF(D39&gt;$B$4,0,IF(D39&lt;$B$3,0,$B$8*(1+$B$10)^(C39-1)))</f>
        <v>172157.13975801</v>
      </c>
      <c r="P39" s="99" t="n">
        <f aca="false">MAX(N39,O39)</f>
        <v>257521.453566717</v>
      </c>
      <c r="Q39" s="99" t="n">
        <f aca="false">MAX(0,L39-P39)</f>
        <v>4410003.38803931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11190.2140842706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0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4410003.38803931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86</v>
      </c>
      <c r="E40" s="97" t="n">
        <f aca="false">HLOOKUP($B$6,'RetireUp Market Returns'!A:CT,(1+$B$7+C40),FALSE())</f>
        <v>0.0458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4410003.38803931</v>
      </c>
      <c r="K40" s="99" t="n">
        <f aca="false">J40*E40</f>
        <v>201978.1551722</v>
      </c>
      <c r="L40" s="99" t="n">
        <f aca="false">J40+K40</f>
        <v>4611981.54321151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15.2</v>
      </c>
      <c r="N40" s="99" t="n">
        <f aca="false">IF($M40="-",0,J40/$M40)</f>
        <v>290131.801844691</v>
      </c>
      <c r="O40" s="99" t="n">
        <f aca="false">IF(D40&gt;$B$4,0,IF(D40&lt;$B$3,0,$B$8*(1+$B$10)^(C40-1)))</f>
        <v>176461.06825196</v>
      </c>
      <c r="P40" s="99" t="n">
        <f aca="false">MAX(N40,O40)</f>
        <v>290131.801844691</v>
      </c>
      <c r="Q40" s="99" t="n">
        <f aca="false">MAX(0,L40-P40)</f>
        <v>4321849.74136682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11469.9694363774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0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4321849.74136682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87</v>
      </c>
      <c r="E41" s="97" t="n">
        <f aca="false">HLOOKUP($B$6,'RetireUp Market Returns'!A:CT,(1+$B$7+C41),FALSE())</f>
        <v>0.0904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4321849.74136682</v>
      </c>
      <c r="K41" s="99" t="n">
        <f aca="false">J41*E41</f>
        <v>390695.21661956</v>
      </c>
      <c r="L41" s="99" t="n">
        <f aca="false">J41+K41</f>
        <v>4712544.95798638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14.4</v>
      </c>
      <c r="N41" s="99" t="n">
        <f aca="false">IF($M41="-",0,J41/$M41)</f>
        <v>300128.454261585</v>
      </c>
      <c r="O41" s="99" t="n">
        <f aca="false">IF(D41&gt;$B$4,0,IF(D41&lt;$B$3,0,$B$8*(1+$B$10)^(C41-1)))</f>
        <v>180872.594958259</v>
      </c>
      <c r="P41" s="99" t="n">
        <f aca="false">MAX(N41,O41)</f>
        <v>300128.454261585</v>
      </c>
      <c r="Q41" s="99" t="n">
        <f aca="false">MAX(0,L41-P41)</f>
        <v>4412416.50372479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11756.7186722868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0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4412416.50372479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88</v>
      </c>
      <c r="E42" s="97" t="n">
        <f aca="false">HLOOKUP($B$6,'RetireUp Market Returns'!A:CT,(1+$B$7+C42),FALSE())</f>
        <v>0.0678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4412416.50372479</v>
      </c>
      <c r="K42" s="99" t="n">
        <f aca="false">J42*E42</f>
        <v>299161.838952541</v>
      </c>
      <c r="L42" s="99" t="n">
        <f aca="false">J42+K42</f>
        <v>4711578.34267734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13.7</v>
      </c>
      <c r="N42" s="99" t="n">
        <f aca="false">IF($M42="-",0,J42/$M42)</f>
        <v>322074.197352175</v>
      </c>
      <c r="O42" s="99" t="n">
        <f aca="false">IF(D42&gt;$B$4,0,IF(D42&lt;$B$3,0,$B$8*(1+$B$10)^(C42-1)))</f>
        <v>185394.409832215</v>
      </c>
      <c r="P42" s="99" t="n">
        <f aca="false">MAX(N42,O42)</f>
        <v>322074.197352175</v>
      </c>
      <c r="Q42" s="99" t="n">
        <f aca="false">MAX(0,L42-P42)</f>
        <v>4389504.14532516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12050.636639094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0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4389504.14532516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89</v>
      </c>
      <c r="E43" s="97" t="n">
        <f aca="false">HLOOKUP($B$6,'RetireUp Market Returns'!A:CT,(1+$B$7+C43),FALSE())</f>
        <v>0.0533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4389504.14532516</v>
      </c>
      <c r="K43" s="99" t="n">
        <f aca="false">J43*E43</f>
        <v>233960.570945831</v>
      </c>
      <c r="L43" s="99" t="n">
        <f aca="false">J43+K43</f>
        <v>4623464.71627099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12.9</v>
      </c>
      <c r="N43" s="99" t="n">
        <f aca="false">IF($M43="-",0,J43/$M43)</f>
        <v>340271.639172493</v>
      </c>
      <c r="O43" s="99" t="n">
        <f aca="false">IF(D43&gt;$B$4,0,IF(D43&lt;$B$3,0,$B$8*(1+$B$10)^(C43-1)))</f>
        <v>190029.270078021</v>
      </c>
      <c r="P43" s="99" t="n">
        <f aca="false">MAX(N43,O43)</f>
        <v>340271.639172493</v>
      </c>
      <c r="Q43" s="99" t="n">
        <f aca="false">MAX(0,L43-P43)</f>
        <v>4283193.0770985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12351.9025550713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0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4283193.0770985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90</v>
      </c>
      <c r="E44" s="97" t="n">
        <f aca="false">HLOOKUP($B$6,'RetireUp Market Returns'!A:CT,(1+$B$7+C44),FALSE())</f>
        <v>0.0742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4283193.0770985</v>
      </c>
      <c r="K44" s="99" t="n">
        <f aca="false">J44*E44</f>
        <v>317812.926320709</v>
      </c>
      <c r="L44" s="99" t="n">
        <f aca="false">J44+K44</f>
        <v>4601006.00341921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12.2</v>
      </c>
      <c r="N44" s="99" t="n">
        <f aca="false">IF($M44="-",0,J44/$M44)</f>
        <v>351081.399762172</v>
      </c>
      <c r="O44" s="99" t="n">
        <f aca="false">IF(D44&gt;$B$4,0,IF(D44&lt;$B$3,0,$B$8*(1+$B$10)^(C44-1)))</f>
        <v>194780.001829971</v>
      </c>
      <c r="P44" s="99" t="n">
        <f aca="false">MAX(N44,O44)</f>
        <v>351081.399762172</v>
      </c>
      <c r="Q44" s="99" t="n">
        <f aca="false">MAX(0,L44-P44)</f>
        <v>4249924.60365703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12660.7001189481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0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4249924.60365703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str">
        <f aca="false">IF(D44="-","-",IF(D44+1&gt;B$4,"-",D44+1))</f>
        <v>-</v>
      </c>
      <c r="E45" s="97" t="n">
        <f aca="false">HLOOKUP($B$6,'RetireUp Market Returns'!A:CT,(1+$B$7+C45),FALSE())</f>
        <v>0.065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4249924.60365703</v>
      </c>
      <c r="K45" s="99" t="n">
        <f aca="false">J45*E45</f>
        <v>276245.099237707</v>
      </c>
      <c r="L45" s="99" t="n">
        <f aca="false">J45+K45</f>
        <v>4526169.70289474</v>
      </c>
      <c r="M45" s="101" t="str">
        <f aca="false">IF(D45="-","-",IF($F$4="Roth","-",IF($E$3="Health Savings Account","-",IF(AND(A45=2033,D45=74),VLOOKUP(D45,Tables!G:H,2,FALSE()),IF(AND(A45&gt;2032,D45&lt;75),"-",IF(D45&lt;73,"-",VLOOKUP(D45,Tables!G:H,2,FALSE())))))))</f>
        <v>-</v>
      </c>
      <c r="N45" s="99" t="n">
        <f aca="false">IF($M45="-",0,J45/$M45)</f>
        <v>0</v>
      </c>
      <c r="O45" s="99" t="n">
        <f aca="false">IF(D45&gt;$B$4,0,IF(D45&lt;$B$3,0,$B$8*(1+$B$10)^(C45-1)))</f>
        <v>0</v>
      </c>
      <c r="P45" s="99" t="n">
        <f aca="false">MAX(N45,O45)</f>
        <v>0</v>
      </c>
      <c r="Q45" s="99" t="n">
        <f aca="false">MAX(0,L45-P45)</f>
        <v>4526169.70289474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12977.2176219218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0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4526169.70289474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str">
        <f aca="false">IF(D45="-","-",IF(D45+1&gt;B$4,"-",D45+1))</f>
        <v>-</v>
      </c>
      <c r="E46" s="97" t="n">
        <f aca="false">HLOOKUP($B$6,'RetireUp Market Returns'!A:CT,(1+$B$7+C46),FALSE())</f>
        <v>-0.035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4526169.70289474</v>
      </c>
      <c r="K46" s="99" t="n">
        <f aca="false">J46*E46</f>
        <v>-158415.939601316</v>
      </c>
      <c r="L46" s="99" t="n">
        <f aca="false">J46+K46</f>
        <v>4367753.76329343</v>
      </c>
      <c r="M46" s="101" t="str">
        <f aca="false">IF(D46="-","-",IF($F$4="Roth","-",IF($E$3="Health Savings Account","-",IF(AND(A46=2033,D46=74),VLOOKUP(D46,Tables!G:H,2,FALSE()),IF(AND(A46&gt;2032,D46&lt;75),"-",IF(D46&lt;73,"-",VLOOKUP(D46,Tables!G:H,2,FALSE())))))))</f>
        <v>-</v>
      </c>
      <c r="N46" s="99" t="n">
        <f aca="false">IF($M46="-",0,J46/$M46)</f>
        <v>0</v>
      </c>
      <c r="O46" s="99" t="n">
        <f aca="false">IF(D46&gt;$B$4,0,IF(D46&lt;$B$3,0,$B$8*(1+$B$10)^(C46-1)))</f>
        <v>0</v>
      </c>
      <c r="P46" s="99" t="n">
        <f aca="false">MAX(N46,O46)</f>
        <v>0</v>
      </c>
      <c r="Q46" s="99" t="n">
        <f aca="false">MAX(0,L46-P46)</f>
        <v>4367753.76329343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13301.6480624699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0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4367753.76329343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0.08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4367753.76329343</v>
      </c>
      <c r="K47" s="99" t="n">
        <f aca="false">J47*E47</f>
        <v>349420.301063474</v>
      </c>
      <c r="L47" s="99" t="n">
        <f aca="false">J47+K47</f>
        <v>4717174.0643569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4717174.0643569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13634.1892640316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0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4717174.0643569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0.0542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4717174.0643569</v>
      </c>
      <c r="K48" s="99" t="n">
        <f aca="false">J48*E48</f>
        <v>255670.834288144</v>
      </c>
      <c r="L48" s="99" t="n">
        <f aca="false">J48+K48</f>
        <v>4972844.89864504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4972844.89864504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13975.0439956324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0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4972844.89864504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0.0791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4972844.89864504</v>
      </c>
      <c r="K49" s="99" t="n">
        <f aca="false">J49*E49</f>
        <v>393352.031482823</v>
      </c>
      <c r="L49" s="99" t="n">
        <f aca="false">J49+K49</f>
        <v>5366196.93012787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5366196.93012787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14324.4200955232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0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5366196.93012787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0.0377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5366196.93012787</v>
      </c>
      <c r="K50" s="99" t="n">
        <f aca="false">J50*E50</f>
        <v>202305.624265821</v>
      </c>
      <c r="L50" s="99" t="n">
        <f aca="false">J50+K50</f>
        <v>5568502.55439369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5568502.55439369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14682.5305979113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0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5568502.55439369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0.0919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5568502.55439369</v>
      </c>
      <c r="K51" s="99" t="n">
        <f aca="false">J51*E51</f>
        <v>511745.38474878</v>
      </c>
      <c r="L51" s="99" t="n">
        <f aca="false">J51+K51</f>
        <v>6080247.93914247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6080247.93914247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15049.5938628591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0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6080247.93914247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0.0337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6080247.93914247</v>
      </c>
      <c r="K52" s="99" t="n">
        <f aca="false">J52*E52</f>
        <v>204904.355549101</v>
      </c>
      <c r="L52" s="99" t="n">
        <f aca="false">J52+K52</f>
        <v>6285152.29469157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6285152.29469157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15425.8337094305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0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6285152.29469157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0.045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6285152.29469157</v>
      </c>
      <c r="K53" s="99" t="n">
        <f aca="false">J53*E53</f>
        <v>282831.853261121</v>
      </c>
      <c r="L53" s="99" t="n">
        <f aca="false">J53+K53</f>
        <v>6567984.14795269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6567984.14795269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15811.4795521663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0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6567984.14795269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0.11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6567984.14795269</v>
      </c>
      <c r="K54" s="99" t="n">
        <f aca="false">J54*E54</f>
        <v>722478.256274796</v>
      </c>
      <c r="L54" s="99" t="n">
        <f aca="false">J54+K54</f>
        <v>7290462.40422749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7290462.40422749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16206.7665409705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0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7290462.40422749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7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Match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401a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401a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2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2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22500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% of Salary</v>
      </c>
      <c r="G5" s="66" t="s">
        <v>26</v>
      </c>
      <c r="H5" s="77" t="n">
        <f aca="false">VLOOKUP($A$14,Scenarios!$A:$CE,HLOOKUP(G5,Scenarios!$1:$2,2,FALSE()),FALSE())</f>
        <v>0.5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7500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0.03</v>
      </c>
      <c r="C6" s="57"/>
      <c r="D6" s="64" t="s">
        <v>17</v>
      </c>
      <c r="E6" s="79" t="n">
        <f aca="false">VLOOKUP($A$14,Scenarios!$A:$CE,HLOOKUP(D6,Scenarios!$1:$2,2,FALSE()),FALSE())</f>
        <v>0</v>
      </c>
      <c r="G6" s="66" t="s">
        <v>27</v>
      </c>
      <c r="H6" s="67" t="n">
        <f aca="false">VLOOKUP($A$14,Scenarios!$A:$CE,HLOOKUP(G6,Scenarios!$1:$2,2,FALSE()),FALSE())</f>
        <v>0.08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66000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1</v>
      </c>
      <c r="C7" s="57"/>
      <c r="D7" s="64" t="s">
        <v>18</v>
      </c>
      <c r="E7" s="65" t="n">
        <f aca="false">VLOOKUP($A$14,Scenarios!$A:$CE,HLOOKUP(D7,Scenarios!$1:$2,2,FALSE()),FALSE())</f>
        <v>0.05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220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401a with % of Salary / Match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0.0547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109400</v>
      </c>
      <c r="L17" s="99" t="n">
        <f aca="false">J17+K17</f>
        <v>2109400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2109400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2500</v>
      </c>
      <c r="T17" s="99" t="n">
        <f aca="false">$N$4*(1+$B$10)^(C17-1)</f>
        <v>22500</v>
      </c>
      <c r="U17" s="99" t="n">
        <f aca="false">IF(AND($F$3=4,D17&lt;55),0,IF(D17&lt;50,0,IF(A17&lt;2025,$N$5*(1+$B$10)^(C17-1),IF(AND(D17&gt;59,D17&lt;64),$N$5*IF($N$3=2,1.5,1)*(1+$B$10)^(C17-1),$N$5*(1+$B$10)^(C17-1)))))</f>
        <v>7500</v>
      </c>
      <c r="V17" s="99" t="n">
        <f aca="false">IF($N$3=1,0,$N$6*(1+$B$10)^(C17-1)-W17)</f>
        <v>61000</v>
      </c>
      <c r="W17" s="99" t="n">
        <f aca="false">MIN(R17,T17)</f>
        <v>5000</v>
      </c>
      <c r="X17" s="99" t="n">
        <f aca="false">MIN(U17,R17-W17)</f>
        <v>0</v>
      </c>
      <c r="Y17" s="99" t="n">
        <f aca="false">MIN(S17,V17)</f>
        <v>2500</v>
      </c>
      <c r="Z17" s="99" t="n">
        <f aca="false">W17+X17+Y17</f>
        <v>7500</v>
      </c>
      <c r="AA17" s="100" t="n">
        <f aca="false">Q17+Z17</f>
        <v>2116900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0.0287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2116900</v>
      </c>
      <c r="K18" s="99" t="n">
        <f aca="false">J18*E18</f>
        <v>60755.03</v>
      </c>
      <c r="L18" s="99" t="n">
        <f aca="false">J18+K18</f>
        <v>2177655.03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2177655.03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5100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2550</v>
      </c>
      <c r="T18" s="99" t="n">
        <f aca="false">$N$4*(1+$B$10)^(C18-1)</f>
        <v>23062.5</v>
      </c>
      <c r="U18" s="99" t="n">
        <f aca="false">IF(AND($F$3=4,D18&lt;55),0,IF(D18&lt;50,0,IF(A18&lt;2025,$N$5*(1+$B$10)^(C18-1),IF(AND(D18&gt;59,D18&lt;64),$N$5*IF($N$3=2,1.5,1)*(1+$B$10)^(C18-1),$N$5*(1+$B$10)^(C18-1)))))</f>
        <v>7687.5</v>
      </c>
      <c r="V18" s="99" t="n">
        <f aca="false">IF($N$3=1,0,$N$6*(1+$B$10)^(C18-1)-W18)</f>
        <v>62550</v>
      </c>
      <c r="W18" s="99" t="n">
        <f aca="false">MIN(R18,T18)</f>
        <v>5100</v>
      </c>
      <c r="X18" s="99" t="n">
        <f aca="false">MIN(U18,R18-W18)</f>
        <v>0</v>
      </c>
      <c r="Y18" s="99" t="n">
        <f aca="false">MIN(S18,V18)</f>
        <v>2550</v>
      </c>
      <c r="Z18" s="99" t="n">
        <f aca="false">W18+X18+Y18</f>
        <v>7650</v>
      </c>
      <c r="AA18" s="100" t="n">
        <f aca="false">Q18+W18+X18+Y18</f>
        <v>2185305.03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0.0128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2185305.03</v>
      </c>
      <c r="K19" s="99" t="n">
        <f aca="false">J19*E19</f>
        <v>27971.904384</v>
      </c>
      <c r="L19" s="99" t="n">
        <f aca="false">J19+K19</f>
        <v>2213276.934384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2213276.934384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5202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2601</v>
      </c>
      <c r="T19" s="99" t="n">
        <f aca="false">$N$4*(1+$B$10)^(C19-1)</f>
        <v>23639.0625</v>
      </c>
      <c r="U19" s="99" t="n">
        <f aca="false">IF(AND($F$3=4,D19&lt;55),0,IF(D19&lt;50,0,IF(A19&lt;2025,$N$5*(1+$B$10)^(C19-1),IF(AND(D19&gt;59,D19&lt;64),$N$5*IF($N$3=2,1.5,1)*(1+$B$10)^(C19-1),$N$5*(1+$B$10)^(C19-1)))))</f>
        <v>11819.53125</v>
      </c>
      <c r="V19" s="99" t="n">
        <f aca="false">IF($N$3=1,0,$N$6*(1+$B$10)^(C19-1)-W19)</f>
        <v>64139.25</v>
      </c>
      <c r="W19" s="99" t="n">
        <f aca="false">MIN(R19,T19)</f>
        <v>5202</v>
      </c>
      <c r="X19" s="99" t="n">
        <f aca="false">MIN(U19,R19-W19)</f>
        <v>0</v>
      </c>
      <c r="Y19" s="99" t="n">
        <f aca="false">MIN(S19,V19)</f>
        <v>2601</v>
      </c>
      <c r="Z19" s="99" t="n">
        <f aca="false">W19+X19+Y19</f>
        <v>7803</v>
      </c>
      <c r="AA19" s="100" t="n">
        <f aca="false">Q19+W19+X19+Y19</f>
        <v>2221079.934384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0.066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2221079.934384</v>
      </c>
      <c r="K20" s="99" t="n">
        <f aca="false">J20*E20</f>
        <v>146591.275669344</v>
      </c>
      <c r="L20" s="99" t="n">
        <f aca="false">J20+K20</f>
        <v>2367671.21005334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2367671.21005334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5306.04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2653.02</v>
      </c>
      <c r="T20" s="99" t="n">
        <f aca="false">$N$4*(1+$B$10)^(C20-1)</f>
        <v>24230.0390625</v>
      </c>
      <c r="U20" s="99" t="n">
        <f aca="false">IF(AND($F$3=4,D20&lt;55),0,IF(D20&lt;50,0,IF(A20&lt;2025,$N$5*(1+$B$10)^(C20-1),IF(AND(D20&gt;59,D20&lt;64),$N$5*IF($N$3=2,1.5,1)*(1+$B$10)^(C20-1),$N$5*(1+$B$10)^(C20-1)))))</f>
        <v>8076.6796875</v>
      </c>
      <c r="V20" s="99" t="n">
        <f aca="false">IF($N$3=1,0,$N$6*(1+$B$10)^(C20-1)-W20)</f>
        <v>65768.74125</v>
      </c>
      <c r="W20" s="99" t="n">
        <f aca="false">MIN(R20,T20)</f>
        <v>5306.04</v>
      </c>
      <c r="X20" s="99" t="n">
        <f aca="false">MIN(U20,R20-W20)</f>
        <v>0</v>
      </c>
      <c r="Y20" s="99" t="n">
        <f aca="false">MIN(S20,V20)</f>
        <v>2653.02</v>
      </c>
      <c r="Z20" s="99" t="n">
        <f aca="false">W20+X20+Y20</f>
        <v>7959.06</v>
      </c>
      <c r="AA20" s="100" t="n">
        <f aca="false">Q20+W20+X20+Y20</f>
        <v>2375630.27005334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0.0481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2375630.27005334</v>
      </c>
      <c r="K21" s="99" t="n">
        <f aca="false">J21*E21</f>
        <v>114267.815989566</v>
      </c>
      <c r="L21" s="99" t="n">
        <f aca="false">J21+K21</f>
        <v>2489898.08604291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2379516.79698041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24835.7900390625</v>
      </c>
      <c r="U21" s="99" t="n">
        <f aca="false">IF(AND($F$3=4,D21&lt;55),0,IF(D21&lt;50,0,IF(A21&lt;2025,$N$5*(1+$B$10)^(C21-1),IF(AND(D21&gt;59,D21&lt;64),$N$5*IF($N$3=2,1.5,1)*(1+$B$10)^(C21-1),$N$5*(1+$B$10)^(C21-1)))))</f>
        <v>8278.5966796875</v>
      </c>
      <c r="V21" s="99" t="n">
        <f aca="false">IF($N$3=1,0,$N$6*(1+$B$10)^(C21-1)-W21)</f>
        <v>72851.65078125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2379516.79698041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0.0491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2379516.79698041</v>
      </c>
      <c r="K22" s="99" t="n">
        <f aca="false">J22*E22</f>
        <v>116834.274731738</v>
      </c>
      <c r="L22" s="99" t="n">
        <f aca="false">J22+K22</f>
        <v>2496351.07171215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2383210.25042309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25456.684790039</v>
      </c>
      <c r="U22" s="99" t="n">
        <f aca="false">IF(AND($F$3=4,D22&lt;55),0,IF(D22&lt;50,0,IF(A22&lt;2025,$N$5*(1+$B$10)^(C22-1),IF(AND(D22&gt;59,D22&lt;64),$N$5*IF($N$3=2,1.5,1)*(1+$B$10)^(C22-1),$N$5*(1+$B$10)^(C22-1)))))</f>
        <v>8485.56159667968</v>
      </c>
      <c r="V22" s="99" t="n">
        <f aca="false">IF($N$3=1,0,$N$6*(1+$B$10)^(C22-1)-W22)</f>
        <v>74672.9420507812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2383210.25042309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0.0605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2383210.25042309</v>
      </c>
      <c r="K23" s="99" t="n">
        <f aca="false">J23*E23</f>
        <v>144184.220150597</v>
      </c>
      <c r="L23" s="99" t="n">
        <f aca="false">J23+K23</f>
        <v>2527394.47057368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2411425.12875239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26093.10190979</v>
      </c>
      <c r="U23" s="99" t="n">
        <f aca="false">IF(AND($F$3=4,D23&lt;55),0,IF(D23&lt;50,0,IF(A23&lt;2025,$N$5*(1+$B$10)^(C23-1),IF(AND(D23&gt;59,D23&lt;64),$N$5*IF($N$3=2,1.5,1)*(1+$B$10)^(C23-1),$N$5*(1+$B$10)^(C23-1)))))</f>
        <v>8697.70063659668</v>
      </c>
      <c r="V23" s="99" t="n">
        <f aca="false">IF($N$3=1,0,$N$6*(1+$B$10)^(C23-1)-W23)</f>
        <v>76539.7656020507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2411425.12875239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-0.0295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2411425.12875239</v>
      </c>
      <c r="K24" s="99" t="n">
        <f aca="false">J24*E24</f>
        <v>-71137.0412981956</v>
      </c>
      <c r="L24" s="99" t="n">
        <f aca="false">J24+K24</f>
        <v>2340288.0874542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2221419.51208738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26745.4294575348</v>
      </c>
      <c r="U24" s="99" t="n">
        <f aca="false">IF(AND($F$3=4,D24&lt;55),0,IF(D24&lt;50,0,IF(A24&lt;2025,$N$5*(1+$B$10)^(C24-1),IF(AND(D24&gt;59,D24&lt;64),$N$5*IF($N$3=2,1.5,1)*(1+$B$10)^(C24-1),$N$5*(1+$B$10)^(C24-1)))))</f>
        <v>8915.14315251159</v>
      </c>
      <c r="V24" s="99" t="n">
        <f aca="false">IF($N$3=1,0,$N$6*(1+$B$10)^(C24-1)-W24)</f>
        <v>78453.259742102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2221419.51208738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0.0073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2221419.51208738</v>
      </c>
      <c r="K25" s="99" t="n">
        <f aca="false">J25*E25</f>
        <v>16216.3624382378</v>
      </c>
      <c r="L25" s="99" t="n">
        <f aca="false">J25+K25</f>
        <v>2237635.87452561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2115795.58477462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27414.0651939731</v>
      </c>
      <c r="U25" s="99" t="n">
        <f aca="false">IF(AND($F$3=4,D25&lt;55),0,IF(D25&lt;50,0,IF(A25&lt;2025,$N$5*(1+$B$10)^(C25-1),IF(AND(D25&gt;59,D25&lt;64),$N$5*IF($N$3=2,1.5,1)*(1+$B$10)^(C25-1),$N$5*(1+$B$10)^(C25-1)))))</f>
        <v>9138.02173132438</v>
      </c>
      <c r="V25" s="99" t="n">
        <f aca="false">IF($N$3=1,0,$N$6*(1+$B$10)^(C25-1)-W25)</f>
        <v>80414.5912356545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2115795.58477462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0.0385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2115795.58477462</v>
      </c>
      <c r="K26" s="99" t="n">
        <f aca="false">J26*E26</f>
        <v>81458.130013823</v>
      </c>
      <c r="L26" s="99" t="n">
        <f aca="false">J26+K26</f>
        <v>2197253.71478845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2072367.41779368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28099.4168238225</v>
      </c>
      <c r="U26" s="99" t="n">
        <f aca="false">IF(AND($F$3=4,D26&lt;55),0,IF(D26&lt;50,0,IF(A26&lt;2025,$N$5*(1+$B$10)^(C26-1),IF(AND(D26&gt;59,D26&lt;64),$N$5*IF($N$3=2,1.5,1)*(1+$B$10)^(C26-1),$N$5*(1+$B$10)^(C26-1)))))</f>
        <v>9366.47227460749</v>
      </c>
      <c r="V26" s="99" t="n">
        <f aca="false">IF($N$3=1,0,$N$6*(1+$B$10)^(C26-1)-W26)</f>
        <v>82424.9560165459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2072367.41779368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0.0643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2072367.41779368</v>
      </c>
      <c r="K27" s="99" t="n">
        <f aca="false">J27*E27</f>
        <v>133253.224964134</v>
      </c>
      <c r="L27" s="99" t="n">
        <f aca="false">J27+K27</f>
        <v>2205620.64275781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2077612.18833818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28801.902244418</v>
      </c>
      <c r="U27" s="99" t="n">
        <f aca="false">IF(AND($F$3=4,D27&lt;55),0,IF(D27&lt;50,0,IF(A27&lt;2025,$N$5*(1+$B$10)^(C27-1),IF(AND(D27&gt;59,D27&lt;64),$N$5*IF($N$3=2,1.5,1)*(1+$B$10)^(C27-1),$N$5*(1+$B$10)^(C27-1)))))</f>
        <v>9600.63408147268</v>
      </c>
      <c r="V27" s="99" t="n">
        <f aca="false">IF($N$3=1,0,$N$6*(1+$B$10)^(C27-1)-W27)</f>
        <v>84485.5799169596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2077612.18833818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0.039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2077612.18833818</v>
      </c>
      <c r="K28" s="99" t="n">
        <f aca="false">J28*E28</f>
        <v>81026.8753451889</v>
      </c>
      <c r="L28" s="99" t="n">
        <f aca="false">J28+K28</f>
        <v>2158639.06368337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2027430.39790324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29521.9498005285</v>
      </c>
      <c r="U28" s="99" t="n">
        <f aca="false">IF(AND($F$3=4,D28&lt;55),0,IF(D28&lt;50,0,IF(A28&lt;2025,$N$5*(1+$B$10)^(C28-1),IF(AND(D28&gt;59,D28&lt;64),$N$5*IF($N$3=2,1.5,1)*(1+$B$10)^(C28-1),$N$5*(1+$B$10)^(C28-1)))))</f>
        <v>9840.64993350949</v>
      </c>
      <c r="V28" s="99" t="n">
        <f aca="false">IF($N$3=1,0,$N$6*(1+$B$10)^(C28-1)-W28)</f>
        <v>86597.7194148835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2027430.39790324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0.048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2027430.39790324</v>
      </c>
      <c r="K29" s="99" t="n">
        <f aca="false">J29*E29</f>
        <v>97316.6590993555</v>
      </c>
      <c r="L29" s="99" t="n">
        <f aca="false">J29+K29</f>
        <v>2124747.05700259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1990258.17457796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30259.9985455417</v>
      </c>
      <c r="U29" s="99" t="n">
        <f aca="false">IF(AND($F$3=4,D29&lt;55),0,IF(D29&lt;50,0,IF(A29&lt;2025,$N$5*(1+$B$10)^(C29-1),IF(AND(D29&gt;59,D29&lt;64),$N$5*IF($N$3=2,1.5,1)*(1+$B$10)^(C29-1),$N$5*(1+$B$10)^(C29-1)))))</f>
        <v>10086.6661818472</v>
      </c>
      <c r="V29" s="99" t="n">
        <f aca="false">IF($N$3=1,0,$N$6*(1+$B$10)^(C29-1)-W29)</f>
        <v>88762.6624002556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1990258.17457796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0.0187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1990258.17457796</v>
      </c>
      <c r="K30" s="99" t="n">
        <f aca="false">J30*E30</f>
        <v>37217.8278646079</v>
      </c>
      <c r="L30" s="99" t="n">
        <f aca="false">J30+K30</f>
        <v>2027476.00244257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1889624.89795733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31016.4985091802</v>
      </c>
      <c r="U30" s="99" t="n">
        <f aca="false">IF(AND($F$3=4,D30&lt;55),0,IF(D30&lt;50,0,IF(A30&lt;2025,$N$5*(1+$B$10)^(C30-1),IF(AND(D30&gt;59,D30&lt;64),$N$5*IF($N$3=2,1.5,1)*(1+$B$10)^(C30-1),$N$5*(1+$B$10)^(C30-1)))))</f>
        <v>10338.8328363934</v>
      </c>
      <c r="V30" s="99" t="n">
        <f aca="false">IF($N$3=1,0,$N$6*(1+$B$10)^(C30-1)-W30)</f>
        <v>90981.728960262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1889624.89795733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0.0338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1889624.89795733</v>
      </c>
      <c r="K31" s="99" t="n">
        <f aca="false">J31*E31</f>
        <v>63869.3215509576</v>
      </c>
      <c r="L31" s="99" t="n">
        <f aca="false">J31+K31</f>
        <v>1953494.21950828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76814.0202421678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1812196.83741091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31791.9109719097</v>
      </c>
      <c r="U31" s="99" t="n">
        <f aca="false">IF(AND($F$3=4,D31&lt;55),0,IF(D31&lt;50,0,IF(A31&lt;2025,$N$5*(1+$B$10)^(C31-1),IF(AND(D31&gt;59,D31&lt;64),$N$5*IF($N$3=2,1.5,1)*(1+$B$10)^(C31-1),$N$5*(1+$B$10)^(C31-1)))))</f>
        <v>10597.3036573032</v>
      </c>
      <c r="V31" s="99" t="n">
        <f aca="false">IF($N$3=1,0,$N$6*(1+$B$10)^(C31-1)-W31)</f>
        <v>93256.2721842685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1812196.83741091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0.0163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1812196.83741091</v>
      </c>
      <c r="K32" s="99" t="n">
        <f aca="false">J32*E32</f>
        <v>29538.8084497978</v>
      </c>
      <c r="L32" s="99" t="n">
        <f aca="false">J32+K32</f>
        <v>1841735.64586071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76464.0015785193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1696905.8292109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32586.7087462075</v>
      </c>
      <c r="U32" s="99" t="n">
        <f aca="false">IF(AND($F$3=4,D32&lt;55),0,IF(D32&lt;50,0,IF(A32&lt;2025,$N$5*(1+$B$10)^(C32-1),IF(AND(D32&gt;59,D32&lt;64),$N$5*IF($N$3=2,1.5,1)*(1+$B$10)^(C32-1),$N$5*(1+$B$10)^(C32-1)))))</f>
        <v>10862.2362487358</v>
      </c>
      <c r="V32" s="99" t="n">
        <f aca="false">IF($N$3=1,0,$N$6*(1+$B$10)^(C32-1)-W32)</f>
        <v>95587.6789888752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1696905.8292109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0.0988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1696905.8292109</v>
      </c>
      <c r="K33" s="99" t="n">
        <f aca="false">J33*E33</f>
        <v>167654.295926036</v>
      </c>
      <c r="L33" s="99" t="n">
        <f aca="false">J33+K33</f>
        <v>1864560.12513693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74100.6912319168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1716109.56307088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33401.3764648627</v>
      </c>
      <c r="U33" s="99" t="n">
        <f aca="false">IF(AND($F$3=4,D33&lt;55),0,IF(D33&lt;50,0,IF(A33&lt;2025,$N$5*(1+$B$10)^(C33-1),IF(AND(D33&gt;59,D33&lt;64),$N$5*IF($N$3=2,1.5,1)*(1+$B$10)^(C33-1),$N$5*(1+$B$10)^(C33-1)))))</f>
        <v>11133.7921549542</v>
      </c>
      <c r="V33" s="99" t="n">
        <f aca="false">IF($N$3=1,0,$N$6*(1+$B$10)^(C33-1)-W33)</f>
        <v>97977.3709635971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1716109.56307088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-0.0405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1716109.56307088</v>
      </c>
      <c r="K34" s="99" t="n">
        <f aca="false">J34*E34</f>
        <v>-69502.4373043704</v>
      </c>
      <c r="L34" s="99" t="n">
        <f aca="false">J34+K34</f>
        <v>1646607.1257665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78004.9801395852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1494445.2996488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34236.4108764842</v>
      </c>
      <c r="U34" s="99" t="n">
        <f aca="false">IF(AND($F$3=4,D34&lt;55),0,IF(D34&lt;50,0,IF(A34&lt;2025,$N$5*(1+$B$10)^(C34-1),IF(AND(D34&gt;59,D34&lt;64),$N$5*IF($N$3=2,1.5,1)*(1+$B$10)^(C34-1),$N$5*(1+$B$10)^(C34-1)))))</f>
        <v>11412.1369588281</v>
      </c>
      <c r="V34" s="99" t="n">
        <f aca="false">IF($N$3=1,0,$N$6*(1+$B$10)^(C34-1)-W34)</f>
        <v>100426.805237687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1494445.2996488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0.0796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1494445.2996488</v>
      </c>
      <c r="K35" s="99" t="n">
        <f aca="false">J35*E35</f>
        <v>118957.845852044</v>
      </c>
      <c r="L35" s="99" t="n">
        <f aca="false">J35+K35</f>
        <v>1613403.14550084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70826.7914525496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1457437.27373019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35092.3211483963</v>
      </c>
      <c r="U35" s="99" t="n">
        <f aca="false">IF(AND($F$3=4,D35&lt;55),0,IF(D35&lt;50,0,IF(A35&lt;2025,$N$5*(1+$B$10)^(C35-1),IF(AND(D35&gt;59,D35&lt;64),$N$5*IF($N$3=2,1.5,1)*(1+$B$10)^(C35-1),$N$5*(1+$B$10)^(C35-1)))))</f>
        <v>11697.4403827988</v>
      </c>
      <c r="V35" s="99" t="n">
        <f aca="false">IF($N$3=1,0,$N$6*(1+$B$10)^(C35-1)-W35)</f>
        <v>102937.475368629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1457437.27373019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0.0275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1457437.27373019</v>
      </c>
      <c r="K36" s="99" t="n">
        <f aca="false">J36*E36</f>
        <v>40079.5250275803</v>
      </c>
      <c r="L36" s="99" t="n">
        <f aca="false">J36+K36</f>
        <v>1497516.79875777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72150.360085653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1337651.78019286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35969.6291771062</v>
      </c>
      <c r="U36" s="99" t="n">
        <f aca="false">IF(AND($F$3=4,D36&lt;55),0,IF(D36&lt;50,0,IF(A36&lt;2025,$N$5*(1+$B$10)^(C36-1),IF(AND(D36&gt;59,D36&lt;64),$N$5*IF($N$3=2,1.5,1)*(1+$B$10)^(C36-1),$N$5*(1+$B$10)^(C36-1)))))</f>
        <v>11989.8763923687</v>
      </c>
      <c r="V36" s="99" t="n">
        <f aca="false">IF($N$3=1,0,$N$6*(1+$B$10)^(C36-1)-W36)</f>
        <v>105510.912252845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1337651.78019286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0.0542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1337651.78019286</v>
      </c>
      <c r="K37" s="99" t="n">
        <f aca="false">J37*E37</f>
        <v>72500.7264864527</v>
      </c>
      <c r="L37" s="99" t="n">
        <f aca="false">J37+K37</f>
        <v>1410152.50667931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68951.1226903533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1246290.86265027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36868.8699065339</v>
      </c>
      <c r="U37" s="99" t="n">
        <f aca="false">IF(AND($F$3=4,D37&lt;55),0,IF(D37&lt;50,0,IF(A37&lt;2025,$N$5*(1+$B$10)^(C37-1),IF(AND(D37&gt;59,D37&lt;64),$N$5*IF($N$3=2,1.5,1)*(1+$B$10)^(C37-1),$N$5*(1+$B$10)^(C37-1)))))</f>
        <v>12289.623302178</v>
      </c>
      <c r="V37" s="99" t="n">
        <f aca="false">IF($N$3=1,0,$N$6*(1+$B$10)^(C37-1)-W37)</f>
        <v>108148.685059166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1246290.86265027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0.0406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1246290.86265027</v>
      </c>
      <c r="K38" s="99" t="n">
        <f aca="false">J38*E38</f>
        <v>50599.4090236009</v>
      </c>
      <c r="L38" s="99" t="n">
        <f aca="false">J38+K38</f>
        <v>1296890.27167387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67367.0736567712</v>
      </c>
      <c r="O38" s="99" t="n">
        <f aca="false">IF(D38&gt;$B$4,0,IF(D38&lt;$B$3,0,$B$8*(1+$B$10)^(C38-1)))</f>
        <v>167958.185129765</v>
      </c>
      <c r="P38" s="99" t="n">
        <f aca="false">MAX(N38,O38)</f>
        <v>167958.185129765</v>
      </c>
      <c r="Q38" s="99" t="n">
        <f aca="false">MAX(0,L38-P38)</f>
        <v>1128932.0865441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37790.5916541972</v>
      </c>
      <c r="U38" s="99" t="n">
        <f aca="false">IF(AND($F$3=4,D38&lt;55),0,IF(D38&lt;50,0,IF(A38&lt;2025,$N$5*(1+$B$10)^(C38-1),IF(AND(D38&gt;59,D38&lt;64),$N$5*IF($N$3=2,1.5,1)*(1+$B$10)^(C38-1),$N$5*(1+$B$10)^(C38-1)))))</f>
        <v>12596.8638847324</v>
      </c>
      <c r="V38" s="99" t="n">
        <f aca="false">IF($N$3=1,0,$N$6*(1+$B$10)^(C38-1)-W38)</f>
        <v>110852.402185645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1128932.0865441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0.032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1128932.0865441</v>
      </c>
      <c r="K39" s="99" t="n">
        <f aca="false">J39*E39</f>
        <v>36125.8267694113</v>
      </c>
      <c r="L39" s="99" t="n">
        <f aca="false">J39+K39</f>
        <v>1165057.91331351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63781.473816051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992900.773555505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38735.3564455521</v>
      </c>
      <c r="U39" s="99" t="n">
        <f aca="false">IF(AND($F$3=4,D39&lt;55),0,IF(D39&lt;50,0,IF(A39&lt;2025,$N$5*(1+$B$10)^(C39-1),IF(AND(D39&gt;59,D39&lt;64),$N$5*IF($N$3=2,1.5,1)*(1+$B$10)^(C39-1),$N$5*(1+$B$10)^(C39-1)))))</f>
        <v>12911.7854818507</v>
      </c>
      <c r="V39" s="99" t="n">
        <f aca="false">IF($N$3=1,0,$N$6*(1+$B$10)^(C39-1)-W39)</f>
        <v>113623.712240286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992900.773555505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0.0445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992900.773555505</v>
      </c>
      <c r="K40" s="99" t="n">
        <f aca="false">J40*E40</f>
        <v>44184.08442322</v>
      </c>
      <c r="L40" s="99" t="n">
        <f aca="false">J40+K40</f>
        <v>1037084.85797873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59101.236521161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860623.789726766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39703.7403566909</v>
      </c>
      <c r="U40" s="99" t="n">
        <f aca="false">IF(AND($F$3=4,D40&lt;55),0,IF(D40&lt;50,0,IF(A40&lt;2025,$N$5*(1+$B$10)^(C40-1),IF(AND(D40&gt;59,D40&lt;64),$N$5*IF($N$3=2,1.5,1)*(1+$B$10)^(C40-1),$N$5*(1+$B$10)^(C40-1)))))</f>
        <v>13234.580118897</v>
      </c>
      <c r="V40" s="99" t="n">
        <f aca="false">IF($N$3=1,0,$N$6*(1+$B$10)^(C40-1)-W40)</f>
        <v>116464.305046293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860623.789726766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0.039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860623.789726766</v>
      </c>
      <c r="K41" s="99" t="n">
        <f aca="false">J41*E41</f>
        <v>33564.3277993439</v>
      </c>
      <c r="L41" s="99" t="n">
        <f aca="false">J41+K41</f>
        <v>894188.11752611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53788.9868579229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713315.522567851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40696.3338656082</v>
      </c>
      <c r="U41" s="99" t="n">
        <f aca="false">IF(AND($F$3=4,D41&lt;55),0,IF(D41&lt;50,0,IF(A41&lt;2025,$N$5*(1+$B$10)^(C41-1),IF(AND(D41&gt;59,D41&lt;64),$N$5*IF($N$3=2,1.5,1)*(1+$B$10)^(C41-1),$N$5*(1+$B$10)^(C41-1)))))</f>
        <v>13565.4446218694</v>
      </c>
      <c r="V41" s="99" t="n">
        <f aca="false">IF($N$3=1,0,$N$6*(1+$B$10)^(C41-1)-W41)</f>
        <v>119375.912672451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713315.522567851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-0.021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713315.522567851</v>
      </c>
      <c r="K42" s="99" t="n">
        <f aca="false">J42*E42</f>
        <v>-14979.6259739249</v>
      </c>
      <c r="L42" s="99" t="n">
        <f aca="false">J42+K42</f>
        <v>698335.896593926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46928.6528005165</v>
      </c>
      <c r="O42" s="99" t="n">
        <f aca="false">IF(D42&gt;$B$4,0,IF(D42&lt;$B$3,0,$B$8*(1+$B$10)^(C42-1)))</f>
        <v>185394.409832215</v>
      </c>
      <c r="P42" s="99" t="n">
        <f aca="false">MAX(N42,O42)</f>
        <v>185394.409832215</v>
      </c>
      <c r="Q42" s="99" t="n">
        <f aca="false">MAX(0,L42-P42)</f>
        <v>512941.486761711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41713.7422122484</v>
      </c>
      <c r="U42" s="99" t="n">
        <f aca="false">IF(AND($F$3=4,D42&lt;55),0,IF(D42&lt;50,0,IF(A42&lt;2025,$N$5*(1+$B$10)^(C42-1),IF(AND(D42&gt;59,D42&lt;64),$N$5*IF($N$3=2,1.5,1)*(1+$B$10)^(C42-1),$N$5*(1+$B$10)^(C42-1)))))</f>
        <v>13904.5807374161</v>
      </c>
      <c r="V42" s="99" t="n">
        <f aca="false">IF($N$3=1,0,$N$6*(1+$B$10)^(C42-1)-W42)</f>
        <v>122360.310489262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512941.486761711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0.048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512941.486761711</v>
      </c>
      <c r="K43" s="99" t="n">
        <f aca="false">J43*E43</f>
        <v>24621.1913645621</v>
      </c>
      <c r="L43" s="99" t="n">
        <f aca="false">J43+K43</f>
        <v>537562.678126273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35620.9365806744</v>
      </c>
      <c r="O43" s="99" t="n">
        <f aca="false">IF(D43&gt;$B$4,0,IF(D43&lt;$B$3,0,$B$8*(1+$B$10)^(C43-1)))</f>
        <v>190029.270078021</v>
      </c>
      <c r="P43" s="99" t="n">
        <f aca="false">MAX(N43,O43)</f>
        <v>190029.270078021</v>
      </c>
      <c r="Q43" s="99" t="n">
        <f aca="false">MAX(0,L43-P43)</f>
        <v>347533.408048252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42756.5857675546</v>
      </c>
      <c r="U43" s="99" t="n">
        <f aca="false">IF(AND($F$3=4,D43&lt;55),0,IF(D43&lt;50,0,IF(A43&lt;2025,$N$5*(1+$B$10)^(C43-1),IF(AND(D43&gt;59,D43&lt;64),$N$5*IF($N$3=2,1.5,1)*(1+$B$10)^(C43-1),$N$5*(1+$B$10)^(C43-1)))))</f>
        <v>14252.1952558515</v>
      </c>
      <c r="V43" s="99" t="n">
        <f aca="false">IF($N$3=1,0,$N$6*(1+$B$10)^(C43-1)-W43)</f>
        <v>125419.318251494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347533.408048252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0.0325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347533.408048252</v>
      </c>
      <c r="K44" s="99" t="n">
        <f aca="false">J44*E44</f>
        <v>11294.8357615682</v>
      </c>
      <c r="L44" s="99" t="n">
        <f aca="false">J44+K44</f>
        <v>358828.243809821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25367.4020473177</v>
      </c>
      <c r="O44" s="99" t="n">
        <f aca="false">IF(D44&gt;$B$4,0,IF(D44&lt;$B$3,0,$B$8*(1+$B$10)^(C44-1)))</f>
        <v>194780.001829971</v>
      </c>
      <c r="P44" s="99" t="n">
        <f aca="false">MAX(N44,O44)</f>
        <v>194780.001829971</v>
      </c>
      <c r="Q44" s="99" t="n">
        <f aca="false">MAX(0,L44-P44)</f>
        <v>164048.24197985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43825.5004117435</v>
      </c>
      <c r="U44" s="99" t="n">
        <f aca="false">IF(AND($F$3=4,D44&lt;55),0,IF(D44&lt;50,0,IF(A44&lt;2025,$N$5*(1+$B$10)^(C44-1),IF(AND(D44&gt;59,D44&lt;64),$N$5*IF($N$3=2,1.5,1)*(1+$B$10)^(C44-1),$N$5*(1+$B$10)^(C44-1)))))</f>
        <v>14608.5001372478</v>
      </c>
      <c r="V44" s="99" t="n">
        <f aca="false">IF($N$3=1,0,$N$6*(1+$B$10)^(C44-1)-W44)</f>
        <v>128554.801207781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164048.24197985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0.0475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164048.24197985</v>
      </c>
      <c r="K45" s="99" t="n">
        <f aca="false">J45*E45</f>
        <v>7792.29149404285</v>
      </c>
      <c r="L45" s="99" t="n">
        <f aca="false">J45+K45</f>
        <v>171840.533473892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12716.9179829341</v>
      </c>
      <c r="O45" s="99" t="n">
        <f aca="false">IF(D45&gt;$B$4,0,IF(D45&lt;$B$3,0,$B$8*(1+$B$10)^(C45-1)))</f>
        <v>199649.50187572</v>
      </c>
      <c r="P45" s="99" t="n">
        <f aca="false">MAX(N45,O45)</f>
        <v>199649.50187572</v>
      </c>
      <c r="Q45" s="99" t="n">
        <f aca="false">MAX(0,L45-P45)</f>
        <v>0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44921.1379220371</v>
      </c>
      <c r="U45" s="99" t="n">
        <f aca="false">IF(AND($F$3=4,D45&lt;55),0,IF(D45&lt;50,0,IF(A45&lt;2025,$N$5*(1+$B$10)^(C45-1),IF(AND(D45&gt;59,D45&lt;64),$N$5*IF($N$3=2,1.5,1)*(1+$B$10)^(C45-1),$N$5*(1+$B$10)^(C45-1)))))</f>
        <v>14973.712640679</v>
      </c>
      <c r="V45" s="99" t="n">
        <f aca="false">IF($N$3=1,0,$N$6*(1+$B$10)^(C45-1)-W45)</f>
        <v>131768.671237975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0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0.0226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0</v>
      </c>
      <c r="K46" s="99" t="n">
        <f aca="false">J46*E46</f>
        <v>0</v>
      </c>
      <c r="L46" s="99" t="n">
        <f aca="false">J46+K46</f>
        <v>0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0</v>
      </c>
      <c r="O46" s="99" t="n">
        <f aca="false">IF(D46&gt;$B$4,0,IF(D46&lt;$B$3,0,$B$8*(1+$B$10)^(C46-1)))</f>
        <v>204640.739422613</v>
      </c>
      <c r="P46" s="99" t="n">
        <f aca="false">MAX(N46,O46)</f>
        <v>204640.739422613</v>
      </c>
      <c r="Q46" s="99" t="n">
        <f aca="false">MAX(0,L46-P46)</f>
        <v>0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46044.166370088</v>
      </c>
      <c r="U46" s="99" t="n">
        <f aca="false">IF(AND($F$3=4,D46&lt;55),0,IF(D46&lt;50,0,IF(A46&lt;2025,$N$5*(1+$B$10)^(C46-1),IF(AND(D46&gt;59,D46&lt;64),$N$5*IF($N$3=2,1.5,1)*(1+$B$10)^(C46-1),$N$5*(1+$B$10)^(C46-1)))))</f>
        <v>15348.055456696</v>
      </c>
      <c r="V46" s="99" t="n">
        <f aca="false">IF($N$3=1,0,$N$6*(1+$B$10)^(C46-1)-W46)</f>
        <v>135062.888018925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0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0.0551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0</v>
      </c>
      <c r="K47" s="99" t="n">
        <f aca="false">J47*E47</f>
        <v>0</v>
      </c>
      <c r="L47" s="99" t="n">
        <f aca="false">J47+K47</f>
        <v>0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0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47195.2705293402</v>
      </c>
      <c r="U47" s="99" t="n">
        <f aca="false">IF(AND($F$3=4,D47&lt;55),0,IF(D47&lt;50,0,IF(A47&lt;2025,$N$5*(1+$B$10)^(C47-1),IF(AND(D47&gt;59,D47&lt;64),$N$5*IF($N$3=2,1.5,1)*(1+$B$10)^(C47-1),$N$5*(1+$B$10)^(C47-1)))))</f>
        <v>15731.7568431134</v>
      </c>
      <c r="V47" s="99" t="n">
        <f aca="false">IF($N$3=1,0,$N$6*(1+$B$10)^(C47-1)-W47)</f>
        <v>138439.460219398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0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0.0202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0</v>
      </c>
      <c r="K48" s="99" t="n">
        <f aca="false">J48*E48</f>
        <v>0</v>
      </c>
      <c r="L48" s="99" t="n">
        <f aca="false">J48+K48</f>
        <v>0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0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48375.1522925737</v>
      </c>
      <c r="U48" s="99" t="n">
        <f aca="false">IF(AND($F$3=4,D48&lt;55),0,IF(D48&lt;50,0,IF(A48&lt;2025,$N$5*(1+$B$10)^(C48-1),IF(AND(D48&gt;59,D48&lt;64),$N$5*IF($N$3=2,1.5,1)*(1+$B$10)^(C48-1),$N$5*(1+$B$10)^(C48-1)))))</f>
        <v>16125.0507641912</v>
      </c>
      <c r="V48" s="99" t="n">
        <f aca="false">IF($N$3=1,0,$N$6*(1+$B$10)^(C48-1)-W48)</f>
        <v>141900.446724883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0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0.027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0</v>
      </c>
      <c r="K49" s="99" t="n">
        <f aca="false">J49*E49</f>
        <v>0</v>
      </c>
      <c r="L49" s="99" t="n">
        <f aca="false">J49+K49</f>
        <v>0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0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49584.531099888</v>
      </c>
      <c r="U49" s="99" t="n">
        <f aca="false">IF(AND($F$3=4,D49&lt;55),0,IF(D49&lt;50,0,IF(A49&lt;2025,$N$5*(1+$B$10)^(C49-1),IF(AND(D49&gt;59,D49&lt;64),$N$5*IF($N$3=2,1.5,1)*(1+$B$10)^(C49-1),$N$5*(1+$B$10)^(C49-1)))))</f>
        <v>16528.177033296</v>
      </c>
      <c r="V49" s="99" t="n">
        <f aca="false">IF($N$3=1,0,$N$6*(1+$B$10)^(C49-1)-W49)</f>
        <v>145447.957893005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0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0.066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0</v>
      </c>
      <c r="K50" s="99" t="n">
        <f aca="false">J50*E50</f>
        <v>0</v>
      </c>
      <c r="L50" s="99" t="n">
        <f aca="false">J50+K50</f>
        <v>0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0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50824.1443773852</v>
      </c>
      <c r="U50" s="99" t="n">
        <f aca="false">IF(AND($F$3=4,D50&lt;55),0,IF(D50&lt;50,0,IF(A50&lt;2025,$N$5*(1+$B$10)^(C50-1),IF(AND(D50&gt;59,D50&lt;64),$N$5*IF($N$3=2,1.5,1)*(1+$B$10)^(C50-1),$N$5*(1+$B$10)^(C50-1)))))</f>
        <v>16941.3814591284</v>
      </c>
      <c r="V50" s="99" t="n">
        <f aca="false">IF($N$3=1,0,$N$6*(1+$B$10)^(C50-1)-W50)</f>
        <v>149084.15684033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0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0.0525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0</v>
      </c>
      <c r="K51" s="99" t="n">
        <f aca="false">J51*E51</f>
        <v>0</v>
      </c>
      <c r="L51" s="99" t="n">
        <f aca="false">J51+K51</f>
        <v>0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0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52094.7479868198</v>
      </c>
      <c r="U51" s="99" t="n">
        <f aca="false">IF(AND($F$3=4,D51&lt;55),0,IF(D51&lt;50,0,IF(A51&lt;2025,$N$5*(1+$B$10)^(C51-1),IF(AND(D51&gt;59,D51&lt;64),$N$5*IF($N$3=2,1.5,1)*(1+$B$10)^(C51-1),$N$5*(1+$B$10)^(C51-1)))))</f>
        <v>17364.9159956066</v>
      </c>
      <c r="V51" s="99" t="n">
        <f aca="false">IF($N$3=1,0,$N$6*(1+$B$10)^(C51-1)-W51)</f>
        <v>152811.260761338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0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-0.028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0</v>
      </c>
      <c r="K52" s="99" t="n">
        <f aca="false">J52*E52</f>
        <v>-0</v>
      </c>
      <c r="L52" s="99" t="n">
        <f aca="false">J52+K52</f>
        <v>0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0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53397.1166864903</v>
      </c>
      <c r="U52" s="99" t="n">
        <f aca="false">IF(AND($F$3=4,D52&lt;55),0,IF(D52&lt;50,0,IF(A52&lt;2025,$N$5*(1+$B$10)^(C52-1),IF(AND(D52&gt;59,D52&lt;64),$N$5*IF($N$3=2,1.5,1)*(1+$B$10)^(C52-1),$N$5*(1+$B$10)^(C52-1)))))</f>
        <v>17799.0388954968</v>
      </c>
      <c r="V52" s="99" t="n">
        <f aca="false">IF($N$3=1,0,$N$6*(1+$B$10)^(C52-1)-W52)</f>
        <v>156631.542280372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0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-0.0425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0</v>
      </c>
      <c r="K53" s="99" t="n">
        <f aca="false">J53*E53</f>
        <v>-0</v>
      </c>
      <c r="L53" s="99" t="n">
        <f aca="false">J53+K53</f>
        <v>0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0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54732.0446036526</v>
      </c>
      <c r="U53" s="99" t="n">
        <f aca="false">IF(AND($F$3=4,D53&lt;55),0,IF(D53&lt;50,0,IF(A53&lt;2025,$N$5*(1+$B$10)^(C53-1),IF(AND(D53&gt;59,D53&lt;64),$N$5*IF($N$3=2,1.5,1)*(1+$B$10)^(C53-1),$N$5*(1+$B$10)^(C53-1)))))</f>
        <v>18244.0148678842</v>
      </c>
      <c r="V53" s="99" t="n">
        <f aca="false">IF($N$3=1,0,$N$6*(1+$B$10)^(C53-1)-W53)</f>
        <v>160547.330837381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0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-0.0809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0</v>
      </c>
      <c r="K54" s="99" t="n">
        <f aca="false">J54*E54</f>
        <v>-0</v>
      </c>
      <c r="L54" s="99" t="n">
        <f aca="false">J54+K54</f>
        <v>0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0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56100.3457187439</v>
      </c>
      <c r="U54" s="99" t="n">
        <f aca="false">IF(AND($F$3=4,D54&lt;55),0,IF(D54&lt;50,0,IF(A54&lt;2025,$N$5*(1+$B$10)^(C54-1),IF(AND(D54&gt;59,D54&lt;64),$N$5*IF($N$3=2,1.5,1)*(1+$B$10)^(C54-1),$N$5*(1+$B$10)^(C54-1)))))</f>
        <v>18700.1152395813</v>
      </c>
      <c r="V54" s="99" t="n">
        <f aca="false">IF($N$3=1,0,$N$6*(1+$B$10)^(C54-1)-W54)</f>
        <v>164561.014108315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0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70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None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IRA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IRA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1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1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6500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Single</v>
      </c>
      <c r="C5" s="57"/>
      <c r="D5" s="64" t="s">
        <v>16</v>
      </c>
      <c r="E5" s="65" t="str">
        <f aca="false">VLOOKUP($A$14,Scenarios!$A:$CE,HLOOKUP(D5,Scenarios!$1:$2,2,FALSE()),FALSE())</f>
        <v>Monthly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97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159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IRA with Monthly / None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-0.0354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-70800</v>
      </c>
      <c r="L17" s="99" t="n">
        <f aca="false">J17+K17</f>
        <v>1929200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1929200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24000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6500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6500</v>
      </c>
      <c r="X17" s="99" t="n">
        <f aca="false">MIN(U17,R17-W17)</f>
        <v>1000</v>
      </c>
      <c r="Y17" s="99" t="n">
        <f aca="false">MIN(S17,V17)</f>
        <v>0</v>
      </c>
      <c r="Z17" s="99" t="n">
        <f aca="false">W17+X17+Y17</f>
        <v>7500</v>
      </c>
      <c r="AA17" s="100" t="n">
        <f aca="false">Q17+Z17</f>
        <v>1936700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0.1019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1936700</v>
      </c>
      <c r="K18" s="99" t="n">
        <f aca="false">J18*E18</f>
        <v>197349.73</v>
      </c>
      <c r="L18" s="99" t="n">
        <f aca="false">J18+K18</f>
        <v>2134049.73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2134049.73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24000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6662.5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6662.5</v>
      </c>
      <c r="X18" s="99" t="n">
        <f aca="false">MIN(U18,R18-W18)</f>
        <v>1025</v>
      </c>
      <c r="Y18" s="99" t="n">
        <f aca="false">MIN(S18,V18)</f>
        <v>0</v>
      </c>
      <c r="Z18" s="99" t="n">
        <f aca="false">W18+X18+Y18</f>
        <v>7687.5</v>
      </c>
      <c r="AA18" s="100" t="n">
        <f aca="false">Q18+W18+X18+Y18</f>
        <v>2141737.23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0.1698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2141737.23</v>
      </c>
      <c r="K19" s="99" t="n">
        <f aca="false">J19*E19</f>
        <v>363666.981654</v>
      </c>
      <c r="L19" s="99" t="n">
        <f aca="false">J19+K19</f>
        <v>2505404.211654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2505404.211654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24000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6829.0625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6829.0625</v>
      </c>
      <c r="X19" s="99" t="n">
        <f aca="false">MIN(U19,R19-W19)</f>
        <v>1050.625</v>
      </c>
      <c r="Y19" s="99" t="n">
        <f aca="false">MIN(S19,V19)</f>
        <v>0</v>
      </c>
      <c r="Z19" s="99" t="n">
        <f aca="false">W19+X19+Y19</f>
        <v>7879.6875</v>
      </c>
      <c r="AA19" s="100" t="n">
        <f aca="false">Q19+W19+X19+Y19</f>
        <v>2513283.899154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-0.0257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2513283.899154</v>
      </c>
      <c r="K20" s="99" t="n">
        <f aca="false">J20*E20</f>
        <v>-64591.3962082578</v>
      </c>
      <c r="L20" s="99" t="n">
        <f aca="false">J20+K20</f>
        <v>2448692.50294574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2448692.50294574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24000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6999.7890625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6999.7890625</v>
      </c>
      <c r="X20" s="99" t="n">
        <f aca="false">MIN(U20,R20-W20)</f>
        <v>1076.890625</v>
      </c>
      <c r="Y20" s="99" t="n">
        <f aca="false">MIN(S20,V20)</f>
        <v>0</v>
      </c>
      <c r="Z20" s="99" t="n">
        <f aca="false">W20+X20+Y20</f>
        <v>8076.6796875</v>
      </c>
      <c r="AA20" s="100" t="n">
        <f aca="false">Q20+W20+X20+Y20</f>
        <v>2456769.18263324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0.0912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2456769.18263324</v>
      </c>
      <c r="K21" s="99" t="n">
        <f aca="false">J21*E21</f>
        <v>224057.349456152</v>
      </c>
      <c r="L21" s="99" t="n">
        <f aca="false">J21+K21</f>
        <v>2680826.53208939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2570445.24302689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7174.7837890625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0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2570445.24302689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0.0479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2570445.24302689</v>
      </c>
      <c r="K22" s="99" t="n">
        <f aca="false">J22*E22</f>
        <v>123124.327140988</v>
      </c>
      <c r="L22" s="99" t="n">
        <f aca="false">J22+K22</f>
        <v>2693569.57016788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2580428.74887882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7354.15338378906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0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2580428.74887882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0.0213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2580428.74887882</v>
      </c>
      <c r="K23" s="99" t="n">
        <f aca="false">J23*E23</f>
        <v>54963.1323511189</v>
      </c>
      <c r="L23" s="99" t="n">
        <f aca="false">J23+K23</f>
        <v>2635391.88122994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2519422.53940865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7538.00721838378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0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2519422.53940865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0.11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2519422.53940865</v>
      </c>
      <c r="K24" s="99" t="n">
        <f aca="false">J24*E24</f>
        <v>277136.479334951</v>
      </c>
      <c r="L24" s="99" t="n">
        <f aca="false">J24+K24</f>
        <v>2796559.0187436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2677690.44337678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7726.45739884338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0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2677690.44337678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0.0802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2677690.44337678</v>
      </c>
      <c r="K25" s="99" t="n">
        <f aca="false">J25*E25</f>
        <v>214750.773558818</v>
      </c>
      <c r="L25" s="99" t="n">
        <f aca="false">J25+K25</f>
        <v>2892441.2169356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2770600.92718461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7919.61883381446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0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2770600.92718461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0.0818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2770600.92718461</v>
      </c>
      <c r="K26" s="99" t="n">
        <f aca="false">J26*E26</f>
        <v>226635.155843701</v>
      </c>
      <c r="L26" s="99" t="n">
        <f aca="false">J26+K26</f>
        <v>2997236.08302831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2872349.78603354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8117.60930465982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0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2872349.78603354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0.1008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2872349.78603354</v>
      </c>
      <c r="K27" s="99" t="n">
        <f aca="false">J27*E27</f>
        <v>289532.858432181</v>
      </c>
      <c r="L27" s="99" t="n">
        <f aca="false">J27+K27</f>
        <v>3161882.64446572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3033874.19004608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8320.54953727632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0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3033874.19004608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-0.0492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3033874.19004608</v>
      </c>
      <c r="K28" s="99" t="n">
        <f aca="false">J28*E28</f>
        <v>-149266.610150267</v>
      </c>
      <c r="L28" s="99" t="n">
        <f aca="false">J28+K28</f>
        <v>2884607.57989582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2753398.91411569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8528.56327570823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0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2753398.91411569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0.0123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2753398.91411569</v>
      </c>
      <c r="K29" s="99" t="n">
        <f aca="false">J29*E29</f>
        <v>33866.806643623</v>
      </c>
      <c r="L29" s="99" t="n">
        <f aca="false">J29+K29</f>
        <v>2787265.72075931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2652776.83833468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8741.77735760093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0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2652776.83833468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0.0641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2652776.83833468</v>
      </c>
      <c r="K30" s="99" t="n">
        <f aca="false">J30*E30</f>
        <v>170042.995337253</v>
      </c>
      <c r="L30" s="99" t="n">
        <f aca="false">J30+K30</f>
        <v>2822819.83367194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2684968.72918669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8960.32179154095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0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2684968.72918669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0.1071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2684968.72918669</v>
      </c>
      <c r="K31" s="99" t="n">
        <f aca="false">J31*E31</f>
        <v>287560.150895895</v>
      </c>
      <c r="L31" s="99" t="n">
        <f aca="false">J31+K31</f>
        <v>2972528.88008259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109145.070292142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2831231.49798521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9184.32983632948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0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2831231.49798521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0.0651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2831231.49798521</v>
      </c>
      <c r="K32" s="99" t="n">
        <f aca="false">J32*E32</f>
        <v>184313.170518837</v>
      </c>
      <c r="L32" s="99" t="n">
        <f aca="false">J32+K32</f>
        <v>3015544.66850405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119461.244640726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2870714.85185424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9413.93808223771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0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2870714.85185424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2870714.85185424</v>
      </c>
      <c r="K33" s="99" t="n">
        <f aca="false">J33*E33</f>
        <v>229657.188148339</v>
      </c>
      <c r="L33" s="99" t="n">
        <f aca="false">J33+K33</f>
        <v>3100372.04000258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125358.727155207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2951921.47793652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9649.28653429366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0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2951921.47793652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0.0311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2951921.47793652</v>
      </c>
      <c r="K34" s="99" t="n">
        <f aca="false">J34*E34</f>
        <v>91804.7579638257</v>
      </c>
      <c r="L34" s="99" t="n">
        <f aca="false">J34+K34</f>
        <v>3043726.23590034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134178.248997114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2891564.40978264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9890.51869765099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0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2891564.40978264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0.0563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2891564.40978264</v>
      </c>
      <c r="K35" s="99" t="n">
        <f aca="false">J35*E35</f>
        <v>162795.076270762</v>
      </c>
      <c r="L35" s="99" t="n">
        <f aca="false">J35+K35</f>
        <v>3054359.4860534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137040.967288277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2898393.61428275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10137.7816650923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0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2898393.61428275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0.0272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2898393.61428275</v>
      </c>
      <c r="K36" s="99" t="n">
        <f aca="false">J36*E36</f>
        <v>78836.3063084908</v>
      </c>
      <c r="L36" s="99" t="n">
        <f aca="false">J36+K36</f>
        <v>2977229.92059124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143484.832390235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2817364.90202632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10391.2262067196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0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2817364.90202632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0.1648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2817364.90202632</v>
      </c>
      <c r="K37" s="99" t="n">
        <f aca="false">J37*E37</f>
        <v>464301.735853938</v>
      </c>
      <c r="L37" s="99" t="n">
        <f aca="false">J37+K37</f>
        <v>3281666.63788026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145224.994949811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3117804.99385122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10651.0068618876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0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3117804.99385122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-0.0675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3117804.99385122</v>
      </c>
      <c r="K38" s="99" t="n">
        <f aca="false">J38*E38</f>
        <v>-210451.837084958</v>
      </c>
      <c r="L38" s="99" t="n">
        <f aca="false">J38+K38</f>
        <v>2907353.15676627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168529.999667634</v>
      </c>
      <c r="O38" s="99" t="n">
        <f aca="false">IF(D38&gt;$B$4,0,IF(D38&lt;$B$3,0,$B$8*(1+$B$10)^(C38-1)))</f>
        <v>167958.185129765</v>
      </c>
      <c r="P38" s="99" t="n">
        <f aca="false">MAX(N38,O38)</f>
        <v>168529.999667634</v>
      </c>
      <c r="Q38" s="99" t="n">
        <f aca="false">MAX(0,L38-P38)</f>
        <v>2738823.15709863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10917.2820334348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0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2738823.15709863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0.1328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2738823.15709863</v>
      </c>
      <c r="K39" s="99" t="n">
        <f aca="false">J39*E39</f>
        <v>363715.715262698</v>
      </c>
      <c r="L39" s="99" t="n">
        <f aca="false">J39+K39</f>
        <v>3102538.87236133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154735.771587493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2930381.73260332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11190.2140842706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0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2930381.73260332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0.0458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2930381.73260332</v>
      </c>
      <c r="K40" s="99" t="n">
        <f aca="false">J40*E40</f>
        <v>134211.483353232</v>
      </c>
      <c r="L40" s="99" t="n">
        <f aca="false">J40+K40</f>
        <v>3064593.21595655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174427.484083531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2888132.14770459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11469.9694363774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0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2888132.14770459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0.0904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2888132.14770459</v>
      </c>
      <c r="K41" s="99" t="n">
        <f aca="false">J41*E41</f>
        <v>261087.146152495</v>
      </c>
      <c r="L41" s="99" t="n">
        <f aca="false">J41+K41</f>
        <v>3149219.29385709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180508.259231537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2968346.69889883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11756.7186722868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0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2968346.69889883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0.0678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2968346.69889883</v>
      </c>
      <c r="K42" s="99" t="n">
        <f aca="false">J42*E42</f>
        <v>201253.906185341</v>
      </c>
      <c r="L42" s="99" t="n">
        <f aca="false">J42+K42</f>
        <v>3169600.60508417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195285.967032818</v>
      </c>
      <c r="O42" s="99" t="n">
        <f aca="false">IF(D42&gt;$B$4,0,IF(D42&lt;$B$3,0,$B$8*(1+$B$10)^(C42-1)))</f>
        <v>185394.409832215</v>
      </c>
      <c r="P42" s="99" t="n">
        <f aca="false">MAX(N42,O42)</f>
        <v>195285.967032818</v>
      </c>
      <c r="Q42" s="99" t="n">
        <f aca="false">MAX(0,L42-P42)</f>
        <v>2974314.63805135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12050.636639094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0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2974314.63805135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0.0533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2974314.63805135</v>
      </c>
      <c r="K43" s="99" t="n">
        <f aca="false">J43*E43</f>
        <v>158530.970208137</v>
      </c>
      <c r="L43" s="99" t="n">
        <f aca="false">J43+K43</f>
        <v>3132845.60825949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206549.627642455</v>
      </c>
      <c r="O43" s="99" t="n">
        <f aca="false">IF(D43&gt;$B$4,0,IF(D43&lt;$B$3,0,$B$8*(1+$B$10)^(C43-1)))</f>
        <v>190029.270078021</v>
      </c>
      <c r="P43" s="99" t="n">
        <f aca="false">MAX(N43,O43)</f>
        <v>206549.627642455</v>
      </c>
      <c r="Q43" s="99" t="n">
        <f aca="false">MAX(0,L43-P43)</f>
        <v>2926295.98061703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12351.9025550713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0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2926295.98061703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0.0742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2926295.98061703</v>
      </c>
      <c r="K44" s="99" t="n">
        <f aca="false">J44*E44</f>
        <v>217131.161761784</v>
      </c>
      <c r="L44" s="99" t="n">
        <f aca="false">J44+K44</f>
        <v>3143427.14237882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213598.246760367</v>
      </c>
      <c r="O44" s="99" t="n">
        <f aca="false">IF(D44&gt;$B$4,0,IF(D44&lt;$B$3,0,$B$8*(1+$B$10)^(C44-1)))</f>
        <v>194780.001829971</v>
      </c>
      <c r="P44" s="99" t="n">
        <f aca="false">MAX(N44,O44)</f>
        <v>213598.246760367</v>
      </c>
      <c r="Q44" s="99" t="n">
        <f aca="false">MAX(0,L44-P44)</f>
        <v>2929828.89561845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12660.7001189481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0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2929828.89561845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0.065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2929828.89561845</v>
      </c>
      <c r="K45" s="99" t="n">
        <f aca="false">J45*E45</f>
        <v>190438.878215199</v>
      </c>
      <c r="L45" s="99" t="n">
        <f aca="false">J45+K45</f>
        <v>3120267.77383365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227118.51904019</v>
      </c>
      <c r="O45" s="99" t="n">
        <f aca="false">IF(D45&gt;$B$4,0,IF(D45&lt;$B$3,0,$B$8*(1+$B$10)^(C45-1)))</f>
        <v>199649.50187572</v>
      </c>
      <c r="P45" s="99" t="n">
        <f aca="false">MAX(N45,O45)</f>
        <v>227118.51904019</v>
      </c>
      <c r="Q45" s="99" t="n">
        <f aca="false">MAX(0,L45-P45)</f>
        <v>2893149.25479346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12977.2176219218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0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2893149.25479346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-0.035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2893149.25479346</v>
      </c>
      <c r="K46" s="99" t="n">
        <f aca="false">J46*E46</f>
        <v>-101260.223917771</v>
      </c>
      <c r="L46" s="99" t="n">
        <f aca="false">J46+K46</f>
        <v>2791889.03087569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237143.381540447</v>
      </c>
      <c r="O46" s="99" t="n">
        <f aca="false">IF(D46&gt;$B$4,0,IF(D46&lt;$B$3,0,$B$8*(1+$B$10)^(C46-1)))</f>
        <v>204640.739422613</v>
      </c>
      <c r="P46" s="99" t="n">
        <f aca="false">MAX(N46,O46)</f>
        <v>237143.381540447</v>
      </c>
      <c r="Q46" s="99" t="n">
        <f aca="false">MAX(0,L46-P46)</f>
        <v>2554745.64933524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13301.6480624699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0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2554745.64933524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0.08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2554745.64933524</v>
      </c>
      <c r="K47" s="99" t="n">
        <f aca="false">J47*E47</f>
        <v>204379.651946819</v>
      </c>
      <c r="L47" s="99" t="n">
        <f aca="false">J47+K47</f>
        <v>2759125.30128206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2759125.30128206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13634.1892640316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0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2759125.30128206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0.0542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2759125.30128206</v>
      </c>
      <c r="K48" s="99" t="n">
        <f aca="false">J48*E48</f>
        <v>149544.591329488</v>
      </c>
      <c r="L48" s="99" t="n">
        <f aca="false">J48+K48</f>
        <v>2908669.89261155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2908669.89261155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13975.0439956324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0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2908669.89261155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0.0791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2908669.89261155</v>
      </c>
      <c r="K49" s="99" t="n">
        <f aca="false">J49*E49</f>
        <v>230075.788505573</v>
      </c>
      <c r="L49" s="99" t="n">
        <f aca="false">J49+K49</f>
        <v>3138745.68111712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3138745.68111712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14324.4200955232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0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3138745.68111712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0.0377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3138745.68111712</v>
      </c>
      <c r="K50" s="99" t="n">
        <f aca="false">J50*E50</f>
        <v>118330.712178115</v>
      </c>
      <c r="L50" s="99" t="n">
        <f aca="false">J50+K50</f>
        <v>3257076.39329524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3257076.39329524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14682.5305979113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0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3257076.39329524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0.0919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3257076.39329524</v>
      </c>
      <c r="K51" s="99" t="n">
        <f aca="false">J51*E51</f>
        <v>299325.320543832</v>
      </c>
      <c r="L51" s="99" t="n">
        <f aca="false">J51+K51</f>
        <v>3556401.71383907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3556401.71383907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15049.5938628591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0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3556401.71383907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0.0337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3556401.71383907</v>
      </c>
      <c r="K52" s="99" t="n">
        <f aca="false">J52*E52</f>
        <v>119850.737756377</v>
      </c>
      <c r="L52" s="99" t="n">
        <f aca="false">J52+K52</f>
        <v>3676252.45159544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3676252.45159544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15425.8337094305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0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3676252.45159544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0.045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3676252.45159544</v>
      </c>
      <c r="K53" s="99" t="n">
        <f aca="false">J53*E53</f>
        <v>165431.360321795</v>
      </c>
      <c r="L53" s="99" t="n">
        <f aca="false">J53+K53</f>
        <v>3841683.81191724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3841683.81191724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15811.4795521663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0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3841683.81191724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0.11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3841683.81191724</v>
      </c>
      <c r="K54" s="99" t="n">
        <f aca="false">J54*E54</f>
        <v>422585.219310896</v>
      </c>
      <c r="L54" s="99" t="n">
        <f aca="false">J54+K54</f>
        <v>4264269.03122814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4264269.03122814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16206.7665409705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0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4264269.03122814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8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0" width="12.17"/>
    <col collapsed="false" customWidth="true" hidden="false" outlineLevel="0" max="4" min="4" style="0" width="35.84"/>
    <col collapsed="false" customWidth="true" hidden="false" outlineLevel="0" max="5" min="5" style="0" width="23.16"/>
    <col collapsed="false" customWidth="true" hidden="false" outlineLevel="0" max="6" min="6" style="0" width="14.16"/>
    <col collapsed="false" customWidth="true" hidden="false" outlineLevel="0" max="7" min="7" style="0" width="35"/>
    <col collapsed="false" customWidth="true" hidden="false" outlineLevel="0" max="8" min="8" style="0" width="21.33"/>
    <col collapsed="false" customWidth="true" hidden="false" outlineLevel="0" max="9" min="9" style="0" width="3.5"/>
    <col collapsed="false" customWidth="true" hidden="false" outlineLevel="0" max="10" min="10" style="0" width="50.16"/>
    <col collapsed="false" customWidth="true" hidden="false" outlineLevel="0" max="11" min="11" style="0" width="19.33"/>
    <col collapsed="false" customWidth="true" hidden="false" outlineLevel="0" max="12" min="12" style="0" width="14.83"/>
    <col collapsed="false" customWidth="true" hidden="false" outlineLevel="0" max="13" min="13" style="0" width="33.16"/>
    <col collapsed="false" customWidth="true" hidden="false" outlineLevel="0" max="14" min="14" style="0" width="19.83"/>
    <col collapsed="false" customWidth="true" hidden="false" outlineLevel="0" max="15" min="15" style="0" width="18.16"/>
    <col collapsed="false" customWidth="true" hidden="false" outlineLevel="0" max="22" min="16" style="0" width="11.83"/>
    <col collapsed="false" customWidth="true" hidden="false" outlineLevel="0" max="26" min="23" style="0" width="14.16"/>
    <col collapsed="false" customWidth="true" hidden="false" outlineLevel="0" max="27" min="27" style="1" width="15.66"/>
    <col collapsed="false" customWidth="true" hidden="false" outlineLevel="0" max="28" min="28" style="0" width="3.5"/>
    <col collapsed="false" customWidth="true" hidden="false" outlineLevel="0" max="29" min="29" style="54" width="13.83"/>
    <col collapsed="false" customWidth="true" hidden="false" outlineLevel="0" max="30" min="30" style="54" width="11.67"/>
    <col collapsed="false" customWidth="true" hidden="false" outlineLevel="0" max="35" min="34" style="0" width="13"/>
    <col collapsed="false" customWidth="true" hidden="false" outlineLevel="0" max="36" min="36" style="0" width="5.51"/>
    <col collapsed="false" customWidth="true" hidden="false" outlineLevel="0" max="38" min="38" style="0" width="15.66"/>
    <col collapsed="false" customWidth="true" hidden="false" outlineLevel="0" max="41" min="41" style="0" width="12.17"/>
  </cols>
  <sheetData>
    <row r="1" s="59" customFormat="true" ht="15.75" hidden="false" customHeight="false" outlineLevel="0" collapsed="false">
      <c r="A1" s="55" t="s">
        <v>54</v>
      </c>
      <c r="B1" s="56" t="s">
        <v>55</v>
      </c>
      <c r="C1" s="57"/>
      <c r="D1" s="58" t="s">
        <v>56</v>
      </c>
      <c r="E1" s="58"/>
      <c r="G1" s="58" t="s">
        <v>57</v>
      </c>
      <c r="I1" s="60"/>
      <c r="J1" s="58" t="s">
        <v>58</v>
      </c>
      <c r="K1" s="61" t="s">
        <v>59</v>
      </c>
      <c r="M1" s="58"/>
      <c r="AA1" s="57"/>
      <c r="AB1" s="60"/>
      <c r="AD1" s="60"/>
      <c r="AE1" s="60"/>
      <c r="AF1" s="60"/>
      <c r="AG1" s="60"/>
      <c r="AH1" s="60"/>
      <c r="AI1" s="60"/>
      <c r="AJ1" s="60"/>
    </row>
    <row r="2" s="59" customFormat="true" ht="16.5" hidden="false" customHeight="false" outlineLevel="0" collapsed="false">
      <c r="A2" s="62" t="s">
        <v>2</v>
      </c>
      <c r="B2" s="63" t="n">
        <f aca="false">VLOOKUP($A$14,Scenarios!$A:$CE,HLOOKUP(A2,Scenarios!$1:$2,2,FALSE()),FALSE())</f>
        <v>61</v>
      </c>
      <c r="C2" s="57"/>
      <c r="D2" s="64" t="s">
        <v>13</v>
      </c>
      <c r="E2" s="65" t="str">
        <f aca="false">VLOOKUP($A$14,Scenarios!$A:$CE,HLOOKUP(D2,Scenarios!$1:$2,2,FALSE()),FALSE())</f>
        <v>Qualified</v>
      </c>
      <c r="G2" s="66" t="s">
        <v>23</v>
      </c>
      <c r="H2" s="67" t="str">
        <f aca="false">VLOOKUP($A$14,Scenarios!$A:$CE,HLOOKUP(G2,Scenarios!$1:$2,2,FALSE()),FALSE())</f>
        <v>None</v>
      </c>
      <c r="J2" s="68" t="s">
        <v>60</v>
      </c>
      <c r="K2" s="69" t="n">
        <f aca="false">Tables!B3</f>
        <v>22500</v>
      </c>
      <c r="M2" s="70" t="s">
        <v>14</v>
      </c>
      <c r="N2" s="71" t="str">
        <f aca="false">E3</f>
        <v>IRA</v>
      </c>
      <c r="AA2" s="57"/>
    </row>
    <row r="3" s="59" customFormat="true" ht="16.5" hidden="false" customHeight="false" outlineLevel="0" collapsed="false">
      <c r="A3" s="62" t="s">
        <v>3</v>
      </c>
      <c r="B3" s="63" t="n">
        <f aca="false">VLOOKUP($A$14,Scenarios!$A:$CE,HLOOKUP(A3,Scenarios!$1:$2,2,FALSE()),FALSE())</f>
        <v>65</v>
      </c>
      <c r="C3" s="57"/>
      <c r="D3" s="64" t="s">
        <v>14</v>
      </c>
      <c r="E3" s="72" t="str">
        <f aca="false">VLOOKUP($A$14,Scenarios!$A:$CE,HLOOKUP(D3,Scenarios!$1:$2,2,FALSE()),FALSE())</f>
        <v>IRA</v>
      </c>
      <c r="F3" s="57" t="n">
        <f aca="false">IF(OR(E3="IRA",E3="Roth IRA"),1,IF(OR(E3="401k",E3="Roth 401k",E3="403b",E3="Roth 403b",E3="401a",E3="SEP",E3="Roth SEP"),2,IF(OR(E3="SIMPLE", E3="Roth SIMPLE"),3,IF(E3="Health Savings Account",4,IF(OR(E3="457b",E3="Roth 457b"),6,5)))))</f>
        <v>1</v>
      </c>
      <c r="G3" s="66" t="s">
        <v>24</v>
      </c>
      <c r="H3" s="73" t="n">
        <f aca="false">VLOOKUP($A$14,Scenarios!$A:$CE,HLOOKUP(G3,Scenarios!$1:$2,2,FALSE()),FALSE())</f>
        <v>0</v>
      </c>
      <c r="J3" s="68" t="s">
        <v>61</v>
      </c>
      <c r="K3" s="69" t="n">
        <f aca="false">Tables!B4</f>
        <v>7500</v>
      </c>
      <c r="M3" s="70" t="s">
        <v>62</v>
      </c>
      <c r="N3" s="71" t="n">
        <f aca="false">F3</f>
        <v>1</v>
      </c>
      <c r="AA3" s="57"/>
    </row>
    <row r="4" s="59" customFormat="true" ht="16.5" hidden="false" customHeight="false" outlineLevel="0" collapsed="false">
      <c r="A4" s="74" t="s">
        <v>4</v>
      </c>
      <c r="B4" s="63" t="n">
        <f aca="false">VLOOKUP($A$14,Scenarios!$A:$CE,HLOOKUP(A4,Scenarios!$1:$2,2,FALSE()),FALSE())</f>
        <v>90</v>
      </c>
      <c r="C4" s="57"/>
      <c r="D4" s="64" t="s">
        <v>15</v>
      </c>
      <c r="E4" s="72" t="n">
        <f aca="false">VLOOKUP($A$14,Scenarios!$A:$CE,HLOOKUP(D4,Scenarios!$1:$2,2,FALSE()),FALSE())</f>
        <v>2000000</v>
      </c>
      <c r="F4" s="57" t="str">
        <f aca="false">IF(OR(E3="Roth IRA",E3="Roth 401k",E3="Roth 403b",E3="Roth 457b",E3="Roth SIMPLE",E3="Roth SEP"),"Roth","")</f>
        <v/>
      </c>
      <c r="G4" s="66" t="s">
        <v>25</v>
      </c>
      <c r="H4" s="67" t="n">
        <f aca="false">VLOOKUP($A$14,Scenarios!$A:$CE,HLOOKUP(G4,Scenarios!$1:$2,2,FALSE()),FALSE())</f>
        <v>0</v>
      </c>
      <c r="J4" s="68" t="s">
        <v>63</v>
      </c>
      <c r="K4" s="69" t="n">
        <f aca="false">Tables!B5</f>
        <v>66000</v>
      </c>
      <c r="M4" s="75" t="s">
        <v>64</v>
      </c>
      <c r="N4" s="76" t="n">
        <f aca="false">IF(N3=1,K8,IF(N3=2,K2,IF(N3=3,K6,IF(N3=4,IF(B5="Single",K10,K11),IF(N3=6,K2,99999999)))))</f>
        <v>6500</v>
      </c>
      <c r="AA4" s="57"/>
    </row>
    <row r="5" s="59" customFormat="true" ht="16.5" hidden="false" customHeight="false" outlineLevel="0" collapsed="false">
      <c r="A5" s="74" t="s">
        <v>7</v>
      </c>
      <c r="B5" s="63" t="str">
        <f aca="false">VLOOKUP($A$14,Scenarios!$A:$CE,HLOOKUP(A5,Scenarios!$1:$2,2,FALSE()),FALSE())</f>
        <v>Married</v>
      </c>
      <c r="C5" s="57"/>
      <c r="D5" s="64" t="s">
        <v>16</v>
      </c>
      <c r="E5" s="65" t="str">
        <f aca="false">VLOOKUP($A$14,Scenarios!$A:$CE,HLOOKUP(D5,Scenarios!$1:$2,2,FALSE()),FALSE())</f>
        <v>Annual</v>
      </c>
      <c r="G5" s="66" t="s">
        <v>26</v>
      </c>
      <c r="H5" s="77" t="n">
        <f aca="false">VLOOKUP($A$14,Scenarios!$A:$CE,HLOOKUP(G5,Scenarios!$1:$2,2,FALSE()),FALSE())</f>
        <v>0</v>
      </c>
      <c r="J5" s="68" t="s">
        <v>65</v>
      </c>
      <c r="K5" s="69" t="n">
        <f aca="false">Tables!B6</f>
        <v>22500</v>
      </c>
      <c r="M5" s="75" t="s">
        <v>66</v>
      </c>
      <c r="N5" s="76" t="n">
        <f aca="false">IF(N3=1,K9,IF(N3=2,K3,IF(N3=3,K7,IF(N3=4,K12,IF(N3=6,K3,99999999)))))</f>
        <v>1000</v>
      </c>
      <c r="AA5" s="57"/>
    </row>
    <row r="6" s="59" customFormat="true" ht="16.5" hidden="false" customHeight="false" outlineLevel="0" collapsed="false">
      <c r="A6" s="74" t="s">
        <v>8</v>
      </c>
      <c r="B6" s="78" t="n">
        <f aca="false">VLOOKUP($A$14,Scenarios!$A:$CE,HLOOKUP(A6,Scenarios!$1:$2,2,FALSE()),FALSE())</f>
        <v>0.05</v>
      </c>
      <c r="C6" s="57"/>
      <c r="D6" s="64" t="s">
        <v>17</v>
      </c>
      <c r="E6" s="79" t="n">
        <f aca="false">VLOOKUP($A$14,Scenarios!$A:$CE,HLOOKUP(D6,Scenarios!$1:$2,2,FALSE()),FALSE())</f>
        <v>25000</v>
      </c>
      <c r="G6" s="66" t="s">
        <v>27</v>
      </c>
      <c r="H6" s="67" t="n">
        <f aca="false">VLOOKUP($A$14,Scenarios!$A:$CE,HLOOKUP(G6,Scenarios!$1:$2,2,FALSE()),FALSE())</f>
        <v>0</v>
      </c>
      <c r="J6" s="68" t="s">
        <v>67</v>
      </c>
      <c r="K6" s="69" t="n">
        <f aca="false">Tables!B7</f>
        <v>15500</v>
      </c>
      <c r="M6" s="75" t="s">
        <v>68</v>
      </c>
      <c r="N6" s="76" t="n">
        <f aca="false">IF(N3=1,0,IF(N3=2,K4,IF(OR(N3=3,N3=5),99999999,IF(N3=4, IF(B5="Single",K10,K11),IF(N3=6,K5,0)))))</f>
        <v>0</v>
      </c>
      <c r="AA6" s="57"/>
    </row>
    <row r="7" s="59" customFormat="true" ht="16.5" hidden="false" customHeight="false" outlineLevel="0" collapsed="false">
      <c r="A7" s="74" t="s">
        <v>9</v>
      </c>
      <c r="B7" s="63" t="n">
        <f aca="false">VLOOKUP($A$14,Scenarios!$A:$CE,HLOOKUP(A7,Scenarios!$1:$2,2,FALSE()),FALSE())</f>
        <v>97</v>
      </c>
      <c r="C7" s="57"/>
      <c r="D7" s="64" t="s">
        <v>18</v>
      </c>
      <c r="E7" s="65" t="n">
        <f aca="false">VLOOKUP($A$14,Scenarios!$A:$CE,HLOOKUP(D7,Scenarios!$1:$2,2,FALSE()),FALSE())</f>
        <v>0</v>
      </c>
      <c r="H7" s="60"/>
      <c r="J7" s="68" t="s">
        <v>69</v>
      </c>
      <c r="K7" s="69" t="n">
        <f aca="false">Tables!B8</f>
        <v>3500</v>
      </c>
      <c r="O7" s="80"/>
      <c r="AA7" s="57"/>
    </row>
    <row r="8" s="59" customFormat="true" ht="16.5" hidden="false" customHeight="false" outlineLevel="0" collapsed="false">
      <c r="A8" s="74" t="s">
        <v>10</v>
      </c>
      <c r="B8" s="81" t="n">
        <f aca="false">VLOOKUP($A$14,Scenarios!$A:$CE,HLOOKUP(A8,Scenarios!$1:$2,2,FALSE()),FALSE())</f>
        <v>100000</v>
      </c>
      <c r="C8" s="57"/>
      <c r="D8" s="64" t="s">
        <v>19</v>
      </c>
      <c r="E8" s="79" t="n">
        <f aca="false">VLOOKUP($A$14,Scenarios!$A:$CE,HLOOKUP(D8,Scenarios!$1:$2,2,FALSE()),FALSE())</f>
        <v>0</v>
      </c>
      <c r="J8" s="68" t="s">
        <v>70</v>
      </c>
      <c r="K8" s="69" t="n">
        <f aca="false">Tables!B9</f>
        <v>6500</v>
      </c>
      <c r="M8" s="80"/>
      <c r="N8" s="57"/>
      <c r="O8" s="80"/>
      <c r="AA8" s="57"/>
    </row>
    <row r="9" s="59" customFormat="true" ht="16.5" hidden="false" customHeight="false" outlineLevel="0" collapsed="false">
      <c r="A9" s="74" t="s">
        <v>11</v>
      </c>
      <c r="B9" s="82" t="n">
        <f aca="false">VLOOKUP($A$14,Scenarios!$A:$CE,HLOOKUP(A9,Scenarios!$1:$2,2,FALSE()),FALSE())</f>
        <v>0.18</v>
      </c>
      <c r="C9" s="57"/>
      <c r="D9" s="64" t="s">
        <v>71</v>
      </c>
      <c r="E9" s="79" t="n">
        <f aca="false">VLOOKUP($A$14,Scenarios!$A:$CE,HLOOKUP(D9,Scenarios!$1:$2,2,FALSE()),FALSE())</f>
        <v>99999999</v>
      </c>
      <c r="J9" s="68" t="s">
        <v>72</v>
      </c>
      <c r="K9" s="69" t="n">
        <f aca="false">Tables!B10</f>
        <v>1000</v>
      </c>
      <c r="M9" s="80"/>
      <c r="N9" s="57"/>
      <c r="O9" s="80"/>
      <c r="AA9" s="57"/>
    </row>
    <row r="10" s="59" customFormat="true" ht="16.5" hidden="false" customHeight="false" outlineLevel="0" collapsed="false">
      <c r="A10" s="74" t="s">
        <v>12</v>
      </c>
      <c r="B10" s="78" t="n">
        <f aca="false">VLOOKUP($A$14,Scenarios!$A:$CE,HLOOKUP(A10,Scenarios!$1:$2,2,FALSE()),FALSE())</f>
        <v>0.025</v>
      </c>
      <c r="C10" s="83"/>
      <c r="D10" s="64" t="s">
        <v>21</v>
      </c>
      <c r="E10" s="65" t="n">
        <f aca="false">VLOOKUP($A$14,Scenarios!$A:$CE,HLOOKUP(D10,Scenarios!$1:$2,2,FALSE()),FALSE())</f>
        <v>0</v>
      </c>
      <c r="J10" s="68" t="s">
        <v>73</v>
      </c>
      <c r="K10" s="69" t="n">
        <f aca="false">Tables!B11</f>
        <v>3850</v>
      </c>
      <c r="M10" s="80"/>
      <c r="AA10" s="57"/>
    </row>
    <row r="11" s="59" customFormat="true" ht="16.5" hidden="false" customHeight="false" outlineLevel="0" collapsed="false">
      <c r="A11" s="74" t="s">
        <v>5</v>
      </c>
      <c r="B11" s="84" t="n">
        <f aca="false">VLOOKUP($A$14,Scenarios!$A:$CE,HLOOKUP(A11,Scenarios!$1:$2,2,FALSE()),FALSE())</f>
        <v>100000</v>
      </c>
      <c r="C11" s="83"/>
      <c r="D11" s="64" t="s">
        <v>22</v>
      </c>
      <c r="E11" s="65" t="n">
        <f aca="false">VLOOKUP($A$14,Scenarios!$A:$CE,HLOOKUP(D11,Scenarios!$1:$2,2,FALSE()),FALSE())</f>
        <v>1</v>
      </c>
      <c r="I11" s="85"/>
      <c r="J11" s="68" t="s">
        <v>74</v>
      </c>
      <c r="K11" s="69" t="n">
        <f aca="false">Tables!B12</f>
        <v>7750</v>
      </c>
      <c r="AA11" s="86"/>
      <c r="AB11" s="85"/>
    </row>
    <row r="12" s="59" customFormat="true" ht="15.75" hidden="false" customHeight="false" outlineLevel="0" collapsed="false">
      <c r="A12" s="74" t="s">
        <v>6</v>
      </c>
      <c r="B12" s="78" t="n">
        <f aca="false">VLOOKUP($A$14,Scenarios!$A:$CE,HLOOKUP(A12,Scenarios!$1:$2,2,FALSE()),FALSE())</f>
        <v>0.02</v>
      </c>
      <c r="C12" s="83"/>
      <c r="D12" s="83"/>
      <c r="E12" s="83"/>
      <c r="I12" s="85"/>
      <c r="J12" s="68" t="s">
        <v>75</v>
      </c>
      <c r="K12" s="69" t="n">
        <f aca="false">Tables!B13</f>
        <v>1000</v>
      </c>
      <c r="AA12" s="86"/>
      <c r="AB12" s="85"/>
    </row>
    <row r="13" s="59" customFormat="true" ht="15.75" hidden="false" customHeight="false" outlineLevel="0" collapsed="false">
      <c r="B13" s="83"/>
      <c r="C13" s="83"/>
      <c r="D13" s="83"/>
      <c r="E13" s="83"/>
      <c r="I13" s="85"/>
      <c r="J13" s="68" t="s">
        <v>76</v>
      </c>
      <c r="K13" s="69" t="n">
        <v>145000</v>
      </c>
      <c r="AA13" s="86"/>
      <c r="AB13" s="85"/>
    </row>
    <row r="14" s="59" customFormat="true" ht="15.75" hidden="false" customHeight="false" outlineLevel="0" collapsed="false">
      <c r="A14" s="87" t="s">
        <v>160</v>
      </c>
      <c r="B14" s="83"/>
      <c r="C14" s="83"/>
      <c r="D14" s="83"/>
      <c r="E14" s="83"/>
      <c r="I14" s="85"/>
      <c r="J14" s="85"/>
      <c r="L14" s="88"/>
      <c r="AA14" s="86"/>
      <c r="AB14" s="85"/>
    </row>
    <row r="15" s="59" customFormat="true" ht="15" hidden="false" customHeight="false" outlineLevel="0" collapsed="false">
      <c r="A15" s="89" t="str">
        <f aca="false">VLOOKUP($A$14,Scenarios!A:M,2,FALSE())</f>
        <v>IRA with Annual / None</v>
      </c>
      <c r="B15" s="90"/>
      <c r="C15" s="83"/>
      <c r="J15" s="59" t="s">
        <v>78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57"/>
    </row>
    <row r="16" customFormat="false" ht="63.75" hidden="false" customHeight="false" outlineLevel="0" collapsed="false">
      <c r="A16" s="92" t="s">
        <v>79</v>
      </c>
      <c r="B16" s="92" t="s">
        <v>80</v>
      </c>
      <c r="C16" s="93" t="s">
        <v>81</v>
      </c>
      <c r="D16" s="93" t="s">
        <v>82</v>
      </c>
      <c r="E16" s="93" t="s">
        <v>83</v>
      </c>
      <c r="F16" s="93" t="s">
        <v>84</v>
      </c>
      <c r="G16" s="93" t="s">
        <v>85</v>
      </c>
      <c r="H16" s="93" t="s">
        <v>86</v>
      </c>
      <c r="I16" s="93"/>
      <c r="J16" s="93" t="s">
        <v>87</v>
      </c>
      <c r="K16" s="93" t="s">
        <v>88</v>
      </c>
      <c r="L16" s="93" t="s">
        <v>89</v>
      </c>
      <c r="M16" s="93" t="s">
        <v>90</v>
      </c>
      <c r="N16" s="93" t="s">
        <v>91</v>
      </c>
      <c r="O16" s="93" t="s">
        <v>92</v>
      </c>
      <c r="P16" s="93" t="s">
        <v>93</v>
      </c>
      <c r="Q16" s="93" t="s">
        <v>94</v>
      </c>
      <c r="R16" s="93" t="s">
        <v>95</v>
      </c>
      <c r="S16" s="93" t="s">
        <v>96</v>
      </c>
      <c r="T16" s="93" t="s">
        <v>97</v>
      </c>
      <c r="U16" s="93" t="s">
        <v>98</v>
      </c>
      <c r="V16" s="93" t="s">
        <v>99</v>
      </c>
      <c r="W16" s="93" t="s">
        <v>100</v>
      </c>
      <c r="X16" s="93" t="s">
        <v>101</v>
      </c>
      <c r="Y16" s="93" t="s">
        <v>102</v>
      </c>
      <c r="Z16" s="93" t="s">
        <v>103</v>
      </c>
      <c r="AA16" s="93" t="s">
        <v>104</v>
      </c>
      <c r="AB16" s="93"/>
      <c r="AC16" s="59"/>
      <c r="AD16" s="59"/>
      <c r="AE16" s="59"/>
      <c r="AF16" s="59"/>
      <c r="AG16" s="59"/>
      <c r="AH16" s="59"/>
      <c r="AI16" s="59"/>
      <c r="AJ16" s="59"/>
      <c r="AK16" s="59"/>
    </row>
    <row r="17" customFormat="false" ht="15.75" hidden="false" customHeight="false" outlineLevel="0" collapsed="false">
      <c r="A17" s="94" t="n">
        <f aca="true">YEAR(TODAY())</f>
        <v>2023</v>
      </c>
      <c r="B17" s="95" t="n">
        <f aca="true">TODAY()</f>
        <v>45016</v>
      </c>
      <c r="C17" s="96" t="n">
        <v>1</v>
      </c>
      <c r="D17" s="94" t="n">
        <f aca="false">B2</f>
        <v>61</v>
      </c>
      <c r="E17" s="97" t="n">
        <f aca="false">HLOOKUP($B$6,'RetireUp Market Returns'!A:CT,(1+$B$7+C17),FALSE())</f>
        <v>-0.0354</v>
      </c>
      <c r="F17" s="97" t="n">
        <f aca="false">$B$10</f>
        <v>0.025</v>
      </c>
      <c r="G17" s="98" t="n">
        <v>1</v>
      </c>
      <c r="H17" s="99" t="n">
        <f aca="false">$B$11*(1+$B$12)^(C17-1)</f>
        <v>100000</v>
      </c>
      <c r="I17" s="93"/>
      <c r="J17" s="100" t="n">
        <f aca="false">IF(C17=1,E4,AA16)</f>
        <v>2000000</v>
      </c>
      <c r="K17" s="99" t="n">
        <f aca="false">J17*E17</f>
        <v>-70800</v>
      </c>
      <c r="L17" s="99" t="n">
        <f aca="false">J17+K17</f>
        <v>1929200</v>
      </c>
      <c r="M17" s="101" t="str">
        <f aca="false">IF(D17="-","-",IF($F$4="Roth","-",IF($E$3="Health Savings Account","-",IF(AND(A17=2033,D17=74),VLOOKUP(D17,Tables!G:H,2,FALSE()),IF(AND(A17&gt;2032,D17&lt;75),"-",IF(D17&lt;73,"-",VLOOKUP(D17,Tables!G:H,2,FALSE())))))))</f>
        <v>-</v>
      </c>
      <c r="N17" s="99" t="n">
        <f aca="false">IF($M17="-",0,J17/$M17)</f>
        <v>0</v>
      </c>
      <c r="O17" s="99" t="n">
        <f aca="false">IF(D17&gt;$B$4,0,IF(D17&lt;$B$3,0,$B$8*(1+$B$10)^(C17-1)))</f>
        <v>0</v>
      </c>
      <c r="P17" s="99" t="n">
        <f aca="false">MAX(N17,O17)</f>
        <v>0</v>
      </c>
      <c r="Q17" s="99" t="n">
        <f aca="false">MAX(0,L17-P17)</f>
        <v>1929200</v>
      </c>
      <c r="R17" s="99" t="n">
        <f aca="false">IF($E$5="None",0,IF(D17&gt;=$B$3,0,IF($E$5="Monthly",MIN((($E$6+$E$8*(C17-1))*12),$E$9*12),IF($E$5="Annual",MIN((($E$6+$E$8*(C17-1))),$E$9),IF($E$5="% of Salary",MIN(($E$7+$E$10*(C17-1))*H17,$E$11*H17),IF($E$5="Maximum Allowable",T17+U17,0))))))</f>
        <v>25000</v>
      </c>
      <c r="S17" s="99" t="n">
        <f aca="false">IF($H$2="None",0,IF($N$3=1,0,IF(D17&gt;=$B$3,0,IF($H$2="Monthly",($H$3*12),IF($H$2="Annual",$H$3,IF($H$2="% of Salary",$H$4*H17,IF($H$2="Match",MIN($H$5*W17,$H$6*H17),IF($H$2="Maximum Allowable",V17,0))))))))</f>
        <v>0</v>
      </c>
      <c r="T17" s="99" t="n">
        <f aca="false">$N$4*(1+$B$10)^(C17-1)</f>
        <v>6500</v>
      </c>
      <c r="U17" s="99" t="n">
        <f aca="false">IF(AND($F$3=4,D17&lt;55),0,IF(D17&lt;50,0,IF(A17&lt;2025,$N$5*(1+$B$10)^(C17-1),IF(AND(D17&gt;59,D17&lt;64),$N$5*IF($N$3=2,1.5,1)*(1+$B$10)^(C17-1),$N$5*(1+$B$10)^(C17-1)))))</f>
        <v>1000</v>
      </c>
      <c r="V17" s="99" t="n">
        <f aca="false">IF($N$3=1,0,$N$6*(1+$B$10)^(C17-1)-W17)</f>
        <v>0</v>
      </c>
      <c r="W17" s="99" t="n">
        <f aca="false">MIN(R17,T17)</f>
        <v>6500</v>
      </c>
      <c r="X17" s="99" t="n">
        <f aca="false">MIN(U17,R17-W17)</f>
        <v>1000</v>
      </c>
      <c r="Y17" s="99" t="n">
        <f aca="false">MIN(S17,V17)</f>
        <v>0</v>
      </c>
      <c r="Z17" s="99" t="n">
        <f aca="false">W17+X17+Y17</f>
        <v>7500</v>
      </c>
      <c r="AA17" s="100" t="n">
        <f aca="false">Q17+Z17</f>
        <v>1936700</v>
      </c>
      <c r="AB17" s="93"/>
      <c r="AC17" s="59"/>
      <c r="AD17" s="59"/>
      <c r="AE17" s="59"/>
      <c r="AF17" s="59"/>
      <c r="AG17" s="59"/>
      <c r="AH17" s="59"/>
      <c r="AI17" s="59"/>
      <c r="AJ17" s="59"/>
      <c r="AK17" s="59"/>
    </row>
    <row r="18" customFormat="false" ht="15.75" hidden="false" customHeight="false" outlineLevel="0" collapsed="false">
      <c r="A18" s="94" t="n">
        <f aca="false">A17+1</f>
        <v>2024</v>
      </c>
      <c r="B18" s="95" t="n">
        <f aca="false">DATE(YEAR(B17)+1,MONTH(B17),DAY(B17))</f>
        <v>45382</v>
      </c>
      <c r="C18" s="96" t="n">
        <f aca="false">C17+1</f>
        <v>2</v>
      </c>
      <c r="D18" s="102" t="n">
        <f aca="false">IF(D17="-","-",IF(D17+1&gt;B$4,"-",D17+1))</f>
        <v>62</v>
      </c>
      <c r="E18" s="97" t="n">
        <f aca="false">HLOOKUP($B$6,'RetireUp Market Returns'!A:CT,(1+$B$7+C18),FALSE())</f>
        <v>0.1019</v>
      </c>
      <c r="F18" s="97" t="n">
        <f aca="false">$B$10</f>
        <v>0.025</v>
      </c>
      <c r="G18" s="98" t="n">
        <f aca="false">G17*(1+F18)</f>
        <v>1.025</v>
      </c>
      <c r="H18" s="99" t="n">
        <f aca="false">$B$11*(1+$B$12)^(C18-1)</f>
        <v>102000</v>
      </c>
      <c r="I18" s="93"/>
      <c r="J18" s="100" t="n">
        <f aca="false">IF(C18=1,#REF!,AA17)</f>
        <v>1936700</v>
      </c>
      <c r="K18" s="99" t="n">
        <f aca="false">J18*E18</f>
        <v>197349.73</v>
      </c>
      <c r="L18" s="99" t="n">
        <f aca="false">J18+K18</f>
        <v>2134049.73</v>
      </c>
      <c r="M18" s="101" t="str">
        <f aca="false">IF(D18="-","-",IF($F$4="Roth","-",IF($E$3="Health Savings Account","-",IF(AND(A18=2033,D18=74),VLOOKUP(D18,Tables!G:H,2,FALSE()),IF(AND(A18&gt;2032,D18&lt;75),"-",IF(D18&lt;73,"-",VLOOKUP(D18,Tables!G:H,2,FALSE())))))))</f>
        <v>-</v>
      </c>
      <c r="N18" s="99" t="n">
        <f aca="false">IF($M18="-",0,J18/$M18)</f>
        <v>0</v>
      </c>
      <c r="O18" s="99" t="n">
        <f aca="false">IF(D18&gt;$B$4,0,IF(D18&lt;$B$3,0,$B$8*(1+$B$10)^(C18-1)))</f>
        <v>0</v>
      </c>
      <c r="P18" s="99" t="n">
        <f aca="false">MAX(N18,O18)</f>
        <v>0</v>
      </c>
      <c r="Q18" s="99" t="n">
        <f aca="false">MAX(0,L18-P18)</f>
        <v>2134049.73</v>
      </c>
      <c r="R18" s="99" t="n">
        <f aca="false">IF($E$5="None",0,IF(D18&gt;=$B$3,0,IF($E$5="Monthly",MIN((($E$6+$E$8*(C18-1))*12),$E$9*12),IF($E$5="Annual",MIN((($E$6+$E$8*(C18-1))),$E$9),IF($E$5="% of Salary",MIN(($E$7+$E$10*(C18-1))*H18,$E$11*H18),IF($E$5="Maximum Allowable",T18+U18,0))))))</f>
        <v>25000</v>
      </c>
      <c r="S18" s="99" t="n">
        <f aca="false">IF($H$2="None",0,IF($N$3=1,0,IF(D18&gt;=$B$3,0,IF($H$2="Monthly",($H$3*12),IF($H$2="Annual",$H$3,IF($H$2="% of Salary",$H$4*H18,IF($H$2="Match",MIN($H$5*W18,$H$6*H18),IF($H$2="Maximum Allowable",V18,0))))))))</f>
        <v>0</v>
      </c>
      <c r="T18" s="99" t="n">
        <f aca="false">$N$4*(1+$B$10)^(C18-1)</f>
        <v>6662.5</v>
      </c>
      <c r="U18" s="99" t="n">
        <f aca="false">IF(AND($F$3=4,D18&lt;55),0,IF(D18&lt;50,0,IF(A18&lt;2025,$N$5*(1+$B$10)^(C18-1),IF(AND(D18&gt;59,D18&lt;64),$N$5*IF($N$3=2,1.5,1)*(1+$B$10)^(C18-1),$N$5*(1+$B$10)^(C18-1)))))</f>
        <v>1025</v>
      </c>
      <c r="V18" s="99" t="n">
        <f aca="false">IF($N$3=1,0,$N$6*(1+$B$10)^(C18-1)-W18)</f>
        <v>0</v>
      </c>
      <c r="W18" s="99" t="n">
        <f aca="false">MIN(R18,T18)</f>
        <v>6662.5</v>
      </c>
      <c r="X18" s="99" t="n">
        <f aca="false">MIN(U18,R18-W18)</f>
        <v>1025</v>
      </c>
      <c r="Y18" s="99" t="n">
        <f aca="false">MIN(S18,V18)</f>
        <v>0</v>
      </c>
      <c r="Z18" s="99" t="n">
        <f aca="false">W18+X18+Y18</f>
        <v>7687.5</v>
      </c>
      <c r="AA18" s="100" t="n">
        <f aca="false">Q18+W18+X18+Y18</f>
        <v>2141737.23</v>
      </c>
      <c r="AB18" s="93"/>
      <c r="AC18" s="59"/>
      <c r="AD18" s="59"/>
      <c r="AE18" s="59"/>
      <c r="AF18" s="59"/>
      <c r="AG18" s="59"/>
      <c r="AH18" s="59"/>
      <c r="AI18" s="59"/>
      <c r="AJ18" s="59"/>
      <c r="AK18" s="59"/>
    </row>
    <row r="19" customFormat="false" ht="15.75" hidden="false" customHeight="false" outlineLevel="0" collapsed="false">
      <c r="A19" s="94" t="n">
        <f aca="false">A18+1</f>
        <v>2025</v>
      </c>
      <c r="B19" s="95" t="n">
        <f aca="false">DATE(YEAR(B18)+1,MONTH(B18),DAY(B18))</f>
        <v>45747</v>
      </c>
      <c r="C19" s="96" t="n">
        <f aca="false">C18+1</f>
        <v>3</v>
      </c>
      <c r="D19" s="102" t="n">
        <f aca="false">IF(D18="-","-",IF(D18+1&gt;B$4,"-",D18+1))</f>
        <v>63</v>
      </c>
      <c r="E19" s="97" t="n">
        <f aca="false">HLOOKUP($B$6,'RetireUp Market Returns'!A:CT,(1+$B$7+C19),FALSE())</f>
        <v>0.1698</v>
      </c>
      <c r="F19" s="97" t="n">
        <f aca="false">$B$10</f>
        <v>0.025</v>
      </c>
      <c r="G19" s="98" t="n">
        <f aca="false">G18*(1+F19)</f>
        <v>1.050625</v>
      </c>
      <c r="H19" s="99" t="n">
        <f aca="false">$B$11*(1+$B$12)^(C19-1)</f>
        <v>104040</v>
      </c>
      <c r="I19" s="93"/>
      <c r="J19" s="100" t="n">
        <f aca="false">IF(C19=1,#REF!,AA18)</f>
        <v>2141737.23</v>
      </c>
      <c r="K19" s="99" t="n">
        <f aca="false">J19*E19</f>
        <v>363666.981654</v>
      </c>
      <c r="L19" s="99" t="n">
        <f aca="false">J19+K19</f>
        <v>2505404.211654</v>
      </c>
      <c r="M19" s="101" t="str">
        <f aca="false">IF(D19="-","-",IF($F$4="Roth","-",IF($E$3="Health Savings Account","-",IF(AND(A19=2033,D19=74),VLOOKUP(D19,Tables!G:H,2,FALSE()),IF(AND(A19&gt;2032,D19&lt;75),"-",IF(D19&lt;73,"-",VLOOKUP(D19,Tables!G:H,2,FALSE())))))))</f>
        <v>-</v>
      </c>
      <c r="N19" s="99" t="n">
        <f aca="false">IF($M19="-",0,J19/$M19)</f>
        <v>0</v>
      </c>
      <c r="O19" s="99" t="n">
        <f aca="false">IF(D19&gt;$B$4,0,IF(D19&lt;$B$3,0,$B$8*(1+$B$10)^(C19-1)))</f>
        <v>0</v>
      </c>
      <c r="P19" s="99" t="n">
        <f aca="false">MAX(N19,O19)</f>
        <v>0</v>
      </c>
      <c r="Q19" s="99" t="n">
        <f aca="false">MAX(0,L19-P19)</f>
        <v>2505404.211654</v>
      </c>
      <c r="R19" s="99" t="n">
        <f aca="false">IF($E$5="None",0,IF(D19&gt;=$B$3,0,IF($E$5="Monthly",MIN((($E$6+$E$8*(C19-1))*12),$E$9*12),IF($E$5="Annual",MIN((($E$6+$E$8*(C19-1))),$E$9),IF($E$5="% of Salary",MIN(($E$7+$E$10*(C19-1))*H19,$E$11*H19),IF($E$5="Maximum Allowable",T19+U19,0))))))</f>
        <v>25000</v>
      </c>
      <c r="S19" s="99" t="n">
        <f aca="false">IF($H$2="None",0,IF($N$3=1,0,IF(D19&gt;=$B$3,0,IF($H$2="Monthly",($H$3*12),IF($H$2="Annual",$H$3,IF($H$2="% of Salary",$H$4*H19,IF($H$2="Match",MIN($H$5*W19,$H$6*H19),IF($H$2="Maximum Allowable",V19,0))))))))</f>
        <v>0</v>
      </c>
      <c r="T19" s="99" t="n">
        <f aca="false">$N$4*(1+$B$10)^(C19-1)</f>
        <v>6829.0625</v>
      </c>
      <c r="U19" s="99" t="n">
        <f aca="false">IF(AND($F$3=4,D19&lt;55),0,IF(D19&lt;50,0,IF(A19&lt;2025,$N$5*(1+$B$10)^(C19-1),IF(AND(D19&gt;59,D19&lt;64),$N$5*IF($N$3=2,1.5,1)*(1+$B$10)^(C19-1),$N$5*(1+$B$10)^(C19-1)))))</f>
        <v>1050.625</v>
      </c>
      <c r="V19" s="99" t="n">
        <f aca="false">IF($N$3=1,0,$N$6*(1+$B$10)^(C19-1)-W19)</f>
        <v>0</v>
      </c>
      <c r="W19" s="99" t="n">
        <f aca="false">MIN(R19,T19)</f>
        <v>6829.0625</v>
      </c>
      <c r="X19" s="99" t="n">
        <f aca="false">MIN(U19,R19-W19)</f>
        <v>1050.625</v>
      </c>
      <c r="Y19" s="99" t="n">
        <f aca="false">MIN(S19,V19)</f>
        <v>0</v>
      </c>
      <c r="Z19" s="99" t="n">
        <f aca="false">W19+X19+Y19</f>
        <v>7879.6875</v>
      </c>
      <c r="AA19" s="100" t="n">
        <f aca="false">Q19+W19+X19+Y19</f>
        <v>2513283.899154</v>
      </c>
      <c r="AB19" s="93"/>
      <c r="AC19" s="59"/>
      <c r="AD19" s="59"/>
      <c r="AE19" s="59"/>
      <c r="AF19" s="59"/>
      <c r="AG19" s="59"/>
      <c r="AH19" s="59"/>
      <c r="AI19" s="59"/>
      <c r="AJ19" s="59"/>
      <c r="AK19" s="59"/>
    </row>
    <row r="20" customFormat="false" ht="15.75" hidden="false" customHeight="false" outlineLevel="0" collapsed="false">
      <c r="A20" s="94" t="n">
        <f aca="false">A19+1</f>
        <v>2026</v>
      </c>
      <c r="B20" s="95" t="n">
        <f aca="false">DATE(YEAR(B19)+1,MONTH(B19),DAY(B19))</f>
        <v>46112</v>
      </c>
      <c r="C20" s="96" t="n">
        <f aca="false">C19+1</f>
        <v>4</v>
      </c>
      <c r="D20" s="102" t="n">
        <f aca="false">IF(D19="-","-",IF(D19+1&gt;B$4,"-",D19+1))</f>
        <v>64</v>
      </c>
      <c r="E20" s="97" t="n">
        <f aca="false">HLOOKUP($B$6,'RetireUp Market Returns'!A:CT,(1+$B$7+C20),FALSE())</f>
        <v>-0.0257</v>
      </c>
      <c r="F20" s="97" t="n">
        <f aca="false">$B$10</f>
        <v>0.025</v>
      </c>
      <c r="G20" s="98" t="n">
        <f aca="false">G19*(1+F20)</f>
        <v>1.076890625</v>
      </c>
      <c r="H20" s="99" t="n">
        <f aca="false">$B$11*(1+$B$12)^(C20-1)</f>
        <v>106120.8</v>
      </c>
      <c r="I20" s="93"/>
      <c r="J20" s="100" t="n">
        <f aca="false">IF(C20=1,#REF!,AA19)</f>
        <v>2513283.899154</v>
      </c>
      <c r="K20" s="99" t="n">
        <f aca="false">J20*E20</f>
        <v>-64591.3962082578</v>
      </c>
      <c r="L20" s="99" t="n">
        <f aca="false">J20+K20</f>
        <v>2448692.50294574</v>
      </c>
      <c r="M20" s="101" t="str">
        <f aca="false">IF(D20="-","-",IF($F$4="Roth","-",IF($E$3="Health Savings Account","-",IF(AND(A20=2033,D20=74),VLOOKUP(D20,Tables!G:H,2,FALSE()),IF(AND(A20&gt;2032,D20&lt;75),"-",IF(D20&lt;73,"-",VLOOKUP(D20,Tables!G:H,2,FALSE())))))))</f>
        <v>-</v>
      </c>
      <c r="N20" s="99" t="n">
        <f aca="false">IF($M20="-",0,J20/$M20)</f>
        <v>0</v>
      </c>
      <c r="O20" s="99" t="n">
        <f aca="false">IF(D20&gt;$B$4,0,IF(D20&lt;$B$3,0,$B$8*(1+$B$10)^(C20-1)))</f>
        <v>0</v>
      </c>
      <c r="P20" s="99" t="n">
        <f aca="false">MAX(N20,O20)</f>
        <v>0</v>
      </c>
      <c r="Q20" s="99" t="n">
        <f aca="false">MAX(0,L20-P20)</f>
        <v>2448692.50294574</v>
      </c>
      <c r="R20" s="99" t="n">
        <f aca="false">IF($E$5="None",0,IF(D20&gt;=$B$3,0,IF($E$5="Monthly",MIN((($E$6+$E$8*(C20-1))*12),$E$9*12),IF($E$5="Annual",MIN((($E$6+$E$8*(C20-1))),$E$9),IF($E$5="% of Salary",MIN(($E$7+$E$10*(C20-1))*H20,$E$11*H20),IF($E$5="Maximum Allowable",T20+U20,0))))))</f>
        <v>25000</v>
      </c>
      <c r="S20" s="99" t="n">
        <f aca="false">IF($H$2="None",0,IF($N$3=1,0,IF(D20&gt;=$B$3,0,IF($H$2="Monthly",($H$3*12),IF($H$2="Annual",$H$3,IF($H$2="% of Salary",$H$4*H20,IF($H$2="Match",MIN($H$5*W20,$H$6*H20),IF($H$2="Maximum Allowable",V20,0))))))))</f>
        <v>0</v>
      </c>
      <c r="T20" s="99" t="n">
        <f aca="false">$N$4*(1+$B$10)^(C20-1)</f>
        <v>6999.7890625</v>
      </c>
      <c r="U20" s="99" t="n">
        <f aca="false">IF(AND($F$3=4,D20&lt;55),0,IF(D20&lt;50,0,IF(A20&lt;2025,$N$5*(1+$B$10)^(C20-1),IF(AND(D20&gt;59,D20&lt;64),$N$5*IF($N$3=2,1.5,1)*(1+$B$10)^(C20-1),$N$5*(1+$B$10)^(C20-1)))))</f>
        <v>1076.890625</v>
      </c>
      <c r="V20" s="99" t="n">
        <f aca="false">IF($N$3=1,0,$N$6*(1+$B$10)^(C20-1)-W20)</f>
        <v>0</v>
      </c>
      <c r="W20" s="99" t="n">
        <f aca="false">MIN(R20,T20)</f>
        <v>6999.7890625</v>
      </c>
      <c r="X20" s="99" t="n">
        <f aca="false">MIN(U20,R20-W20)</f>
        <v>1076.890625</v>
      </c>
      <c r="Y20" s="99" t="n">
        <f aca="false">MIN(S20,V20)</f>
        <v>0</v>
      </c>
      <c r="Z20" s="99" t="n">
        <f aca="false">W20+X20+Y20</f>
        <v>8076.6796875</v>
      </c>
      <c r="AA20" s="100" t="n">
        <f aca="false">Q20+W20+X20+Y20</f>
        <v>2456769.18263324</v>
      </c>
      <c r="AB20" s="93"/>
      <c r="AC20" s="59"/>
      <c r="AD20" s="59"/>
      <c r="AE20" s="59"/>
      <c r="AF20" s="59"/>
      <c r="AG20" s="59"/>
      <c r="AH20" s="59"/>
      <c r="AI20" s="59"/>
      <c r="AJ20" s="59"/>
      <c r="AK20" s="59"/>
    </row>
    <row r="21" customFormat="false" ht="15.75" hidden="false" customHeight="false" outlineLevel="0" collapsed="false">
      <c r="A21" s="94" t="n">
        <f aca="false">A20+1</f>
        <v>2027</v>
      </c>
      <c r="B21" s="95" t="n">
        <f aca="false">DATE(YEAR(B20)+1,MONTH(B20),DAY(B20))</f>
        <v>46477</v>
      </c>
      <c r="C21" s="96" t="n">
        <f aca="false">C20+1</f>
        <v>5</v>
      </c>
      <c r="D21" s="102" t="n">
        <f aca="false">IF(D20="-","-",IF(D20+1&gt;B$4,"-",D20+1))</f>
        <v>65</v>
      </c>
      <c r="E21" s="97" t="n">
        <f aca="false">HLOOKUP($B$6,'RetireUp Market Returns'!A:CT,(1+$B$7+C21),FALSE())</f>
        <v>0.0912</v>
      </c>
      <c r="F21" s="97" t="n">
        <f aca="false">$B$10</f>
        <v>0.025</v>
      </c>
      <c r="G21" s="98" t="n">
        <f aca="false">G20*(1+F21)</f>
        <v>1.103812890625</v>
      </c>
      <c r="H21" s="99" t="n">
        <f aca="false">$B$11*(1+$B$12)^(C21-1)</f>
        <v>108243.216</v>
      </c>
      <c r="I21" s="93"/>
      <c r="J21" s="100" t="n">
        <f aca="false">IF(C21=1,#REF!,AA20)</f>
        <v>2456769.18263324</v>
      </c>
      <c r="K21" s="99" t="n">
        <f aca="false">J21*E21</f>
        <v>224057.349456152</v>
      </c>
      <c r="L21" s="99" t="n">
        <f aca="false">J21+K21</f>
        <v>2680826.53208939</v>
      </c>
      <c r="M21" s="101" t="str">
        <f aca="false">IF(D21="-","-",IF($F$4="Roth","-",IF($E$3="Health Savings Account","-",IF(AND(A21=2033,D21=74),VLOOKUP(D21,Tables!G:H,2,FALSE()),IF(AND(A21&gt;2032,D21&lt;75),"-",IF(D21&lt;73,"-",VLOOKUP(D21,Tables!G:H,2,FALSE())))))))</f>
        <v>-</v>
      </c>
      <c r="N21" s="99" t="n">
        <f aca="false">IF($M21="-",0,J21/$M21)</f>
        <v>0</v>
      </c>
      <c r="O21" s="99" t="n">
        <f aca="false">IF(D21&gt;$B$4,0,IF(D21&lt;$B$3,0,$B$8*(1+$B$10)^(C21-1)))</f>
        <v>110381.2890625</v>
      </c>
      <c r="P21" s="99" t="n">
        <f aca="false">MAX(N21,O21)</f>
        <v>110381.2890625</v>
      </c>
      <c r="Q21" s="99" t="n">
        <f aca="false">MAX(0,L21-P21)</f>
        <v>2570445.24302689</v>
      </c>
      <c r="R21" s="99" t="n">
        <f aca="false">IF($E$5="None",0,IF(D21&gt;=$B$3,0,IF($E$5="Monthly",MIN((($E$6+$E$8*(C21-1))*12),$E$9*12),IF($E$5="Annual",MIN((($E$6+$E$8*(C21-1))),$E$9),IF($E$5="% of Salary",MIN(($E$7+$E$10*(C21-1))*H21,$E$11*H21),IF($E$5="Maximum Allowable",T21+U21,0))))))</f>
        <v>0</v>
      </c>
      <c r="S21" s="99" t="n">
        <f aca="false">IF($H$2="None",0,IF($N$3=1,0,IF(D21&gt;=$B$3,0,IF($H$2="Monthly",($H$3*12),IF($H$2="Annual",$H$3,IF($H$2="% of Salary",$H$4*H21,IF($H$2="Match",MIN($H$5*W21,$H$6*H21),IF($H$2="Maximum Allowable",V21,0))))))))</f>
        <v>0</v>
      </c>
      <c r="T21" s="99" t="n">
        <f aca="false">$N$4*(1+$B$10)^(C21-1)</f>
        <v>7174.7837890625</v>
      </c>
      <c r="U21" s="99" t="n">
        <f aca="false">IF(AND($F$3=4,D21&lt;55),0,IF(D21&lt;50,0,IF(A21&lt;2025,$N$5*(1+$B$10)^(C21-1),IF(AND(D21&gt;59,D21&lt;64),$N$5*IF($N$3=2,1.5,1)*(1+$B$10)^(C21-1),$N$5*(1+$B$10)^(C21-1)))))</f>
        <v>1103.812890625</v>
      </c>
      <c r="V21" s="99" t="n">
        <f aca="false">IF($N$3=1,0,$N$6*(1+$B$10)^(C21-1)-W21)</f>
        <v>0</v>
      </c>
      <c r="W21" s="99" t="n">
        <f aca="false">MIN(R21,T21)</f>
        <v>0</v>
      </c>
      <c r="X21" s="99" t="n">
        <f aca="false">MIN(U21,R21-W21)</f>
        <v>0</v>
      </c>
      <c r="Y21" s="99" t="n">
        <f aca="false">MIN(S21,V21)</f>
        <v>0</v>
      </c>
      <c r="Z21" s="99" t="n">
        <f aca="false">W21+X21+Y21</f>
        <v>0</v>
      </c>
      <c r="AA21" s="100" t="n">
        <f aca="false">Q21+W21+X21+Y21</f>
        <v>2570445.24302689</v>
      </c>
      <c r="AB21" s="93"/>
      <c r="AC21" s="59"/>
      <c r="AD21" s="59"/>
      <c r="AE21" s="59"/>
      <c r="AF21" s="59"/>
      <c r="AG21" s="59"/>
      <c r="AH21" s="59"/>
      <c r="AI21" s="59"/>
      <c r="AJ21" s="59"/>
      <c r="AK21" s="59"/>
    </row>
    <row r="22" customFormat="false" ht="15.75" hidden="false" customHeight="false" outlineLevel="0" collapsed="false">
      <c r="A22" s="94" t="n">
        <f aca="false">A21+1</f>
        <v>2028</v>
      </c>
      <c r="B22" s="95" t="n">
        <f aca="false">DATE(YEAR(B21)+1,MONTH(B21),DAY(B21))</f>
        <v>46843</v>
      </c>
      <c r="C22" s="96" t="n">
        <f aca="false">C21+1</f>
        <v>6</v>
      </c>
      <c r="D22" s="102" t="n">
        <f aca="false">IF(D21="-","-",IF(D21+1&gt;B$4,"-",D21+1))</f>
        <v>66</v>
      </c>
      <c r="E22" s="97" t="n">
        <f aca="false">HLOOKUP($B$6,'RetireUp Market Returns'!A:CT,(1+$B$7+C22),FALSE())</f>
        <v>0.0479</v>
      </c>
      <c r="F22" s="97" t="n">
        <f aca="false">$B$10</f>
        <v>0.025</v>
      </c>
      <c r="G22" s="98" t="n">
        <f aca="false">G21*(1+F22)</f>
        <v>1.13140821289062</v>
      </c>
      <c r="H22" s="99" t="n">
        <f aca="false">$B$11*(1+$B$12)^(C22-1)</f>
        <v>110408.08032</v>
      </c>
      <c r="I22" s="93"/>
      <c r="J22" s="100" t="n">
        <f aca="false">IF(C22=1,#REF!,AA21)</f>
        <v>2570445.24302689</v>
      </c>
      <c r="K22" s="99" t="n">
        <f aca="false">J22*E22</f>
        <v>123124.327140988</v>
      </c>
      <c r="L22" s="99" t="n">
        <f aca="false">J22+K22</f>
        <v>2693569.57016788</v>
      </c>
      <c r="M22" s="101" t="str">
        <f aca="false">IF(D22="-","-",IF($F$4="Roth","-",IF($E$3="Health Savings Account","-",IF(AND(A22=2033,D22=74),VLOOKUP(D22,Tables!G:H,2,FALSE()),IF(AND(A22&gt;2032,D22&lt;75),"-",IF(D22&lt;73,"-",VLOOKUP(D22,Tables!G:H,2,FALSE())))))))</f>
        <v>-</v>
      </c>
      <c r="N22" s="99" t="n">
        <f aca="false">IF($M22="-",0,J22/$M22)</f>
        <v>0</v>
      </c>
      <c r="O22" s="99" t="n">
        <f aca="false">IF(D22&gt;$B$4,0,IF(D22&lt;$B$3,0,$B$8*(1+$B$10)^(C22-1)))</f>
        <v>113140.821289062</v>
      </c>
      <c r="P22" s="99" t="n">
        <f aca="false">MAX(N22,O22)</f>
        <v>113140.821289062</v>
      </c>
      <c r="Q22" s="99" t="n">
        <f aca="false">MAX(0,L22-P22)</f>
        <v>2580428.74887882</v>
      </c>
      <c r="R22" s="99" t="n">
        <f aca="false">IF($E$5="None",0,IF(D22&gt;=$B$3,0,IF($E$5="Monthly",MIN((($E$6+$E$8*(C22-1))*12),$E$9*12),IF($E$5="Annual",MIN((($E$6+$E$8*(C22-1))),$E$9),IF($E$5="% of Salary",MIN(($E$7+$E$10*(C22-1))*H22,$E$11*H22),IF($E$5="Maximum Allowable",T22+U22,0))))))</f>
        <v>0</v>
      </c>
      <c r="S22" s="99" t="n">
        <f aca="false">IF($H$2="None",0,IF($N$3=1,0,IF(D22&gt;=$B$3,0,IF($H$2="Monthly",($H$3*12),IF($H$2="Annual",$H$3,IF($H$2="% of Salary",$H$4*H22,IF($H$2="Match",MIN($H$5*W22,$H$6*H22),IF($H$2="Maximum Allowable",V22,0))))))))</f>
        <v>0</v>
      </c>
      <c r="T22" s="99" t="n">
        <f aca="false">$N$4*(1+$B$10)^(C22-1)</f>
        <v>7354.15338378906</v>
      </c>
      <c r="U22" s="99" t="n">
        <f aca="false">IF(AND($F$3=4,D22&lt;55),0,IF(D22&lt;50,0,IF(A22&lt;2025,$N$5*(1+$B$10)^(C22-1),IF(AND(D22&gt;59,D22&lt;64),$N$5*IF($N$3=2,1.5,1)*(1+$B$10)^(C22-1),$N$5*(1+$B$10)^(C22-1)))))</f>
        <v>1131.40821289062</v>
      </c>
      <c r="V22" s="99" t="n">
        <f aca="false">IF($N$3=1,0,$N$6*(1+$B$10)^(C22-1)-W22)</f>
        <v>0</v>
      </c>
      <c r="W22" s="99" t="n">
        <f aca="false">MIN(R22,T22)</f>
        <v>0</v>
      </c>
      <c r="X22" s="99" t="n">
        <f aca="false">MIN(U22,R22-W22)</f>
        <v>0</v>
      </c>
      <c r="Y22" s="99" t="n">
        <f aca="false">MIN(S22,V22)</f>
        <v>0</v>
      </c>
      <c r="Z22" s="99" t="n">
        <f aca="false">W22+X22+Y22</f>
        <v>0</v>
      </c>
      <c r="AA22" s="100" t="n">
        <f aca="false">Q22+W22+X22+Y22</f>
        <v>2580428.74887882</v>
      </c>
      <c r="AB22" s="93"/>
      <c r="AC22" s="59"/>
      <c r="AD22" s="59"/>
      <c r="AE22" s="59"/>
      <c r="AF22" s="59"/>
      <c r="AG22" s="59"/>
      <c r="AH22" s="59"/>
      <c r="AI22" s="59"/>
      <c r="AJ22" s="59"/>
      <c r="AK22" s="59"/>
    </row>
    <row r="23" customFormat="false" ht="15.75" hidden="false" customHeight="false" outlineLevel="0" collapsed="false">
      <c r="A23" s="94" t="n">
        <f aca="false">A22+1</f>
        <v>2029</v>
      </c>
      <c r="B23" s="95" t="n">
        <f aca="false">DATE(YEAR(B22)+1,MONTH(B22),DAY(B22))</f>
        <v>47208</v>
      </c>
      <c r="C23" s="96" t="n">
        <f aca="false">C22+1</f>
        <v>7</v>
      </c>
      <c r="D23" s="102" t="n">
        <f aca="false">IF(D22="-","-",IF(D22+1&gt;B$4,"-",D22+1))</f>
        <v>67</v>
      </c>
      <c r="E23" s="97" t="n">
        <f aca="false">HLOOKUP($B$6,'RetireUp Market Returns'!A:CT,(1+$B$7+C23),FALSE())</f>
        <v>0.0213</v>
      </c>
      <c r="F23" s="97" t="n">
        <f aca="false">$B$10</f>
        <v>0.025</v>
      </c>
      <c r="G23" s="98" t="n">
        <f aca="false">G22*(1+F23)</f>
        <v>1.15969341821289</v>
      </c>
      <c r="H23" s="99" t="n">
        <f aca="false">$B$11*(1+$B$12)^(C23-1)</f>
        <v>112616.2419264</v>
      </c>
      <c r="I23" s="93"/>
      <c r="J23" s="100" t="n">
        <f aca="false">IF(C23=1,#REF!,AA22)</f>
        <v>2580428.74887882</v>
      </c>
      <c r="K23" s="99" t="n">
        <f aca="false">J23*E23</f>
        <v>54963.1323511189</v>
      </c>
      <c r="L23" s="99" t="n">
        <f aca="false">J23+K23</f>
        <v>2635391.88122994</v>
      </c>
      <c r="M23" s="101" t="str">
        <f aca="false">IF(D23="-","-",IF($F$4="Roth","-",IF($E$3="Health Savings Account","-",IF(AND(A23=2033,D23=74),VLOOKUP(D23,Tables!G:H,2,FALSE()),IF(AND(A23&gt;2032,D23&lt;75),"-",IF(D23&lt;73,"-",VLOOKUP(D23,Tables!G:H,2,FALSE())))))))</f>
        <v>-</v>
      </c>
      <c r="N23" s="99" t="n">
        <f aca="false">IF($M23="-",0,J23/$M23)</f>
        <v>0</v>
      </c>
      <c r="O23" s="99" t="n">
        <f aca="false">IF(D23&gt;$B$4,0,IF(D23&lt;$B$3,0,$B$8*(1+$B$10)^(C23-1)))</f>
        <v>115969.341821289</v>
      </c>
      <c r="P23" s="99" t="n">
        <f aca="false">MAX(N23,O23)</f>
        <v>115969.341821289</v>
      </c>
      <c r="Q23" s="99" t="n">
        <f aca="false">MAX(0,L23-P23)</f>
        <v>2519422.53940865</v>
      </c>
      <c r="R23" s="99" t="n">
        <f aca="false">IF($E$5="None",0,IF(D23&gt;=$B$3,0,IF($E$5="Monthly",MIN((($E$6+$E$8*(C23-1))*12),$E$9*12),IF($E$5="Annual",MIN((($E$6+$E$8*(C23-1))),$E$9),IF($E$5="% of Salary",MIN(($E$7+$E$10*(C23-1))*H23,$E$11*H23),IF($E$5="Maximum Allowable",T23+U23,0))))))</f>
        <v>0</v>
      </c>
      <c r="S23" s="99" t="n">
        <f aca="false">IF($H$2="None",0,IF($N$3=1,0,IF(D23&gt;=$B$3,0,IF($H$2="Monthly",($H$3*12),IF($H$2="Annual",$H$3,IF($H$2="% of Salary",$H$4*H23,IF($H$2="Match",MIN($H$5*W23,$H$6*H23),IF($H$2="Maximum Allowable",V23,0))))))))</f>
        <v>0</v>
      </c>
      <c r="T23" s="99" t="n">
        <f aca="false">$N$4*(1+$B$10)^(C23-1)</f>
        <v>7538.00721838378</v>
      </c>
      <c r="U23" s="99" t="n">
        <f aca="false">IF(AND($F$3=4,D23&lt;55),0,IF(D23&lt;50,0,IF(A23&lt;2025,$N$5*(1+$B$10)^(C23-1),IF(AND(D23&gt;59,D23&lt;64),$N$5*IF($N$3=2,1.5,1)*(1+$B$10)^(C23-1),$N$5*(1+$B$10)^(C23-1)))))</f>
        <v>1159.69341821289</v>
      </c>
      <c r="V23" s="99" t="n">
        <f aca="false">IF($N$3=1,0,$N$6*(1+$B$10)^(C23-1)-W23)</f>
        <v>0</v>
      </c>
      <c r="W23" s="99" t="n">
        <f aca="false">MIN(R23,T23)</f>
        <v>0</v>
      </c>
      <c r="X23" s="99" t="n">
        <f aca="false">MIN(U23,R23-W23)</f>
        <v>0</v>
      </c>
      <c r="Y23" s="99" t="n">
        <f aca="false">MIN(S23,V23)</f>
        <v>0</v>
      </c>
      <c r="Z23" s="99" t="n">
        <f aca="false">W23+X23+Y23</f>
        <v>0</v>
      </c>
      <c r="AA23" s="100" t="n">
        <f aca="false">Q23+W23+X23+Y23</f>
        <v>2519422.53940865</v>
      </c>
      <c r="AB23" s="93"/>
      <c r="AC23" s="59"/>
      <c r="AD23" s="59"/>
      <c r="AE23" s="59"/>
      <c r="AF23" s="59"/>
      <c r="AG23" s="59"/>
      <c r="AH23" s="59"/>
      <c r="AI23" s="59"/>
      <c r="AJ23" s="59"/>
      <c r="AK23" s="59"/>
    </row>
    <row r="24" customFormat="false" ht="15.75" hidden="false" customHeight="false" outlineLevel="0" collapsed="false">
      <c r="A24" s="94" t="n">
        <f aca="false">A23+1</f>
        <v>2030</v>
      </c>
      <c r="B24" s="95" t="n">
        <f aca="false">DATE(YEAR(B23)+1,MONTH(B23),DAY(B23))</f>
        <v>47573</v>
      </c>
      <c r="C24" s="96" t="n">
        <f aca="false">C23+1</f>
        <v>8</v>
      </c>
      <c r="D24" s="102" t="n">
        <f aca="false">IF(D23="-","-",IF(D23+1&gt;B$4,"-",D23+1))</f>
        <v>68</v>
      </c>
      <c r="E24" s="97" t="n">
        <f aca="false">HLOOKUP($B$6,'RetireUp Market Returns'!A:CT,(1+$B$7+C24),FALSE())</f>
        <v>0.11</v>
      </c>
      <c r="F24" s="97" t="n">
        <f aca="false">$B$10</f>
        <v>0.025</v>
      </c>
      <c r="G24" s="98" t="n">
        <f aca="false">G23*(1+F24)</f>
        <v>1.18868575366821</v>
      </c>
      <c r="H24" s="99" t="n">
        <f aca="false">$B$11*(1+$B$12)^(C24-1)</f>
        <v>114868.566764928</v>
      </c>
      <c r="I24" s="93"/>
      <c r="J24" s="100" t="n">
        <f aca="false">IF(C24=1,#REF!,AA23)</f>
        <v>2519422.53940865</v>
      </c>
      <c r="K24" s="99" t="n">
        <f aca="false">J24*E24</f>
        <v>277136.479334951</v>
      </c>
      <c r="L24" s="99" t="n">
        <f aca="false">J24+K24</f>
        <v>2796559.0187436</v>
      </c>
      <c r="M24" s="101" t="str">
        <f aca="false">IF(D24="-","-",IF($F$4="Roth","-",IF($E$3="Health Savings Account","-",IF(AND(A24=2033,D24=74),VLOOKUP(D24,Tables!G:H,2,FALSE()),IF(AND(A24&gt;2032,D24&lt;75),"-",IF(D24&lt;73,"-",VLOOKUP(D24,Tables!G:H,2,FALSE())))))))</f>
        <v>-</v>
      </c>
      <c r="N24" s="99" t="n">
        <f aca="false">IF($M24="-",0,J24/$M24)</f>
        <v>0</v>
      </c>
      <c r="O24" s="99" t="n">
        <f aca="false">IF(D24&gt;$B$4,0,IF(D24&lt;$B$3,0,$B$8*(1+$B$10)^(C24-1)))</f>
        <v>118868.575366821</v>
      </c>
      <c r="P24" s="99" t="n">
        <f aca="false">MAX(N24,O24)</f>
        <v>118868.575366821</v>
      </c>
      <c r="Q24" s="99" t="n">
        <f aca="false">MAX(0,L24-P24)</f>
        <v>2677690.44337678</v>
      </c>
      <c r="R24" s="99" t="n">
        <f aca="false">IF($E$5="None",0,IF(D24&gt;=$B$3,0,IF($E$5="Monthly",MIN((($E$6+$E$8*(C24-1))*12),$E$9*12),IF($E$5="Annual",MIN((($E$6+$E$8*(C24-1))),$E$9),IF($E$5="% of Salary",MIN(($E$7+$E$10*(C24-1))*H24,$E$11*H24),IF($E$5="Maximum Allowable",T24+U24,0))))))</f>
        <v>0</v>
      </c>
      <c r="S24" s="99" t="n">
        <f aca="false">IF($H$2="None",0,IF($N$3=1,0,IF(D24&gt;=$B$3,0,IF($H$2="Monthly",($H$3*12),IF($H$2="Annual",$H$3,IF($H$2="% of Salary",$H$4*H24,IF($H$2="Match",MIN($H$5*W24,$H$6*H24),IF($H$2="Maximum Allowable",V24,0))))))))</f>
        <v>0</v>
      </c>
      <c r="T24" s="99" t="n">
        <f aca="false">$N$4*(1+$B$10)^(C24-1)</f>
        <v>7726.45739884338</v>
      </c>
      <c r="U24" s="99" t="n">
        <f aca="false">IF(AND($F$3=4,D24&lt;55),0,IF(D24&lt;50,0,IF(A24&lt;2025,$N$5*(1+$B$10)^(C24-1),IF(AND(D24&gt;59,D24&lt;64),$N$5*IF($N$3=2,1.5,1)*(1+$B$10)^(C24-1),$N$5*(1+$B$10)^(C24-1)))))</f>
        <v>1188.68575366821</v>
      </c>
      <c r="V24" s="99" t="n">
        <f aca="false">IF($N$3=1,0,$N$6*(1+$B$10)^(C24-1)-W24)</f>
        <v>0</v>
      </c>
      <c r="W24" s="99" t="n">
        <f aca="false">MIN(R24,T24)</f>
        <v>0</v>
      </c>
      <c r="X24" s="99" t="n">
        <f aca="false">MIN(U24,R24-W24)</f>
        <v>0</v>
      </c>
      <c r="Y24" s="99" t="n">
        <f aca="false">MIN(S24,V24)</f>
        <v>0</v>
      </c>
      <c r="Z24" s="99" t="n">
        <f aca="false">W24+X24+Y24</f>
        <v>0</v>
      </c>
      <c r="AA24" s="100" t="n">
        <f aca="false">Q24+W24+X24+Y24</f>
        <v>2677690.44337678</v>
      </c>
      <c r="AB24" s="93"/>
      <c r="AC24" s="59"/>
      <c r="AD24" s="59"/>
      <c r="AE24" s="59"/>
      <c r="AF24" s="59"/>
      <c r="AG24" s="59"/>
      <c r="AH24" s="59"/>
      <c r="AI24" s="59"/>
      <c r="AJ24" s="59"/>
      <c r="AK24" s="59"/>
    </row>
    <row r="25" customFormat="false" ht="15.75" hidden="false" customHeight="false" outlineLevel="0" collapsed="false">
      <c r="A25" s="94" t="n">
        <f aca="false">A24+1</f>
        <v>2031</v>
      </c>
      <c r="B25" s="95" t="n">
        <f aca="false">DATE(YEAR(B24)+1,MONTH(B24),DAY(B24))</f>
        <v>47938</v>
      </c>
      <c r="C25" s="96" t="n">
        <f aca="false">C24+1</f>
        <v>9</v>
      </c>
      <c r="D25" s="102" t="n">
        <f aca="false">IF(D24="-","-",IF(D24+1&gt;B$4,"-",D24+1))</f>
        <v>69</v>
      </c>
      <c r="E25" s="97" t="n">
        <f aca="false">HLOOKUP($B$6,'RetireUp Market Returns'!A:CT,(1+$B$7+C25),FALSE())</f>
        <v>0.0802</v>
      </c>
      <c r="F25" s="97" t="n">
        <f aca="false">$B$10</f>
        <v>0.025</v>
      </c>
      <c r="G25" s="98" t="n">
        <f aca="false">G24*(1+F25)</f>
        <v>1.21840289750992</v>
      </c>
      <c r="H25" s="99" t="n">
        <f aca="false">$B$11*(1+$B$12)^(C25-1)</f>
        <v>117165.938100227</v>
      </c>
      <c r="I25" s="93"/>
      <c r="J25" s="100" t="n">
        <f aca="false">IF(C25=1,#REF!,AA24)</f>
        <v>2677690.44337678</v>
      </c>
      <c r="K25" s="99" t="n">
        <f aca="false">J25*E25</f>
        <v>214750.773558818</v>
      </c>
      <c r="L25" s="99" t="n">
        <f aca="false">J25+K25</f>
        <v>2892441.2169356</v>
      </c>
      <c r="M25" s="101" t="str">
        <f aca="false">IF(D25="-","-",IF($F$4="Roth","-",IF($E$3="Health Savings Account","-",IF(AND(A25=2033,D25=74),VLOOKUP(D25,Tables!G:H,2,FALSE()),IF(AND(A25&gt;2032,D25&lt;75),"-",IF(D25&lt;73,"-",VLOOKUP(D25,Tables!G:H,2,FALSE())))))))</f>
        <v>-</v>
      </c>
      <c r="N25" s="99" t="n">
        <f aca="false">IF($M25="-",0,J25/$M25)</f>
        <v>0</v>
      </c>
      <c r="O25" s="99" t="n">
        <f aca="false">IF(D25&gt;$B$4,0,IF(D25&lt;$B$3,0,$B$8*(1+$B$10)^(C25-1)))</f>
        <v>121840.289750992</v>
      </c>
      <c r="P25" s="99" t="n">
        <f aca="false">MAX(N25,O25)</f>
        <v>121840.289750992</v>
      </c>
      <c r="Q25" s="99" t="n">
        <f aca="false">MAX(0,L25-P25)</f>
        <v>2770600.92718461</v>
      </c>
      <c r="R25" s="99" t="n">
        <f aca="false">IF($E$5="None",0,IF(D25&gt;=$B$3,0,IF($E$5="Monthly",MIN((($E$6+$E$8*(C25-1))*12),$E$9*12),IF($E$5="Annual",MIN((($E$6+$E$8*(C25-1))),$E$9),IF($E$5="% of Salary",MIN(($E$7+$E$10*(C25-1))*H25,$E$11*H25),IF($E$5="Maximum Allowable",T25+U25,0))))))</f>
        <v>0</v>
      </c>
      <c r="S25" s="99" t="n">
        <f aca="false">IF($H$2="None",0,IF($N$3=1,0,IF(D25&gt;=$B$3,0,IF($H$2="Monthly",($H$3*12),IF($H$2="Annual",$H$3,IF($H$2="% of Salary",$H$4*H25,IF($H$2="Match",MIN($H$5*W25,$H$6*H25),IF($H$2="Maximum Allowable",V25,0))))))))</f>
        <v>0</v>
      </c>
      <c r="T25" s="99" t="n">
        <f aca="false">$N$4*(1+$B$10)^(C25-1)</f>
        <v>7919.61883381446</v>
      </c>
      <c r="U25" s="99" t="n">
        <f aca="false">IF(AND($F$3=4,D25&lt;55),0,IF(D25&lt;50,0,IF(A25&lt;2025,$N$5*(1+$B$10)^(C25-1),IF(AND(D25&gt;59,D25&lt;64),$N$5*IF($N$3=2,1.5,1)*(1+$B$10)^(C25-1),$N$5*(1+$B$10)^(C25-1)))))</f>
        <v>1218.40289750992</v>
      </c>
      <c r="V25" s="99" t="n">
        <f aca="false">IF($N$3=1,0,$N$6*(1+$B$10)^(C25-1)-W25)</f>
        <v>0</v>
      </c>
      <c r="W25" s="99" t="n">
        <f aca="false">MIN(R25,T25)</f>
        <v>0</v>
      </c>
      <c r="X25" s="99" t="n">
        <f aca="false">MIN(U25,R25-W25)</f>
        <v>0</v>
      </c>
      <c r="Y25" s="99" t="n">
        <f aca="false">MIN(S25,V25)</f>
        <v>0</v>
      </c>
      <c r="Z25" s="99" t="n">
        <f aca="false">W25+X25+Y25</f>
        <v>0</v>
      </c>
      <c r="AA25" s="100" t="n">
        <f aca="false">Q25+W25+X25+Y25</f>
        <v>2770600.92718461</v>
      </c>
      <c r="AB25" s="93"/>
      <c r="AC25" s="59"/>
      <c r="AD25" s="59"/>
      <c r="AE25" s="59"/>
      <c r="AF25" s="59"/>
      <c r="AG25" s="59"/>
      <c r="AH25" s="59"/>
      <c r="AI25" s="59"/>
      <c r="AJ25" s="59"/>
      <c r="AK25" s="59"/>
    </row>
    <row r="26" customFormat="false" ht="15.75" hidden="false" customHeight="false" outlineLevel="0" collapsed="false">
      <c r="A26" s="94" t="n">
        <f aca="false">A25+1</f>
        <v>2032</v>
      </c>
      <c r="B26" s="95" t="n">
        <f aca="false">DATE(YEAR(B25)+1,MONTH(B25),DAY(B25))</f>
        <v>48304</v>
      </c>
      <c r="C26" s="96" t="n">
        <f aca="false">C25+1</f>
        <v>10</v>
      </c>
      <c r="D26" s="102" t="n">
        <f aca="false">IF(D25="-","-",IF(D25+1&gt;B$4,"-",D25+1))</f>
        <v>70</v>
      </c>
      <c r="E26" s="97" t="n">
        <f aca="false">HLOOKUP($B$6,'RetireUp Market Returns'!A:CT,(1+$B$7+C26),FALSE())</f>
        <v>0.0818</v>
      </c>
      <c r="F26" s="97" t="n">
        <f aca="false">$B$10</f>
        <v>0.025</v>
      </c>
      <c r="G26" s="98" t="n">
        <f aca="false">G25*(1+F26)</f>
        <v>1.24886296994767</v>
      </c>
      <c r="H26" s="99" t="n">
        <f aca="false">$B$11*(1+$B$12)^(C26-1)</f>
        <v>119509.256862231</v>
      </c>
      <c r="I26" s="93"/>
      <c r="J26" s="100" t="n">
        <f aca="false">IF(C26=1,#REF!,AA25)</f>
        <v>2770600.92718461</v>
      </c>
      <c r="K26" s="99" t="n">
        <f aca="false">J26*E26</f>
        <v>226635.155843701</v>
      </c>
      <c r="L26" s="99" t="n">
        <f aca="false">J26+K26</f>
        <v>2997236.08302831</v>
      </c>
      <c r="M26" s="101" t="str">
        <f aca="false">IF(D26="-","-",IF($F$4="Roth","-",IF($E$3="Health Savings Account","-",IF(AND(A26=2033,D26=74),VLOOKUP(D26,Tables!G:H,2,FALSE()),IF(AND(A26&gt;2032,D26&lt;75),"-",IF(D26&lt;73,"-",VLOOKUP(D26,Tables!G:H,2,FALSE())))))))</f>
        <v>-</v>
      </c>
      <c r="N26" s="99" t="n">
        <f aca="false">IF($M26="-",0,J26/$M26)</f>
        <v>0</v>
      </c>
      <c r="O26" s="99" t="n">
        <f aca="false">IF(D26&gt;$B$4,0,IF(D26&lt;$B$3,0,$B$8*(1+$B$10)^(C26-1)))</f>
        <v>124886.296994767</v>
      </c>
      <c r="P26" s="99" t="n">
        <f aca="false">MAX(N26,O26)</f>
        <v>124886.296994767</v>
      </c>
      <c r="Q26" s="99" t="n">
        <f aca="false">MAX(0,L26-P26)</f>
        <v>2872349.78603354</v>
      </c>
      <c r="R26" s="99" t="n">
        <f aca="false">IF($E$5="None",0,IF(D26&gt;=$B$3,0,IF($E$5="Monthly",MIN((($E$6+$E$8*(C26-1))*12),$E$9*12),IF($E$5="Annual",MIN((($E$6+$E$8*(C26-1))),$E$9),IF($E$5="% of Salary",MIN(($E$7+$E$10*(C26-1))*H26,$E$11*H26),IF($E$5="Maximum Allowable",T26+U26,0))))))</f>
        <v>0</v>
      </c>
      <c r="S26" s="99" t="n">
        <f aca="false">IF($H$2="None",0,IF($N$3=1,0,IF(D26&gt;=$B$3,0,IF($H$2="Monthly",($H$3*12),IF($H$2="Annual",$H$3,IF($H$2="% of Salary",$H$4*H26,IF($H$2="Match",MIN($H$5*W26,$H$6*H26),IF($H$2="Maximum Allowable",V26,0))))))))</f>
        <v>0</v>
      </c>
      <c r="T26" s="99" t="n">
        <f aca="false">$N$4*(1+$B$10)^(C26-1)</f>
        <v>8117.60930465982</v>
      </c>
      <c r="U26" s="99" t="n">
        <f aca="false">IF(AND($F$3=4,D26&lt;55),0,IF(D26&lt;50,0,IF(A26&lt;2025,$N$5*(1+$B$10)^(C26-1),IF(AND(D26&gt;59,D26&lt;64),$N$5*IF($N$3=2,1.5,1)*(1+$B$10)^(C26-1),$N$5*(1+$B$10)^(C26-1)))))</f>
        <v>1248.86296994767</v>
      </c>
      <c r="V26" s="99" t="n">
        <f aca="false">IF($N$3=1,0,$N$6*(1+$B$10)^(C26-1)-W26)</f>
        <v>0</v>
      </c>
      <c r="W26" s="99" t="n">
        <f aca="false">MIN(R26,T26)</f>
        <v>0</v>
      </c>
      <c r="X26" s="99" t="n">
        <f aca="false">MIN(U26,R26-W26)</f>
        <v>0</v>
      </c>
      <c r="Y26" s="99" t="n">
        <f aca="false">MIN(S26,V26)</f>
        <v>0</v>
      </c>
      <c r="Z26" s="99" t="n">
        <f aca="false">W26+X26+Y26</f>
        <v>0</v>
      </c>
      <c r="AA26" s="100" t="n">
        <f aca="false">Q26+W26+X26+Y26</f>
        <v>2872349.78603354</v>
      </c>
      <c r="AB26" s="93"/>
      <c r="AC26" s="59"/>
      <c r="AD26" s="59"/>
      <c r="AE26" s="59"/>
      <c r="AF26" s="59"/>
      <c r="AG26" s="59"/>
      <c r="AH26" s="59"/>
      <c r="AI26" s="59"/>
      <c r="AJ26" s="59"/>
      <c r="AK26" s="59"/>
    </row>
    <row r="27" customFormat="false" ht="15.75" hidden="false" customHeight="false" outlineLevel="0" collapsed="false">
      <c r="A27" s="94" t="n">
        <f aca="false">A26+1</f>
        <v>2033</v>
      </c>
      <c r="B27" s="95" t="n">
        <f aca="false">DATE(YEAR(B26)+1,MONTH(B26),DAY(B26))</f>
        <v>48669</v>
      </c>
      <c r="C27" s="96" t="n">
        <f aca="false">C26+1</f>
        <v>11</v>
      </c>
      <c r="D27" s="102" t="n">
        <f aca="false">IF(D26="-","-",IF(D26+1&gt;B$4,"-",D26+1))</f>
        <v>71</v>
      </c>
      <c r="E27" s="97" t="n">
        <f aca="false">HLOOKUP($B$6,'RetireUp Market Returns'!A:CT,(1+$B$7+C27),FALSE())</f>
        <v>0.1008</v>
      </c>
      <c r="F27" s="97" t="n">
        <f aca="false">$B$10</f>
        <v>0.025</v>
      </c>
      <c r="G27" s="98" t="n">
        <f aca="false">G26*(1+F27)</f>
        <v>1.28008454419636</v>
      </c>
      <c r="H27" s="99" t="n">
        <f aca="false">$B$11*(1+$B$12)^(C27-1)</f>
        <v>121899.441999476</v>
      </c>
      <c r="I27" s="93"/>
      <c r="J27" s="100" t="n">
        <f aca="false">IF(C27=1,#REF!,AA26)</f>
        <v>2872349.78603354</v>
      </c>
      <c r="K27" s="99" t="n">
        <f aca="false">J27*E27</f>
        <v>289532.858432181</v>
      </c>
      <c r="L27" s="99" t="n">
        <f aca="false">J27+K27</f>
        <v>3161882.64446572</v>
      </c>
      <c r="M27" s="101" t="str">
        <f aca="false">IF(D27="-","-",IF($F$4="Roth","-",IF($E$3="Health Savings Account","-",IF(AND(A27=2033,D27=74),VLOOKUP(D27,Tables!G:H,2,FALSE()),IF(AND(A27&gt;2032,D27&lt;75),"-",IF(D27&lt;73,"-",VLOOKUP(D27,Tables!G:H,2,FALSE())))))))</f>
        <v>-</v>
      </c>
      <c r="N27" s="99" t="n">
        <f aca="false">IF($M27="-",0,J27/$M27)</f>
        <v>0</v>
      </c>
      <c r="O27" s="99" t="n">
        <f aca="false">IF(D27&gt;$B$4,0,IF(D27&lt;$B$3,0,$B$8*(1+$B$10)^(C27-1)))</f>
        <v>128008.454419636</v>
      </c>
      <c r="P27" s="99" t="n">
        <f aca="false">MAX(N27,O27)</f>
        <v>128008.454419636</v>
      </c>
      <c r="Q27" s="99" t="n">
        <f aca="false">MAX(0,L27-P27)</f>
        <v>3033874.19004608</v>
      </c>
      <c r="R27" s="99" t="n">
        <f aca="false">IF($E$5="None",0,IF(D27&gt;=$B$3,0,IF($E$5="Monthly",MIN((($E$6+$E$8*(C27-1))*12),$E$9*12),IF($E$5="Annual",MIN((($E$6+$E$8*(C27-1))),$E$9),IF($E$5="% of Salary",MIN(($E$7+$E$10*(C27-1))*H27,$E$11*H27),IF($E$5="Maximum Allowable",T27+U27,0))))))</f>
        <v>0</v>
      </c>
      <c r="S27" s="99" t="n">
        <f aca="false">IF($H$2="None",0,IF($N$3=1,0,IF(D27&gt;=$B$3,0,IF($H$2="Monthly",($H$3*12),IF($H$2="Annual",$H$3,IF($H$2="% of Salary",$H$4*H27,IF($H$2="Match",MIN($H$5*W27,$H$6*H27),IF($H$2="Maximum Allowable",V27,0))))))))</f>
        <v>0</v>
      </c>
      <c r="T27" s="99" t="n">
        <f aca="false">$N$4*(1+$B$10)^(C27-1)</f>
        <v>8320.54953727632</v>
      </c>
      <c r="U27" s="99" t="n">
        <f aca="false">IF(AND($F$3=4,D27&lt;55),0,IF(D27&lt;50,0,IF(A27&lt;2025,$N$5*(1+$B$10)^(C27-1),IF(AND(D27&gt;59,D27&lt;64),$N$5*IF($N$3=2,1.5,1)*(1+$B$10)^(C27-1),$N$5*(1+$B$10)^(C27-1)))))</f>
        <v>1280.08454419636</v>
      </c>
      <c r="V27" s="99" t="n">
        <f aca="false">IF($N$3=1,0,$N$6*(1+$B$10)^(C27-1)-W27)</f>
        <v>0</v>
      </c>
      <c r="W27" s="99" t="n">
        <f aca="false">MIN(R27,T27)</f>
        <v>0</v>
      </c>
      <c r="X27" s="99" t="n">
        <f aca="false">MIN(U27,R27-W27)</f>
        <v>0</v>
      </c>
      <c r="Y27" s="99" t="n">
        <f aca="false">MIN(S27,V27)</f>
        <v>0</v>
      </c>
      <c r="Z27" s="99" t="n">
        <f aca="false">W27+X27+Y27</f>
        <v>0</v>
      </c>
      <c r="AA27" s="100" t="n">
        <f aca="false">Q27+W27+X27+Y27</f>
        <v>3033874.19004608</v>
      </c>
      <c r="AB27" s="93"/>
      <c r="AC27" s="59"/>
      <c r="AD27" s="59"/>
      <c r="AE27" s="59"/>
      <c r="AF27" s="59"/>
      <c r="AG27" s="59"/>
      <c r="AH27" s="59"/>
      <c r="AI27" s="59"/>
      <c r="AJ27" s="59"/>
      <c r="AK27" s="59"/>
    </row>
    <row r="28" customFormat="false" ht="15.75" hidden="false" customHeight="false" outlineLevel="0" collapsed="false">
      <c r="A28" s="94" t="n">
        <f aca="false">A27+1</f>
        <v>2034</v>
      </c>
      <c r="B28" s="95" t="n">
        <f aca="false">DATE(YEAR(B27)+1,MONTH(B27),DAY(B27))</f>
        <v>49034</v>
      </c>
      <c r="C28" s="96" t="n">
        <f aca="false">C27+1</f>
        <v>12</v>
      </c>
      <c r="D28" s="102" t="n">
        <f aca="false">IF(D27="-","-",IF(D27+1&gt;B$4,"-",D27+1))</f>
        <v>72</v>
      </c>
      <c r="E28" s="97" t="n">
        <f aca="false">HLOOKUP($B$6,'RetireUp Market Returns'!A:CT,(1+$B$7+C28),FALSE())</f>
        <v>-0.0492</v>
      </c>
      <c r="F28" s="97" t="n">
        <f aca="false">$B$10</f>
        <v>0.025</v>
      </c>
      <c r="G28" s="98" t="n">
        <f aca="false">G27*(1+F28)</f>
        <v>1.31208665780127</v>
      </c>
      <c r="H28" s="99" t="n">
        <f aca="false">$B$11*(1+$B$12)^(C28-1)</f>
        <v>124337.430839465</v>
      </c>
      <c r="I28" s="93"/>
      <c r="J28" s="100" t="n">
        <f aca="false">IF(C28=1,#REF!,AA27)</f>
        <v>3033874.19004608</v>
      </c>
      <c r="K28" s="99" t="n">
        <f aca="false">J28*E28</f>
        <v>-149266.610150267</v>
      </c>
      <c r="L28" s="99" t="n">
        <f aca="false">J28+K28</f>
        <v>2884607.57989582</v>
      </c>
      <c r="M28" s="101" t="str">
        <f aca="false">IF(D28="-","-",IF($F$4="Roth","-",IF($E$3="Health Savings Account","-",IF(AND(A28=2033,D28=74),VLOOKUP(D28,Tables!G:H,2,FALSE()),IF(AND(A28&gt;2032,D28&lt;75),"-",IF(D28&lt;73,"-",VLOOKUP(D28,Tables!G:H,2,FALSE())))))))</f>
        <v>-</v>
      </c>
      <c r="N28" s="99" t="n">
        <f aca="false">IF($M28="-",0,J28/$M28)</f>
        <v>0</v>
      </c>
      <c r="O28" s="99" t="n">
        <f aca="false">IF(D28&gt;$B$4,0,IF(D28&lt;$B$3,0,$B$8*(1+$B$10)^(C28-1)))</f>
        <v>131208.665780127</v>
      </c>
      <c r="P28" s="99" t="n">
        <f aca="false">MAX(N28,O28)</f>
        <v>131208.665780127</v>
      </c>
      <c r="Q28" s="99" t="n">
        <f aca="false">MAX(0,L28-P28)</f>
        <v>2753398.91411569</v>
      </c>
      <c r="R28" s="99" t="n">
        <f aca="false">IF($E$5="None",0,IF(D28&gt;=$B$3,0,IF($E$5="Monthly",MIN((($E$6+$E$8*(C28-1))*12),$E$9*12),IF($E$5="Annual",MIN((($E$6+$E$8*(C28-1))),$E$9),IF($E$5="% of Salary",MIN(($E$7+$E$10*(C28-1))*H28,$E$11*H28),IF($E$5="Maximum Allowable",T28+U28,0))))))</f>
        <v>0</v>
      </c>
      <c r="S28" s="99" t="n">
        <f aca="false">IF($H$2="None",0,IF($N$3=1,0,IF(D28&gt;=$B$3,0,IF($H$2="Monthly",($H$3*12),IF($H$2="Annual",$H$3,IF($H$2="% of Salary",$H$4*H28,IF($H$2="Match",MIN($H$5*W28,$H$6*H28),IF($H$2="Maximum Allowable",V28,0))))))))</f>
        <v>0</v>
      </c>
      <c r="T28" s="99" t="n">
        <f aca="false">$N$4*(1+$B$10)^(C28-1)</f>
        <v>8528.56327570823</v>
      </c>
      <c r="U28" s="99" t="n">
        <f aca="false">IF(AND($F$3=4,D28&lt;55),0,IF(D28&lt;50,0,IF(A28&lt;2025,$N$5*(1+$B$10)^(C28-1),IF(AND(D28&gt;59,D28&lt;64),$N$5*IF($N$3=2,1.5,1)*(1+$B$10)^(C28-1),$N$5*(1+$B$10)^(C28-1)))))</f>
        <v>1312.08665780127</v>
      </c>
      <c r="V28" s="99" t="n">
        <f aca="false">IF($N$3=1,0,$N$6*(1+$B$10)^(C28-1)-W28)</f>
        <v>0</v>
      </c>
      <c r="W28" s="99" t="n">
        <f aca="false">MIN(R28,T28)</f>
        <v>0</v>
      </c>
      <c r="X28" s="99" t="n">
        <f aca="false">MIN(U28,R28-W28)</f>
        <v>0</v>
      </c>
      <c r="Y28" s="99" t="n">
        <f aca="false">MIN(S28,V28)</f>
        <v>0</v>
      </c>
      <c r="Z28" s="99" t="n">
        <f aca="false">W28+X28+Y28</f>
        <v>0</v>
      </c>
      <c r="AA28" s="100" t="n">
        <f aca="false">Q28+W28+X28+Y28</f>
        <v>2753398.91411569</v>
      </c>
      <c r="AB28" s="93"/>
      <c r="AC28" s="59"/>
      <c r="AD28" s="59"/>
      <c r="AE28" s="59"/>
      <c r="AF28" s="59"/>
      <c r="AG28" s="59"/>
      <c r="AH28" s="59"/>
      <c r="AI28" s="59"/>
      <c r="AJ28" s="59"/>
      <c r="AK28" s="59"/>
    </row>
    <row r="29" customFormat="false" ht="15.75" hidden="false" customHeight="false" outlineLevel="0" collapsed="false">
      <c r="A29" s="94" t="n">
        <f aca="false">A28+1</f>
        <v>2035</v>
      </c>
      <c r="B29" s="95" t="n">
        <f aca="false">DATE(YEAR(B28)+1,MONTH(B28),DAY(B28))</f>
        <v>49399</v>
      </c>
      <c r="C29" s="96" t="n">
        <f aca="false">C28+1</f>
        <v>13</v>
      </c>
      <c r="D29" s="102" t="n">
        <f aca="false">IF(D28="-","-",IF(D28+1&gt;B$4,"-",D28+1))</f>
        <v>73</v>
      </c>
      <c r="E29" s="97" t="n">
        <f aca="false">HLOOKUP($B$6,'RetireUp Market Returns'!A:CT,(1+$B$7+C29),FALSE())</f>
        <v>0.0123</v>
      </c>
      <c r="F29" s="97" t="n">
        <f aca="false">$B$10</f>
        <v>0.025</v>
      </c>
      <c r="G29" s="98" t="n">
        <f aca="false">G28*(1+F29)</f>
        <v>1.3448888242463</v>
      </c>
      <c r="H29" s="99" t="n">
        <f aca="false">$B$11*(1+$B$12)^(C29-1)</f>
        <v>126824.179456255</v>
      </c>
      <c r="I29" s="93"/>
      <c r="J29" s="100" t="n">
        <f aca="false">IF(C29=1,#REF!,AA28)</f>
        <v>2753398.91411569</v>
      </c>
      <c r="K29" s="99" t="n">
        <f aca="false">J29*E29</f>
        <v>33866.806643623</v>
      </c>
      <c r="L29" s="99" t="n">
        <f aca="false">J29+K29</f>
        <v>2787265.72075931</v>
      </c>
      <c r="M29" s="101" t="str">
        <f aca="false">IF(D29="-","-",IF($F$4="Roth","-",IF($E$3="Health Savings Account","-",IF(AND(A29=2033,D29=74),VLOOKUP(D29,Tables!G:H,2,FALSE()),IF(AND(A29&gt;2032,D29&lt;75),"-",IF(D29&lt;73,"-",VLOOKUP(D29,Tables!G:H,2,FALSE())))))))</f>
        <v>-</v>
      </c>
      <c r="N29" s="99" t="n">
        <f aca="false">IF($M29="-",0,J29/$M29)</f>
        <v>0</v>
      </c>
      <c r="O29" s="99" t="n">
        <f aca="false">IF(D29&gt;$B$4,0,IF(D29&lt;$B$3,0,$B$8*(1+$B$10)^(C29-1)))</f>
        <v>134488.88242463</v>
      </c>
      <c r="P29" s="99" t="n">
        <f aca="false">MAX(N29,O29)</f>
        <v>134488.88242463</v>
      </c>
      <c r="Q29" s="99" t="n">
        <f aca="false">MAX(0,L29-P29)</f>
        <v>2652776.83833468</v>
      </c>
      <c r="R29" s="99" t="n">
        <f aca="false">IF($E$5="None",0,IF(D29&gt;=$B$3,0,IF($E$5="Monthly",MIN((($E$6+$E$8*(C29-1))*12),$E$9*12),IF($E$5="Annual",MIN((($E$6+$E$8*(C29-1))),$E$9),IF($E$5="% of Salary",MIN(($E$7+$E$10*(C29-1))*H29,$E$11*H29),IF($E$5="Maximum Allowable",T29+U29,0))))))</f>
        <v>0</v>
      </c>
      <c r="S29" s="99" t="n">
        <f aca="false">IF($H$2="None",0,IF($N$3=1,0,IF(D29&gt;=$B$3,0,IF($H$2="Monthly",($H$3*12),IF($H$2="Annual",$H$3,IF($H$2="% of Salary",$H$4*H29,IF($H$2="Match",MIN($H$5*W29,$H$6*H29),IF($H$2="Maximum Allowable",V29,0))))))))</f>
        <v>0</v>
      </c>
      <c r="T29" s="99" t="n">
        <f aca="false">$N$4*(1+$B$10)^(C29-1)</f>
        <v>8741.77735760093</v>
      </c>
      <c r="U29" s="99" t="n">
        <f aca="false">IF(AND($F$3=4,D29&lt;55),0,IF(D29&lt;50,0,IF(A29&lt;2025,$N$5*(1+$B$10)^(C29-1),IF(AND(D29&gt;59,D29&lt;64),$N$5*IF($N$3=2,1.5,1)*(1+$B$10)^(C29-1),$N$5*(1+$B$10)^(C29-1)))))</f>
        <v>1344.8888242463</v>
      </c>
      <c r="V29" s="99" t="n">
        <f aca="false">IF($N$3=1,0,$N$6*(1+$B$10)^(C29-1)-W29)</f>
        <v>0</v>
      </c>
      <c r="W29" s="99" t="n">
        <f aca="false">MIN(R29,T29)</f>
        <v>0</v>
      </c>
      <c r="X29" s="99" t="n">
        <f aca="false">MIN(U29,R29-W29)</f>
        <v>0</v>
      </c>
      <c r="Y29" s="99" t="n">
        <f aca="false">MIN(S29,V29)</f>
        <v>0</v>
      </c>
      <c r="Z29" s="99" t="n">
        <f aca="false">W29+X29+Y29</f>
        <v>0</v>
      </c>
      <c r="AA29" s="100" t="n">
        <f aca="false">Q29+W29+X29+Y29</f>
        <v>2652776.83833468</v>
      </c>
      <c r="AB29" s="93"/>
      <c r="AC29" s="59"/>
      <c r="AD29" s="59"/>
      <c r="AE29" s="59"/>
      <c r="AF29" s="59"/>
      <c r="AG29" s="59"/>
      <c r="AH29" s="59"/>
      <c r="AI29" s="59"/>
      <c r="AJ29" s="59"/>
      <c r="AK29" s="59"/>
    </row>
    <row r="30" customFormat="false" ht="15.75" hidden="false" customHeight="false" outlineLevel="0" collapsed="false">
      <c r="A30" s="94" t="n">
        <f aca="false">A29+1</f>
        <v>2036</v>
      </c>
      <c r="B30" s="95" t="n">
        <f aca="false">DATE(YEAR(B29)+1,MONTH(B29),DAY(B29))</f>
        <v>49765</v>
      </c>
      <c r="C30" s="96" t="n">
        <f aca="false">C29+1</f>
        <v>14</v>
      </c>
      <c r="D30" s="102" t="n">
        <f aca="false">IF(D29="-","-",IF(D29+1&gt;B$4,"-",D29+1))</f>
        <v>74</v>
      </c>
      <c r="E30" s="97" t="n">
        <f aca="false">HLOOKUP($B$6,'RetireUp Market Returns'!A:CT,(1+$B$7+C30),FALSE())</f>
        <v>0.0641</v>
      </c>
      <c r="F30" s="97" t="n">
        <f aca="false">$B$10</f>
        <v>0.025</v>
      </c>
      <c r="G30" s="98" t="n">
        <f aca="false">G29*(1+F30)</f>
        <v>1.37851104485245</v>
      </c>
      <c r="H30" s="99" t="n">
        <f aca="false">$B$11*(1+$B$12)^(C30-1)</f>
        <v>129360.66304538</v>
      </c>
      <c r="I30" s="93"/>
      <c r="J30" s="100" t="n">
        <f aca="false">IF(C30=1,#REF!,AA29)</f>
        <v>2652776.83833468</v>
      </c>
      <c r="K30" s="99" t="n">
        <f aca="false">J30*E30</f>
        <v>170042.995337253</v>
      </c>
      <c r="L30" s="99" t="n">
        <f aca="false">J30+K30</f>
        <v>2822819.83367194</v>
      </c>
      <c r="M30" s="101" t="str">
        <f aca="false">IF(D30="-","-",IF($F$4="Roth","-",IF($E$3="Health Savings Account","-",IF(AND(A30=2033,D30=74),VLOOKUP(D30,Tables!G:H,2,FALSE()),IF(AND(A30&gt;2032,D30&lt;75),"-",IF(D30&lt;73,"-",VLOOKUP(D30,Tables!G:H,2,FALSE())))))))</f>
        <v>-</v>
      </c>
      <c r="N30" s="99" t="n">
        <f aca="false">IF($M30="-",0,J30/$M30)</f>
        <v>0</v>
      </c>
      <c r="O30" s="99" t="n">
        <f aca="false">IF(D30&gt;$B$4,0,IF(D30&lt;$B$3,0,$B$8*(1+$B$10)^(C30-1)))</f>
        <v>137851.104485245</v>
      </c>
      <c r="P30" s="99" t="n">
        <f aca="false">MAX(N30,O30)</f>
        <v>137851.104485245</v>
      </c>
      <c r="Q30" s="99" t="n">
        <f aca="false">MAX(0,L30-P30)</f>
        <v>2684968.72918669</v>
      </c>
      <c r="R30" s="99" t="n">
        <f aca="false">IF($E$5="None",0,IF(D30&gt;=$B$3,0,IF($E$5="Monthly",MIN((($E$6+$E$8*(C30-1))*12),$E$9*12),IF($E$5="Annual",MIN((($E$6+$E$8*(C30-1))),$E$9),IF($E$5="% of Salary",MIN(($E$7+$E$10*(C30-1))*H30,$E$11*H30),IF($E$5="Maximum Allowable",T30+U30,0))))))</f>
        <v>0</v>
      </c>
      <c r="S30" s="99" t="n">
        <f aca="false">IF($H$2="None",0,IF($N$3=1,0,IF(D30&gt;=$B$3,0,IF($H$2="Monthly",($H$3*12),IF($H$2="Annual",$H$3,IF($H$2="% of Salary",$H$4*H30,IF($H$2="Match",MIN($H$5*W30,$H$6*H30),IF($H$2="Maximum Allowable",V30,0))))))))</f>
        <v>0</v>
      </c>
      <c r="T30" s="99" t="n">
        <f aca="false">$N$4*(1+$B$10)^(C30-1)</f>
        <v>8960.32179154095</v>
      </c>
      <c r="U30" s="99" t="n">
        <f aca="false">IF(AND($F$3=4,D30&lt;55),0,IF(D30&lt;50,0,IF(A30&lt;2025,$N$5*(1+$B$10)^(C30-1),IF(AND(D30&gt;59,D30&lt;64),$N$5*IF($N$3=2,1.5,1)*(1+$B$10)^(C30-1),$N$5*(1+$B$10)^(C30-1)))))</f>
        <v>1378.51104485245</v>
      </c>
      <c r="V30" s="99" t="n">
        <f aca="false">IF($N$3=1,0,$N$6*(1+$B$10)^(C30-1)-W30)</f>
        <v>0</v>
      </c>
      <c r="W30" s="99" t="n">
        <f aca="false">MIN(R30,T30)</f>
        <v>0</v>
      </c>
      <c r="X30" s="99" t="n">
        <f aca="false">MIN(U30,R30-W30)</f>
        <v>0</v>
      </c>
      <c r="Y30" s="99" t="n">
        <f aca="false">MIN(S30,V30)</f>
        <v>0</v>
      </c>
      <c r="Z30" s="99" t="n">
        <f aca="false">W30+X30+Y30</f>
        <v>0</v>
      </c>
      <c r="AA30" s="100" t="n">
        <f aca="false">Q30+W30+X30+Y30</f>
        <v>2684968.72918669</v>
      </c>
      <c r="AB30" s="93"/>
      <c r="AC30" s="59"/>
      <c r="AD30" s="59"/>
      <c r="AE30" s="59"/>
      <c r="AF30" s="59"/>
      <c r="AG30" s="59"/>
      <c r="AH30" s="59"/>
      <c r="AI30" s="59"/>
      <c r="AJ30" s="59"/>
      <c r="AK30" s="59"/>
    </row>
    <row r="31" customFormat="false" ht="15.75" hidden="false" customHeight="false" outlineLevel="0" collapsed="false">
      <c r="A31" s="94" t="n">
        <f aca="false">A30+1</f>
        <v>2037</v>
      </c>
      <c r="B31" s="95" t="n">
        <f aca="false">DATE(YEAR(B30)+1,MONTH(B30),DAY(B30))</f>
        <v>50130</v>
      </c>
      <c r="C31" s="96" t="n">
        <f aca="false">C30+1</f>
        <v>15</v>
      </c>
      <c r="D31" s="102" t="n">
        <f aca="false">IF(D30="-","-",IF(D30+1&gt;B$4,"-",D30+1))</f>
        <v>75</v>
      </c>
      <c r="E31" s="97" t="n">
        <f aca="false">HLOOKUP($B$6,'RetireUp Market Returns'!A:CT,(1+$B$7+C31),FALSE())</f>
        <v>0.1071</v>
      </c>
      <c r="F31" s="97" t="n">
        <f aca="false">$B$10</f>
        <v>0.025</v>
      </c>
      <c r="G31" s="98" t="n">
        <f aca="false">G30*(1+F31)</f>
        <v>1.41297382097377</v>
      </c>
      <c r="H31" s="99" t="n">
        <f aca="false">$B$11*(1+$B$12)^(C31-1)</f>
        <v>131947.876306287</v>
      </c>
      <c r="I31" s="93"/>
      <c r="J31" s="100" t="n">
        <f aca="false">IF(C31=1,#REF!,AA30)</f>
        <v>2684968.72918669</v>
      </c>
      <c r="K31" s="99" t="n">
        <f aca="false">J31*E31</f>
        <v>287560.150895895</v>
      </c>
      <c r="L31" s="99" t="n">
        <f aca="false">J31+K31</f>
        <v>2972528.88008259</v>
      </c>
      <c r="M31" s="101" t="n">
        <f aca="false">IF(D31="-","-",IF($F$4="Roth","-",IF($E$3="Health Savings Account","-",IF(AND(A31=2033,D31=74),VLOOKUP(D31,Tables!G:H,2,FALSE()),IF(AND(A31&gt;2032,D31&lt;75),"-",IF(D31&lt;73,"-",VLOOKUP(D31,Tables!G:H,2,FALSE())))))))</f>
        <v>24.6</v>
      </c>
      <c r="N31" s="99" t="n">
        <f aca="false">IF($M31="-",0,J31/$M31)</f>
        <v>109145.070292142</v>
      </c>
      <c r="O31" s="99" t="n">
        <f aca="false">IF(D31&gt;$B$4,0,IF(D31&lt;$B$3,0,$B$8*(1+$B$10)^(C31-1)))</f>
        <v>141297.382097377</v>
      </c>
      <c r="P31" s="99" t="n">
        <f aca="false">MAX(N31,O31)</f>
        <v>141297.382097377</v>
      </c>
      <c r="Q31" s="99" t="n">
        <f aca="false">MAX(0,L31-P31)</f>
        <v>2831231.49798521</v>
      </c>
      <c r="R31" s="99" t="n">
        <f aca="false">IF($E$5="None",0,IF(D31&gt;=$B$3,0,IF($E$5="Monthly",MIN((($E$6+$E$8*(C31-1))*12),$E$9*12),IF($E$5="Annual",MIN((($E$6+$E$8*(C31-1))),$E$9),IF($E$5="% of Salary",MIN(($E$7+$E$10*(C31-1))*H31,$E$11*H31),IF($E$5="Maximum Allowable",T31+U31,0))))))</f>
        <v>0</v>
      </c>
      <c r="S31" s="99" t="n">
        <f aca="false">IF($H$2="None",0,IF($N$3=1,0,IF(D31&gt;=$B$3,0,IF($H$2="Monthly",($H$3*12),IF($H$2="Annual",$H$3,IF($H$2="% of Salary",$H$4*H31,IF($H$2="Match",MIN($H$5*W31,$H$6*H31),IF($H$2="Maximum Allowable",V31,0))))))))</f>
        <v>0</v>
      </c>
      <c r="T31" s="99" t="n">
        <f aca="false">$N$4*(1+$B$10)^(C31-1)</f>
        <v>9184.32983632948</v>
      </c>
      <c r="U31" s="99" t="n">
        <f aca="false">IF(AND($F$3=4,D31&lt;55),0,IF(D31&lt;50,0,IF(A31&lt;2025,$N$5*(1+$B$10)^(C31-1),IF(AND(D31&gt;59,D31&lt;64),$N$5*IF($N$3=2,1.5,1)*(1+$B$10)^(C31-1),$N$5*(1+$B$10)^(C31-1)))))</f>
        <v>1412.97382097377</v>
      </c>
      <c r="V31" s="99" t="n">
        <f aca="false">IF($N$3=1,0,$N$6*(1+$B$10)^(C31-1)-W31)</f>
        <v>0</v>
      </c>
      <c r="W31" s="99" t="n">
        <f aca="false">MIN(R31,T31)</f>
        <v>0</v>
      </c>
      <c r="X31" s="99" t="n">
        <f aca="false">MIN(U31,R31-W31)</f>
        <v>0</v>
      </c>
      <c r="Y31" s="99" t="n">
        <f aca="false">MIN(S31,V31)</f>
        <v>0</v>
      </c>
      <c r="Z31" s="99" t="n">
        <f aca="false">W31+X31+Y31</f>
        <v>0</v>
      </c>
      <c r="AA31" s="100" t="n">
        <f aca="false">Q31+W31+X31+Y31</f>
        <v>2831231.49798521</v>
      </c>
      <c r="AB31" s="93"/>
      <c r="AC31" s="59"/>
      <c r="AD31" s="59"/>
      <c r="AE31" s="59"/>
      <c r="AF31" s="59"/>
      <c r="AG31" s="59"/>
      <c r="AH31" s="59"/>
      <c r="AI31" s="59"/>
      <c r="AJ31" s="59"/>
      <c r="AK31" s="59"/>
    </row>
    <row r="32" customFormat="false" ht="15.75" hidden="false" customHeight="false" outlineLevel="0" collapsed="false">
      <c r="A32" s="94" t="n">
        <f aca="false">A31+1</f>
        <v>2038</v>
      </c>
      <c r="B32" s="95" t="n">
        <f aca="false">DATE(YEAR(B31)+1,MONTH(B31),DAY(B31))</f>
        <v>50495</v>
      </c>
      <c r="C32" s="96" t="n">
        <f aca="false">C31+1</f>
        <v>16</v>
      </c>
      <c r="D32" s="102" t="n">
        <f aca="false">IF(D31="-","-",IF(D31+1&gt;B$4,"-",D31+1))</f>
        <v>76</v>
      </c>
      <c r="E32" s="97" t="n">
        <f aca="false">HLOOKUP($B$6,'RetireUp Market Returns'!A:CT,(1+$B$7+C32),FALSE())</f>
        <v>0.0651</v>
      </c>
      <c r="F32" s="97" t="n">
        <f aca="false">$B$10</f>
        <v>0.025</v>
      </c>
      <c r="G32" s="98" t="n">
        <f aca="false">G31*(1+F32)</f>
        <v>1.44829816649811</v>
      </c>
      <c r="H32" s="99" t="n">
        <f aca="false">$B$11*(1+$B$12)^(C32-1)</f>
        <v>134586.833832413</v>
      </c>
      <c r="I32" s="93"/>
      <c r="J32" s="100" t="n">
        <f aca="false">IF(C32=1,#REF!,AA31)</f>
        <v>2831231.49798521</v>
      </c>
      <c r="K32" s="99" t="n">
        <f aca="false">J32*E32</f>
        <v>184313.170518837</v>
      </c>
      <c r="L32" s="99" t="n">
        <f aca="false">J32+K32</f>
        <v>3015544.66850405</v>
      </c>
      <c r="M32" s="101" t="n">
        <f aca="false">IF(D32="-","-",IF($F$4="Roth","-",IF($E$3="Health Savings Account","-",IF(AND(A32=2033,D32=74),VLOOKUP(D32,Tables!G:H,2,FALSE()),IF(AND(A32&gt;2032,D32&lt;75),"-",IF(D32&lt;73,"-",VLOOKUP(D32,Tables!G:H,2,FALSE())))))))</f>
        <v>23.7</v>
      </c>
      <c r="N32" s="99" t="n">
        <f aca="false">IF($M32="-",0,J32/$M32)</f>
        <v>119461.244640726</v>
      </c>
      <c r="O32" s="99" t="n">
        <f aca="false">IF(D32&gt;$B$4,0,IF(D32&lt;$B$3,0,$B$8*(1+$B$10)^(C32-1)))</f>
        <v>144829.816649811</v>
      </c>
      <c r="P32" s="99" t="n">
        <f aca="false">MAX(N32,O32)</f>
        <v>144829.816649811</v>
      </c>
      <c r="Q32" s="99" t="n">
        <f aca="false">MAX(0,L32-P32)</f>
        <v>2870714.85185424</v>
      </c>
      <c r="R32" s="99" t="n">
        <f aca="false">IF($E$5="None",0,IF(D32&gt;=$B$3,0,IF($E$5="Monthly",MIN((($E$6+$E$8*(C32-1))*12),$E$9*12),IF($E$5="Annual",MIN((($E$6+$E$8*(C32-1))),$E$9),IF($E$5="% of Salary",MIN(($E$7+$E$10*(C32-1))*H32,$E$11*H32),IF($E$5="Maximum Allowable",T32+U32,0))))))</f>
        <v>0</v>
      </c>
      <c r="S32" s="99" t="n">
        <f aca="false">IF($H$2="None",0,IF($N$3=1,0,IF(D32&gt;=$B$3,0,IF($H$2="Monthly",($H$3*12),IF($H$2="Annual",$H$3,IF($H$2="% of Salary",$H$4*H32,IF($H$2="Match",MIN($H$5*W32,$H$6*H32),IF($H$2="Maximum Allowable",V32,0))))))))</f>
        <v>0</v>
      </c>
      <c r="T32" s="99" t="n">
        <f aca="false">$N$4*(1+$B$10)^(C32-1)</f>
        <v>9413.93808223771</v>
      </c>
      <c r="U32" s="99" t="n">
        <f aca="false">IF(AND($F$3=4,D32&lt;55),0,IF(D32&lt;50,0,IF(A32&lt;2025,$N$5*(1+$B$10)^(C32-1),IF(AND(D32&gt;59,D32&lt;64),$N$5*IF($N$3=2,1.5,1)*(1+$B$10)^(C32-1),$N$5*(1+$B$10)^(C32-1)))))</f>
        <v>1448.29816649811</v>
      </c>
      <c r="V32" s="99" t="n">
        <f aca="false">IF($N$3=1,0,$N$6*(1+$B$10)^(C32-1)-W32)</f>
        <v>0</v>
      </c>
      <c r="W32" s="99" t="n">
        <f aca="false">MIN(R32,T32)</f>
        <v>0</v>
      </c>
      <c r="X32" s="99" t="n">
        <f aca="false">MIN(U32,R32-W32)</f>
        <v>0</v>
      </c>
      <c r="Y32" s="99" t="n">
        <f aca="false">MIN(S32,V32)</f>
        <v>0</v>
      </c>
      <c r="Z32" s="99" t="n">
        <f aca="false">W32+X32+Y32</f>
        <v>0</v>
      </c>
      <c r="AA32" s="100" t="n">
        <f aca="false">Q32+W32+X32+Y32</f>
        <v>2870714.85185424</v>
      </c>
      <c r="AB32" s="93"/>
      <c r="AC32" s="59"/>
      <c r="AD32" s="59"/>
      <c r="AE32" s="59"/>
      <c r="AF32" s="59"/>
      <c r="AG32" s="59"/>
      <c r="AH32" s="59"/>
      <c r="AI32" s="59"/>
      <c r="AJ32" s="59"/>
      <c r="AK32" s="59"/>
    </row>
    <row r="33" customFormat="false" ht="15.75" hidden="false" customHeight="false" outlineLevel="0" collapsed="false">
      <c r="A33" s="94" t="n">
        <f aca="false">A32+1</f>
        <v>2039</v>
      </c>
      <c r="B33" s="95" t="n">
        <f aca="false">DATE(YEAR(B32)+1,MONTH(B32),DAY(B32))</f>
        <v>50860</v>
      </c>
      <c r="C33" s="96" t="n">
        <f aca="false">C32+1</f>
        <v>17</v>
      </c>
      <c r="D33" s="102" t="n">
        <f aca="false">IF(D32="-","-",IF(D32+1&gt;B$4,"-",D32+1))</f>
        <v>77</v>
      </c>
      <c r="E33" s="97" t="n">
        <f aca="false">HLOOKUP($B$6,'RetireUp Market Returns'!A:CT,(1+$B$7+C33),FALSE())</f>
        <v>0.08</v>
      </c>
      <c r="F33" s="97" t="n">
        <f aca="false">$B$10</f>
        <v>0.025</v>
      </c>
      <c r="G33" s="98" t="n">
        <f aca="false">G32*(1+F33)</f>
        <v>1.48450562066056</v>
      </c>
      <c r="H33" s="99" t="n">
        <f aca="false">$B$11*(1+$B$12)^(C33-1)</f>
        <v>137278.570509061</v>
      </c>
      <c r="I33" s="93"/>
      <c r="J33" s="100" t="n">
        <f aca="false">IF(C33=1,#REF!,AA32)</f>
        <v>2870714.85185424</v>
      </c>
      <c r="K33" s="99" t="n">
        <f aca="false">J33*E33</f>
        <v>229657.188148339</v>
      </c>
      <c r="L33" s="99" t="n">
        <f aca="false">J33+K33</f>
        <v>3100372.04000258</v>
      </c>
      <c r="M33" s="101" t="n">
        <f aca="false">IF(D33="-","-",IF($F$4="Roth","-",IF($E$3="Health Savings Account","-",IF(AND(A33=2033,D33=74),VLOOKUP(D33,Tables!G:H,2,FALSE()),IF(AND(A33&gt;2032,D33&lt;75),"-",IF(D33&lt;73,"-",VLOOKUP(D33,Tables!G:H,2,FALSE())))))))</f>
        <v>22.9</v>
      </c>
      <c r="N33" s="99" t="n">
        <f aca="false">IF($M33="-",0,J33/$M33)</f>
        <v>125358.727155207</v>
      </c>
      <c r="O33" s="99" t="n">
        <f aca="false">IF(D33&gt;$B$4,0,IF(D33&lt;$B$3,0,$B$8*(1+$B$10)^(C33-1)))</f>
        <v>148450.562066056</v>
      </c>
      <c r="P33" s="99" t="n">
        <f aca="false">MAX(N33,O33)</f>
        <v>148450.562066056</v>
      </c>
      <c r="Q33" s="99" t="n">
        <f aca="false">MAX(0,L33-P33)</f>
        <v>2951921.47793652</v>
      </c>
      <c r="R33" s="99" t="n">
        <f aca="false">IF($E$5="None",0,IF(D33&gt;=$B$3,0,IF($E$5="Monthly",MIN((($E$6+$E$8*(C33-1))*12),$E$9*12),IF($E$5="Annual",MIN((($E$6+$E$8*(C33-1))),$E$9),IF($E$5="% of Salary",MIN(($E$7+$E$10*(C33-1))*H33,$E$11*H33),IF($E$5="Maximum Allowable",T33+U33,0))))))</f>
        <v>0</v>
      </c>
      <c r="S33" s="99" t="n">
        <f aca="false">IF($H$2="None",0,IF($N$3=1,0,IF(D33&gt;=$B$3,0,IF($H$2="Monthly",($H$3*12),IF($H$2="Annual",$H$3,IF($H$2="% of Salary",$H$4*H33,IF($H$2="Match",MIN($H$5*W33,$H$6*H33),IF($H$2="Maximum Allowable",V33,0))))))))</f>
        <v>0</v>
      </c>
      <c r="T33" s="99" t="n">
        <f aca="false">$N$4*(1+$B$10)^(C33-1)</f>
        <v>9649.28653429366</v>
      </c>
      <c r="U33" s="99" t="n">
        <f aca="false">IF(AND($F$3=4,D33&lt;55),0,IF(D33&lt;50,0,IF(A33&lt;2025,$N$5*(1+$B$10)^(C33-1),IF(AND(D33&gt;59,D33&lt;64),$N$5*IF($N$3=2,1.5,1)*(1+$B$10)^(C33-1),$N$5*(1+$B$10)^(C33-1)))))</f>
        <v>1484.50562066056</v>
      </c>
      <c r="V33" s="99" t="n">
        <f aca="false">IF($N$3=1,0,$N$6*(1+$B$10)^(C33-1)-W33)</f>
        <v>0</v>
      </c>
      <c r="W33" s="99" t="n">
        <f aca="false">MIN(R33,T33)</f>
        <v>0</v>
      </c>
      <c r="X33" s="99" t="n">
        <f aca="false">MIN(U33,R33-W33)</f>
        <v>0</v>
      </c>
      <c r="Y33" s="99" t="n">
        <f aca="false">MIN(S33,V33)</f>
        <v>0</v>
      </c>
      <c r="Z33" s="99" t="n">
        <f aca="false">W33+X33+Y33</f>
        <v>0</v>
      </c>
      <c r="AA33" s="100" t="n">
        <f aca="false">Q33+W33+X33+Y33</f>
        <v>2951921.47793652</v>
      </c>
      <c r="AB33" s="93"/>
      <c r="AC33" s="59"/>
      <c r="AD33" s="59"/>
      <c r="AE33" s="59"/>
      <c r="AF33" s="59"/>
      <c r="AG33" s="59"/>
      <c r="AH33" s="59"/>
      <c r="AI33" s="59"/>
      <c r="AJ33" s="59"/>
      <c r="AK33" s="59"/>
    </row>
    <row r="34" customFormat="false" ht="15.75" hidden="false" customHeight="false" outlineLevel="0" collapsed="false">
      <c r="A34" s="94" t="n">
        <f aca="false">A33+1</f>
        <v>2040</v>
      </c>
      <c r="B34" s="95" t="n">
        <f aca="false">DATE(YEAR(B33)+1,MONTH(B33),DAY(B33))</f>
        <v>51226</v>
      </c>
      <c r="C34" s="96" t="n">
        <f aca="false">C33+1</f>
        <v>18</v>
      </c>
      <c r="D34" s="102" t="n">
        <f aca="false">IF(D33="-","-",IF(D33+1&gt;B$4,"-",D33+1))</f>
        <v>78</v>
      </c>
      <c r="E34" s="97" t="n">
        <f aca="false">HLOOKUP($B$6,'RetireUp Market Returns'!A:CT,(1+$B$7+C34),FALSE())</f>
        <v>0.0311</v>
      </c>
      <c r="F34" s="97" t="n">
        <f aca="false">$B$10</f>
        <v>0.025</v>
      </c>
      <c r="G34" s="98" t="n">
        <f aca="false">G33*(1+F34)</f>
        <v>1.52161826117708</v>
      </c>
      <c r="H34" s="99" t="n">
        <f aca="false">$B$11*(1+$B$12)^(C34-1)</f>
        <v>140024.141919242</v>
      </c>
      <c r="I34" s="93"/>
      <c r="J34" s="100" t="n">
        <f aca="false">IF(C34=1,#REF!,AA33)</f>
        <v>2951921.47793652</v>
      </c>
      <c r="K34" s="99" t="n">
        <f aca="false">J34*E34</f>
        <v>91804.7579638257</v>
      </c>
      <c r="L34" s="99" t="n">
        <f aca="false">J34+K34</f>
        <v>3043726.23590034</v>
      </c>
      <c r="M34" s="101" t="n">
        <f aca="false">IF(D34="-","-",IF($F$4="Roth","-",IF($E$3="Health Savings Account","-",IF(AND(A34=2033,D34=74),VLOOKUP(D34,Tables!G:H,2,FALSE()),IF(AND(A34&gt;2032,D34&lt;75),"-",IF(D34&lt;73,"-",VLOOKUP(D34,Tables!G:H,2,FALSE())))))))</f>
        <v>22</v>
      </c>
      <c r="N34" s="99" t="n">
        <f aca="false">IF($M34="-",0,J34/$M34)</f>
        <v>134178.248997114</v>
      </c>
      <c r="O34" s="99" t="n">
        <f aca="false">IF(D34&gt;$B$4,0,IF(D34&lt;$B$3,0,$B$8*(1+$B$10)^(C34-1)))</f>
        <v>152161.826117708</v>
      </c>
      <c r="P34" s="99" t="n">
        <f aca="false">MAX(N34,O34)</f>
        <v>152161.826117708</v>
      </c>
      <c r="Q34" s="99" t="n">
        <f aca="false">MAX(0,L34-P34)</f>
        <v>2891564.40978264</v>
      </c>
      <c r="R34" s="99" t="n">
        <f aca="false">IF($E$5="None",0,IF(D34&gt;=$B$3,0,IF($E$5="Monthly",MIN((($E$6+$E$8*(C34-1))*12),$E$9*12),IF($E$5="Annual",MIN((($E$6+$E$8*(C34-1))),$E$9),IF($E$5="% of Salary",MIN(($E$7+$E$10*(C34-1))*H34,$E$11*H34),IF($E$5="Maximum Allowable",T34+U34,0))))))</f>
        <v>0</v>
      </c>
      <c r="S34" s="99" t="n">
        <f aca="false">IF($H$2="None",0,IF($N$3=1,0,IF(D34&gt;=$B$3,0,IF($H$2="Monthly",($H$3*12),IF($H$2="Annual",$H$3,IF($H$2="% of Salary",$H$4*H34,IF($H$2="Match",MIN($H$5*W34,$H$6*H34),IF($H$2="Maximum Allowable",V34,0))))))))</f>
        <v>0</v>
      </c>
      <c r="T34" s="99" t="n">
        <f aca="false">$N$4*(1+$B$10)^(C34-1)</f>
        <v>9890.51869765099</v>
      </c>
      <c r="U34" s="99" t="n">
        <f aca="false">IF(AND($F$3=4,D34&lt;55),0,IF(D34&lt;50,0,IF(A34&lt;2025,$N$5*(1+$B$10)^(C34-1),IF(AND(D34&gt;59,D34&lt;64),$N$5*IF($N$3=2,1.5,1)*(1+$B$10)^(C34-1),$N$5*(1+$B$10)^(C34-1)))))</f>
        <v>1521.61826117708</v>
      </c>
      <c r="V34" s="99" t="n">
        <f aca="false">IF($N$3=1,0,$N$6*(1+$B$10)^(C34-1)-W34)</f>
        <v>0</v>
      </c>
      <c r="W34" s="99" t="n">
        <f aca="false">MIN(R34,T34)</f>
        <v>0</v>
      </c>
      <c r="X34" s="99" t="n">
        <f aca="false">MIN(U34,R34-W34)</f>
        <v>0</v>
      </c>
      <c r="Y34" s="99" t="n">
        <f aca="false">MIN(S34,V34)</f>
        <v>0</v>
      </c>
      <c r="Z34" s="99" t="n">
        <f aca="false">W34+X34+Y34</f>
        <v>0</v>
      </c>
      <c r="AA34" s="100" t="n">
        <f aca="false">Q34+W34+X34+Y34</f>
        <v>2891564.40978264</v>
      </c>
      <c r="AB34" s="93"/>
      <c r="AC34" s="59"/>
      <c r="AD34" s="59"/>
      <c r="AE34" s="59"/>
      <c r="AF34" s="59"/>
      <c r="AG34" s="59"/>
      <c r="AH34" s="59"/>
      <c r="AI34" s="59"/>
      <c r="AJ34" s="59"/>
      <c r="AK34" s="59"/>
    </row>
    <row r="35" customFormat="false" ht="15.75" hidden="false" customHeight="false" outlineLevel="0" collapsed="false">
      <c r="A35" s="94" t="n">
        <f aca="false">A34+1</f>
        <v>2041</v>
      </c>
      <c r="B35" s="95" t="n">
        <f aca="false">DATE(YEAR(B34)+1,MONTH(B34),DAY(B34))</f>
        <v>51591</v>
      </c>
      <c r="C35" s="96" t="n">
        <f aca="false">C34+1</f>
        <v>19</v>
      </c>
      <c r="D35" s="102" t="n">
        <f aca="false">IF(D34="-","-",IF(D34+1&gt;B$4,"-",D34+1))</f>
        <v>79</v>
      </c>
      <c r="E35" s="97" t="n">
        <f aca="false">HLOOKUP($B$6,'RetireUp Market Returns'!A:CT,(1+$B$7+C35),FALSE())</f>
        <v>0.0563</v>
      </c>
      <c r="F35" s="97" t="n">
        <f aca="false">$B$10</f>
        <v>0.025</v>
      </c>
      <c r="G35" s="98" t="n">
        <f aca="false">G34*(1+F35)</f>
        <v>1.5596587177065</v>
      </c>
      <c r="H35" s="99" t="n">
        <f aca="false">$B$11*(1+$B$12)^(C35-1)</f>
        <v>142824.624757627</v>
      </c>
      <c r="I35" s="93"/>
      <c r="J35" s="100" t="n">
        <f aca="false">IF(C35=1,#REF!,AA34)</f>
        <v>2891564.40978264</v>
      </c>
      <c r="K35" s="99" t="n">
        <f aca="false">J35*E35</f>
        <v>162795.076270762</v>
      </c>
      <c r="L35" s="99" t="n">
        <f aca="false">J35+K35</f>
        <v>3054359.4860534</v>
      </c>
      <c r="M35" s="101" t="n">
        <f aca="false">IF(D35="-","-",IF($F$4="Roth","-",IF($E$3="Health Savings Account","-",IF(AND(A35=2033,D35=74),VLOOKUP(D35,Tables!G:H,2,FALSE()),IF(AND(A35&gt;2032,D35&lt;75),"-",IF(D35&lt;73,"-",VLOOKUP(D35,Tables!G:H,2,FALSE())))))))</f>
        <v>21.1</v>
      </c>
      <c r="N35" s="99" t="n">
        <f aca="false">IF($M35="-",0,J35/$M35)</f>
        <v>137040.967288277</v>
      </c>
      <c r="O35" s="99" t="n">
        <f aca="false">IF(D35&gt;$B$4,0,IF(D35&lt;$B$3,0,$B$8*(1+$B$10)^(C35-1)))</f>
        <v>155965.87177065</v>
      </c>
      <c r="P35" s="99" t="n">
        <f aca="false">MAX(N35,O35)</f>
        <v>155965.87177065</v>
      </c>
      <c r="Q35" s="99" t="n">
        <f aca="false">MAX(0,L35-P35)</f>
        <v>2898393.61428275</v>
      </c>
      <c r="R35" s="99" t="n">
        <f aca="false">IF($E$5="None",0,IF(D35&gt;=$B$3,0,IF($E$5="Monthly",MIN((($E$6+$E$8*(C35-1))*12),$E$9*12),IF($E$5="Annual",MIN((($E$6+$E$8*(C35-1))),$E$9),IF($E$5="% of Salary",MIN(($E$7+$E$10*(C35-1))*H35,$E$11*H35),IF($E$5="Maximum Allowable",T35+U35,0))))))</f>
        <v>0</v>
      </c>
      <c r="S35" s="99" t="n">
        <f aca="false">IF($H$2="None",0,IF($N$3=1,0,IF(D35&gt;=$B$3,0,IF($H$2="Monthly",($H$3*12),IF($H$2="Annual",$H$3,IF($H$2="% of Salary",$H$4*H35,IF($H$2="Match",MIN($H$5*W35,$H$6*H35),IF($H$2="Maximum Allowable",V35,0))))))))</f>
        <v>0</v>
      </c>
      <c r="T35" s="99" t="n">
        <f aca="false">$N$4*(1+$B$10)^(C35-1)</f>
        <v>10137.7816650923</v>
      </c>
      <c r="U35" s="99" t="n">
        <f aca="false">IF(AND($F$3=4,D35&lt;55),0,IF(D35&lt;50,0,IF(A35&lt;2025,$N$5*(1+$B$10)^(C35-1),IF(AND(D35&gt;59,D35&lt;64),$N$5*IF($N$3=2,1.5,1)*(1+$B$10)^(C35-1),$N$5*(1+$B$10)^(C35-1)))))</f>
        <v>1559.6587177065</v>
      </c>
      <c r="V35" s="99" t="n">
        <f aca="false">IF($N$3=1,0,$N$6*(1+$B$10)^(C35-1)-W35)</f>
        <v>0</v>
      </c>
      <c r="W35" s="99" t="n">
        <f aca="false">MIN(R35,T35)</f>
        <v>0</v>
      </c>
      <c r="X35" s="99" t="n">
        <f aca="false">MIN(U35,R35-W35)</f>
        <v>0</v>
      </c>
      <c r="Y35" s="99" t="n">
        <f aca="false">MIN(S35,V35)</f>
        <v>0</v>
      </c>
      <c r="Z35" s="99" t="n">
        <f aca="false">W35+X35+Y35</f>
        <v>0</v>
      </c>
      <c r="AA35" s="100" t="n">
        <f aca="false">Q35+W35+X35+Y35</f>
        <v>2898393.61428275</v>
      </c>
      <c r="AB35" s="93"/>
      <c r="AC35" s="59"/>
      <c r="AD35" s="59"/>
      <c r="AE35" s="59"/>
      <c r="AF35" s="59"/>
      <c r="AG35" s="59"/>
      <c r="AH35" s="59"/>
      <c r="AI35" s="59"/>
      <c r="AJ35" s="59"/>
      <c r="AK35" s="59"/>
    </row>
    <row r="36" customFormat="false" ht="15.75" hidden="false" customHeight="false" outlineLevel="0" collapsed="false">
      <c r="A36" s="94" t="n">
        <f aca="false">A35+1</f>
        <v>2042</v>
      </c>
      <c r="B36" s="95" t="n">
        <f aca="false">DATE(YEAR(B35)+1,MONTH(B35),DAY(B35))</f>
        <v>51956</v>
      </c>
      <c r="C36" s="96" t="n">
        <f aca="false">C35+1</f>
        <v>20</v>
      </c>
      <c r="D36" s="102" t="n">
        <f aca="false">IF(D35="-","-",IF(D35+1&gt;B$4,"-",D35+1))</f>
        <v>80</v>
      </c>
      <c r="E36" s="97" t="n">
        <f aca="false">HLOOKUP($B$6,'RetireUp Market Returns'!A:CT,(1+$B$7+C36),FALSE())</f>
        <v>0.0272</v>
      </c>
      <c r="F36" s="97" t="n">
        <f aca="false">$B$10</f>
        <v>0.025</v>
      </c>
      <c r="G36" s="98" t="n">
        <f aca="false">G35*(1+F36)</f>
        <v>1.59865018564917</v>
      </c>
      <c r="H36" s="99" t="n">
        <f aca="false">$B$11*(1+$B$12)^(C36-1)</f>
        <v>145681.11725278</v>
      </c>
      <c r="I36" s="93"/>
      <c r="J36" s="100" t="n">
        <f aca="false">IF(C36=1,#REF!,AA35)</f>
        <v>2898393.61428275</v>
      </c>
      <c r="K36" s="99" t="n">
        <f aca="false">J36*E36</f>
        <v>78836.3063084908</v>
      </c>
      <c r="L36" s="99" t="n">
        <f aca="false">J36+K36</f>
        <v>2977229.92059124</v>
      </c>
      <c r="M36" s="101" t="n">
        <f aca="false">IF(D36="-","-",IF($F$4="Roth","-",IF($E$3="Health Savings Account","-",IF(AND(A36=2033,D36=74),VLOOKUP(D36,Tables!G:H,2,FALSE()),IF(AND(A36&gt;2032,D36&lt;75),"-",IF(D36&lt;73,"-",VLOOKUP(D36,Tables!G:H,2,FALSE())))))))</f>
        <v>20.2</v>
      </c>
      <c r="N36" s="99" t="n">
        <f aca="false">IF($M36="-",0,J36/$M36)</f>
        <v>143484.832390235</v>
      </c>
      <c r="O36" s="99" t="n">
        <f aca="false">IF(D36&gt;$B$4,0,IF(D36&lt;$B$3,0,$B$8*(1+$B$10)^(C36-1)))</f>
        <v>159865.018564917</v>
      </c>
      <c r="P36" s="99" t="n">
        <f aca="false">MAX(N36,O36)</f>
        <v>159865.018564917</v>
      </c>
      <c r="Q36" s="99" t="n">
        <f aca="false">MAX(0,L36-P36)</f>
        <v>2817364.90202632</v>
      </c>
      <c r="R36" s="99" t="n">
        <f aca="false">IF($E$5="None",0,IF(D36&gt;=$B$3,0,IF($E$5="Monthly",MIN((($E$6+$E$8*(C36-1))*12),$E$9*12),IF($E$5="Annual",MIN((($E$6+$E$8*(C36-1))),$E$9),IF($E$5="% of Salary",MIN(($E$7+$E$10*(C36-1))*H36,$E$11*H36),IF($E$5="Maximum Allowable",T36+U36,0))))))</f>
        <v>0</v>
      </c>
      <c r="S36" s="99" t="n">
        <f aca="false">IF($H$2="None",0,IF($N$3=1,0,IF(D36&gt;=$B$3,0,IF($H$2="Monthly",($H$3*12),IF($H$2="Annual",$H$3,IF($H$2="% of Salary",$H$4*H36,IF($H$2="Match",MIN($H$5*W36,$H$6*H36),IF($H$2="Maximum Allowable",V36,0))))))))</f>
        <v>0</v>
      </c>
      <c r="T36" s="99" t="n">
        <f aca="false">$N$4*(1+$B$10)^(C36-1)</f>
        <v>10391.2262067196</v>
      </c>
      <c r="U36" s="99" t="n">
        <f aca="false">IF(AND($F$3=4,D36&lt;55),0,IF(D36&lt;50,0,IF(A36&lt;2025,$N$5*(1+$B$10)^(C36-1),IF(AND(D36&gt;59,D36&lt;64),$N$5*IF($N$3=2,1.5,1)*(1+$B$10)^(C36-1),$N$5*(1+$B$10)^(C36-1)))))</f>
        <v>1598.65018564917</v>
      </c>
      <c r="V36" s="99" t="n">
        <f aca="false">IF($N$3=1,0,$N$6*(1+$B$10)^(C36-1)-W36)</f>
        <v>0</v>
      </c>
      <c r="W36" s="99" t="n">
        <f aca="false">MIN(R36,T36)</f>
        <v>0</v>
      </c>
      <c r="X36" s="99" t="n">
        <f aca="false">MIN(U36,R36-W36)</f>
        <v>0</v>
      </c>
      <c r="Y36" s="99" t="n">
        <f aca="false">MIN(S36,V36)</f>
        <v>0</v>
      </c>
      <c r="Z36" s="99" t="n">
        <f aca="false">W36+X36+Y36</f>
        <v>0</v>
      </c>
      <c r="AA36" s="100" t="n">
        <f aca="false">Q36+W36+X36+Y36</f>
        <v>2817364.90202632</v>
      </c>
      <c r="AB36" s="93"/>
      <c r="AC36" s="59"/>
      <c r="AD36" s="59"/>
      <c r="AE36" s="59"/>
      <c r="AF36" s="59"/>
      <c r="AG36" s="59"/>
      <c r="AH36" s="59"/>
      <c r="AI36" s="59"/>
      <c r="AJ36" s="59"/>
      <c r="AK36" s="59"/>
    </row>
    <row r="37" customFormat="false" ht="15.75" hidden="false" customHeight="false" outlineLevel="0" collapsed="false">
      <c r="A37" s="94" t="n">
        <f aca="false">A36+1</f>
        <v>2043</v>
      </c>
      <c r="B37" s="95" t="n">
        <f aca="false">DATE(YEAR(B36)+1,MONTH(B36),DAY(B36))</f>
        <v>52321</v>
      </c>
      <c r="C37" s="96" t="n">
        <f aca="false">C36+1</f>
        <v>21</v>
      </c>
      <c r="D37" s="102" t="n">
        <f aca="false">IF(D36="-","-",IF(D36+1&gt;B$4,"-",D36+1))</f>
        <v>81</v>
      </c>
      <c r="E37" s="97" t="n">
        <f aca="false">HLOOKUP($B$6,'RetireUp Market Returns'!A:CT,(1+$B$7+C37),FALSE())</f>
        <v>0.1648</v>
      </c>
      <c r="F37" s="97" t="n">
        <f aca="false">$B$10</f>
        <v>0.025</v>
      </c>
      <c r="G37" s="98" t="n">
        <f aca="false">G36*(1+F37)</f>
        <v>1.63861644029039</v>
      </c>
      <c r="H37" s="99" t="n">
        <f aca="false">$B$11*(1+$B$12)^(C37-1)</f>
        <v>148594.739597835</v>
      </c>
      <c r="I37" s="93"/>
      <c r="J37" s="100" t="n">
        <f aca="false">IF(C37=1,#REF!,AA36)</f>
        <v>2817364.90202632</v>
      </c>
      <c r="K37" s="99" t="n">
        <f aca="false">J37*E37</f>
        <v>464301.735853938</v>
      </c>
      <c r="L37" s="99" t="n">
        <f aca="false">J37+K37</f>
        <v>3281666.63788026</v>
      </c>
      <c r="M37" s="101" t="n">
        <f aca="false">IF(D37="-","-",IF($F$4="Roth","-",IF($E$3="Health Savings Account","-",IF(AND(A37=2033,D37=74),VLOOKUP(D37,Tables!G:H,2,FALSE()),IF(AND(A37&gt;2032,D37&lt;75),"-",IF(D37&lt;73,"-",VLOOKUP(D37,Tables!G:H,2,FALSE())))))))</f>
        <v>19.4</v>
      </c>
      <c r="N37" s="99" t="n">
        <f aca="false">IF($M37="-",0,J37/$M37)</f>
        <v>145224.994949811</v>
      </c>
      <c r="O37" s="99" t="n">
        <f aca="false">IF(D37&gt;$B$4,0,IF(D37&lt;$B$3,0,$B$8*(1+$B$10)^(C37-1)))</f>
        <v>163861.644029039</v>
      </c>
      <c r="P37" s="99" t="n">
        <f aca="false">MAX(N37,O37)</f>
        <v>163861.644029039</v>
      </c>
      <c r="Q37" s="99" t="n">
        <f aca="false">MAX(0,L37-P37)</f>
        <v>3117804.99385122</v>
      </c>
      <c r="R37" s="99" t="n">
        <f aca="false">IF($E$5="None",0,IF(D37&gt;=$B$3,0,IF($E$5="Monthly",MIN((($E$6+$E$8*(C37-1))*12),$E$9*12),IF($E$5="Annual",MIN((($E$6+$E$8*(C37-1))),$E$9),IF($E$5="% of Salary",MIN(($E$7+$E$10*(C37-1))*H37,$E$11*H37),IF($E$5="Maximum Allowable",T37+U37,0))))))</f>
        <v>0</v>
      </c>
      <c r="S37" s="99" t="n">
        <f aca="false">IF($H$2="None",0,IF($N$3=1,0,IF(D37&gt;=$B$3,0,IF($H$2="Monthly",($H$3*12),IF($H$2="Annual",$H$3,IF($H$2="% of Salary",$H$4*H37,IF($H$2="Match",MIN($H$5*W37,$H$6*H37),IF($H$2="Maximum Allowable",V37,0))))))))</f>
        <v>0</v>
      </c>
      <c r="T37" s="99" t="n">
        <f aca="false">$N$4*(1+$B$10)^(C37-1)</f>
        <v>10651.0068618876</v>
      </c>
      <c r="U37" s="99" t="n">
        <f aca="false">IF(AND($F$3=4,D37&lt;55),0,IF(D37&lt;50,0,IF(A37&lt;2025,$N$5*(1+$B$10)^(C37-1),IF(AND(D37&gt;59,D37&lt;64),$N$5*IF($N$3=2,1.5,1)*(1+$B$10)^(C37-1),$N$5*(1+$B$10)^(C37-1)))))</f>
        <v>1638.61644029039</v>
      </c>
      <c r="V37" s="99" t="n">
        <f aca="false">IF($N$3=1,0,$N$6*(1+$B$10)^(C37-1)-W37)</f>
        <v>0</v>
      </c>
      <c r="W37" s="99" t="n">
        <f aca="false">MIN(R37,T37)</f>
        <v>0</v>
      </c>
      <c r="X37" s="99" t="n">
        <f aca="false">MIN(U37,R37-W37)</f>
        <v>0</v>
      </c>
      <c r="Y37" s="99" t="n">
        <f aca="false">MIN(S37,V37)</f>
        <v>0</v>
      </c>
      <c r="Z37" s="99" t="n">
        <f aca="false">W37+X37+Y37</f>
        <v>0</v>
      </c>
      <c r="AA37" s="100" t="n">
        <f aca="false">Q37+W37+X37+Y37</f>
        <v>3117804.99385122</v>
      </c>
      <c r="AB37" s="93"/>
      <c r="AC37" s="59"/>
      <c r="AD37" s="59"/>
      <c r="AE37" s="59"/>
      <c r="AF37" s="59"/>
      <c r="AG37" s="59"/>
      <c r="AH37" s="59"/>
      <c r="AI37" s="59"/>
      <c r="AJ37" s="59"/>
      <c r="AK37" s="59"/>
    </row>
    <row r="38" customFormat="false" ht="15.75" hidden="false" customHeight="false" outlineLevel="0" collapsed="false">
      <c r="A38" s="94" t="n">
        <f aca="false">A37+1</f>
        <v>2044</v>
      </c>
      <c r="B38" s="95" t="n">
        <f aca="false">DATE(YEAR(B37)+1,MONTH(B37),DAY(B37))</f>
        <v>52687</v>
      </c>
      <c r="C38" s="96" t="n">
        <f aca="false">C37+1</f>
        <v>22</v>
      </c>
      <c r="D38" s="102" t="n">
        <f aca="false">IF(D37="-","-",IF(D37+1&gt;B$4,"-",D37+1))</f>
        <v>82</v>
      </c>
      <c r="E38" s="97" t="n">
        <f aca="false">HLOOKUP($B$6,'RetireUp Market Returns'!A:CT,(1+$B$7+C38),FALSE())</f>
        <v>-0.0675</v>
      </c>
      <c r="F38" s="97" t="n">
        <f aca="false">$B$10</f>
        <v>0.025</v>
      </c>
      <c r="G38" s="98" t="n">
        <f aca="false">G37*(1+F38)</f>
        <v>1.67958185129765</v>
      </c>
      <c r="H38" s="99" t="n">
        <f aca="false">$B$11*(1+$B$12)^(C38-1)</f>
        <v>151566.634389792</v>
      </c>
      <c r="I38" s="93"/>
      <c r="J38" s="100" t="n">
        <f aca="false">IF(C38=1,#REF!,AA37)</f>
        <v>3117804.99385122</v>
      </c>
      <c r="K38" s="99" t="n">
        <f aca="false">J38*E38</f>
        <v>-210451.837084958</v>
      </c>
      <c r="L38" s="99" t="n">
        <f aca="false">J38+K38</f>
        <v>2907353.15676627</v>
      </c>
      <c r="M38" s="101" t="n">
        <f aca="false">IF(D38="-","-",IF($F$4="Roth","-",IF($E$3="Health Savings Account","-",IF(AND(A38=2033,D38=74),VLOOKUP(D38,Tables!G:H,2,FALSE()),IF(AND(A38&gt;2032,D38&lt;75),"-",IF(D38&lt;73,"-",VLOOKUP(D38,Tables!G:H,2,FALSE())))))))</f>
        <v>18.5</v>
      </c>
      <c r="N38" s="99" t="n">
        <f aca="false">IF($M38="-",0,J38/$M38)</f>
        <v>168529.999667634</v>
      </c>
      <c r="O38" s="99" t="n">
        <f aca="false">IF(D38&gt;$B$4,0,IF(D38&lt;$B$3,0,$B$8*(1+$B$10)^(C38-1)))</f>
        <v>167958.185129765</v>
      </c>
      <c r="P38" s="99" t="n">
        <f aca="false">MAX(N38,O38)</f>
        <v>168529.999667634</v>
      </c>
      <c r="Q38" s="99" t="n">
        <f aca="false">MAX(0,L38-P38)</f>
        <v>2738823.15709863</v>
      </c>
      <c r="R38" s="99" t="n">
        <f aca="false">IF($E$5="None",0,IF(D38&gt;=$B$3,0,IF($E$5="Monthly",MIN((($E$6+$E$8*(C38-1))*12),$E$9*12),IF($E$5="Annual",MIN((($E$6+$E$8*(C38-1))),$E$9),IF($E$5="% of Salary",MIN(($E$7+$E$10*(C38-1))*H38,$E$11*H38),IF($E$5="Maximum Allowable",T38+U38,0))))))</f>
        <v>0</v>
      </c>
      <c r="S38" s="99" t="n">
        <f aca="false">IF($H$2="None",0,IF($N$3=1,0,IF(D38&gt;=$B$3,0,IF($H$2="Monthly",($H$3*12),IF($H$2="Annual",$H$3,IF($H$2="% of Salary",$H$4*H38,IF($H$2="Match",MIN($H$5*W38,$H$6*H38),IF($H$2="Maximum Allowable",V38,0))))))))</f>
        <v>0</v>
      </c>
      <c r="T38" s="99" t="n">
        <f aca="false">$N$4*(1+$B$10)^(C38-1)</f>
        <v>10917.2820334348</v>
      </c>
      <c r="U38" s="99" t="n">
        <f aca="false">IF(AND($F$3=4,D38&lt;55),0,IF(D38&lt;50,0,IF(A38&lt;2025,$N$5*(1+$B$10)^(C38-1),IF(AND(D38&gt;59,D38&lt;64),$N$5*IF($N$3=2,1.5,1)*(1+$B$10)^(C38-1),$N$5*(1+$B$10)^(C38-1)))))</f>
        <v>1679.58185129765</v>
      </c>
      <c r="V38" s="99" t="n">
        <f aca="false">IF($N$3=1,0,$N$6*(1+$B$10)^(C38-1)-W38)</f>
        <v>0</v>
      </c>
      <c r="W38" s="99" t="n">
        <f aca="false">MIN(R38,T38)</f>
        <v>0</v>
      </c>
      <c r="X38" s="99" t="n">
        <f aca="false">MIN(U38,R38-W38)</f>
        <v>0</v>
      </c>
      <c r="Y38" s="99" t="n">
        <f aca="false">MIN(S38,V38)</f>
        <v>0</v>
      </c>
      <c r="Z38" s="99" t="n">
        <f aca="false">W38+X38+Y38</f>
        <v>0</v>
      </c>
      <c r="AA38" s="100" t="n">
        <f aca="false">Q38+W38+X38+Y38</f>
        <v>2738823.15709863</v>
      </c>
      <c r="AB38" s="93"/>
      <c r="AC38" s="59"/>
      <c r="AD38" s="59"/>
      <c r="AE38" s="59"/>
      <c r="AF38" s="59"/>
      <c r="AG38" s="59"/>
      <c r="AH38" s="59"/>
      <c r="AI38" s="59"/>
      <c r="AJ38" s="59"/>
      <c r="AK38" s="59"/>
    </row>
    <row r="39" customFormat="false" ht="15.75" hidden="false" customHeight="false" outlineLevel="0" collapsed="false">
      <c r="A39" s="94" t="n">
        <f aca="false">A38+1</f>
        <v>2045</v>
      </c>
      <c r="B39" s="95" t="n">
        <f aca="false">DATE(YEAR(B38)+1,MONTH(B38),DAY(B38))</f>
        <v>53052</v>
      </c>
      <c r="C39" s="96" t="n">
        <f aca="false">C38+1</f>
        <v>23</v>
      </c>
      <c r="D39" s="102" t="n">
        <f aca="false">IF(D38="-","-",IF(D38+1&gt;B$4,"-",D38+1))</f>
        <v>83</v>
      </c>
      <c r="E39" s="97" t="n">
        <f aca="false">HLOOKUP($B$6,'RetireUp Market Returns'!A:CT,(1+$B$7+C39),FALSE())</f>
        <v>0.1328</v>
      </c>
      <c r="F39" s="97" t="n">
        <f aca="false">$B$10</f>
        <v>0.025</v>
      </c>
      <c r="G39" s="98" t="n">
        <f aca="false">G38*(1+F39)</f>
        <v>1.7215713975801</v>
      </c>
      <c r="H39" s="99" t="n">
        <f aca="false">$B$11*(1+$B$12)^(C39-1)</f>
        <v>154597.967077588</v>
      </c>
      <c r="I39" s="93"/>
      <c r="J39" s="100" t="n">
        <f aca="false">IF(C39=1,#REF!,AA38)</f>
        <v>2738823.15709863</v>
      </c>
      <c r="K39" s="99" t="n">
        <f aca="false">J39*E39</f>
        <v>363715.715262698</v>
      </c>
      <c r="L39" s="99" t="n">
        <f aca="false">J39+K39</f>
        <v>3102538.87236133</v>
      </c>
      <c r="M39" s="101" t="n">
        <f aca="false">IF(D39="-","-",IF($F$4="Roth","-",IF($E$3="Health Savings Account","-",IF(AND(A39=2033,D39=74),VLOOKUP(D39,Tables!G:H,2,FALSE()),IF(AND(A39&gt;2032,D39&lt;75),"-",IF(D39&lt;73,"-",VLOOKUP(D39,Tables!G:H,2,FALSE())))))))</f>
        <v>17.7</v>
      </c>
      <c r="N39" s="99" t="n">
        <f aca="false">IF($M39="-",0,J39/$M39)</f>
        <v>154735.771587493</v>
      </c>
      <c r="O39" s="99" t="n">
        <f aca="false">IF(D39&gt;$B$4,0,IF(D39&lt;$B$3,0,$B$8*(1+$B$10)^(C39-1)))</f>
        <v>172157.13975801</v>
      </c>
      <c r="P39" s="99" t="n">
        <f aca="false">MAX(N39,O39)</f>
        <v>172157.13975801</v>
      </c>
      <c r="Q39" s="99" t="n">
        <f aca="false">MAX(0,L39-P39)</f>
        <v>2930381.73260332</v>
      </c>
      <c r="R39" s="99" t="n">
        <f aca="false">IF($E$5="None",0,IF(D39&gt;=$B$3,0,IF($E$5="Monthly",MIN((($E$6+$E$8*(C39-1))*12),$E$9*12),IF($E$5="Annual",MIN((($E$6+$E$8*(C39-1))),$E$9),IF($E$5="% of Salary",MIN(($E$7+$E$10*(C39-1))*H39,$E$11*H39),IF($E$5="Maximum Allowable",T39+U39,0))))))</f>
        <v>0</v>
      </c>
      <c r="S39" s="99" t="n">
        <f aca="false">IF($H$2="None",0,IF($N$3=1,0,IF(D39&gt;=$B$3,0,IF($H$2="Monthly",($H$3*12),IF($H$2="Annual",$H$3,IF($H$2="% of Salary",$H$4*H39,IF($H$2="Match",MIN($H$5*W39,$H$6*H39),IF($H$2="Maximum Allowable",V39,0))))))))</f>
        <v>0</v>
      </c>
      <c r="T39" s="99" t="n">
        <f aca="false">$N$4*(1+$B$10)^(C39-1)</f>
        <v>11190.2140842706</v>
      </c>
      <c r="U39" s="99" t="n">
        <f aca="false">IF(AND($F$3=4,D39&lt;55),0,IF(D39&lt;50,0,IF(A39&lt;2025,$N$5*(1+$B$10)^(C39-1),IF(AND(D39&gt;59,D39&lt;64),$N$5*IF($N$3=2,1.5,1)*(1+$B$10)^(C39-1),$N$5*(1+$B$10)^(C39-1)))))</f>
        <v>1721.5713975801</v>
      </c>
      <c r="V39" s="99" t="n">
        <f aca="false">IF($N$3=1,0,$N$6*(1+$B$10)^(C39-1)-W39)</f>
        <v>0</v>
      </c>
      <c r="W39" s="99" t="n">
        <f aca="false">MIN(R39,T39)</f>
        <v>0</v>
      </c>
      <c r="X39" s="99" t="n">
        <f aca="false">MIN(U39,R39-W39)</f>
        <v>0</v>
      </c>
      <c r="Y39" s="99" t="n">
        <f aca="false">MIN(S39,V39)</f>
        <v>0</v>
      </c>
      <c r="Z39" s="99" t="n">
        <f aca="false">W39+X39+Y39</f>
        <v>0</v>
      </c>
      <c r="AA39" s="100" t="n">
        <f aca="false">Q39+W39+X39+Y39</f>
        <v>2930381.73260332</v>
      </c>
      <c r="AB39" s="93"/>
      <c r="AC39" s="59"/>
      <c r="AD39" s="59"/>
      <c r="AE39" s="59"/>
      <c r="AF39" s="59"/>
      <c r="AG39" s="59"/>
      <c r="AH39" s="59"/>
      <c r="AI39" s="59"/>
      <c r="AJ39" s="59"/>
      <c r="AK39" s="59"/>
    </row>
    <row r="40" customFormat="false" ht="15.75" hidden="false" customHeight="false" outlineLevel="0" collapsed="false">
      <c r="A40" s="94" t="n">
        <f aca="false">A39+1</f>
        <v>2046</v>
      </c>
      <c r="B40" s="95" t="n">
        <f aca="false">DATE(YEAR(B39)+1,MONTH(B39),DAY(B39))</f>
        <v>53417</v>
      </c>
      <c r="C40" s="96" t="n">
        <f aca="false">C39+1</f>
        <v>24</v>
      </c>
      <c r="D40" s="102" t="n">
        <f aca="false">IF(D39="-","-",IF(D39+1&gt;B$4,"-",D39+1))</f>
        <v>84</v>
      </c>
      <c r="E40" s="97" t="n">
        <f aca="false">HLOOKUP($B$6,'RetireUp Market Returns'!A:CT,(1+$B$7+C40),FALSE())</f>
        <v>0.0458</v>
      </c>
      <c r="F40" s="97" t="n">
        <f aca="false">$B$10</f>
        <v>0.025</v>
      </c>
      <c r="G40" s="98" t="n">
        <f aca="false">G39*(1+F40)</f>
        <v>1.7646106825196</v>
      </c>
      <c r="H40" s="99" t="n">
        <f aca="false">$B$11*(1+$B$12)^(C40-1)</f>
        <v>157689.92641914</v>
      </c>
      <c r="I40" s="93"/>
      <c r="J40" s="100" t="n">
        <f aca="false">IF(C40=1,#REF!,AA39)</f>
        <v>2930381.73260332</v>
      </c>
      <c r="K40" s="99" t="n">
        <f aca="false">J40*E40</f>
        <v>134211.483353232</v>
      </c>
      <c r="L40" s="99" t="n">
        <f aca="false">J40+K40</f>
        <v>3064593.21595655</v>
      </c>
      <c r="M40" s="101" t="n">
        <f aca="false">IF(D40="-","-",IF($F$4="Roth","-",IF($E$3="Health Savings Account","-",IF(AND(A40=2033,D40=74),VLOOKUP(D40,Tables!G:H,2,FALSE()),IF(AND(A40&gt;2032,D40&lt;75),"-",IF(D40&lt;73,"-",VLOOKUP(D40,Tables!G:H,2,FALSE())))))))</f>
        <v>16.8</v>
      </c>
      <c r="N40" s="99" t="n">
        <f aca="false">IF($M40="-",0,J40/$M40)</f>
        <v>174427.484083531</v>
      </c>
      <c r="O40" s="99" t="n">
        <f aca="false">IF(D40&gt;$B$4,0,IF(D40&lt;$B$3,0,$B$8*(1+$B$10)^(C40-1)))</f>
        <v>176461.06825196</v>
      </c>
      <c r="P40" s="99" t="n">
        <f aca="false">MAX(N40,O40)</f>
        <v>176461.06825196</v>
      </c>
      <c r="Q40" s="99" t="n">
        <f aca="false">MAX(0,L40-P40)</f>
        <v>2888132.14770459</v>
      </c>
      <c r="R40" s="99" t="n">
        <f aca="false">IF($E$5="None",0,IF(D40&gt;=$B$3,0,IF($E$5="Monthly",MIN((($E$6+$E$8*(C40-1))*12),$E$9*12),IF($E$5="Annual",MIN((($E$6+$E$8*(C40-1))),$E$9),IF($E$5="% of Salary",MIN(($E$7+$E$10*(C40-1))*H40,$E$11*H40),IF($E$5="Maximum Allowable",T40+U40,0))))))</f>
        <v>0</v>
      </c>
      <c r="S40" s="99" t="n">
        <f aca="false">IF($H$2="None",0,IF($N$3=1,0,IF(D40&gt;=$B$3,0,IF($H$2="Monthly",($H$3*12),IF($H$2="Annual",$H$3,IF($H$2="% of Salary",$H$4*H40,IF($H$2="Match",MIN($H$5*W40,$H$6*H40),IF($H$2="Maximum Allowable",V40,0))))))))</f>
        <v>0</v>
      </c>
      <c r="T40" s="99" t="n">
        <f aca="false">$N$4*(1+$B$10)^(C40-1)</f>
        <v>11469.9694363774</v>
      </c>
      <c r="U40" s="99" t="n">
        <f aca="false">IF(AND($F$3=4,D40&lt;55),0,IF(D40&lt;50,0,IF(A40&lt;2025,$N$5*(1+$B$10)^(C40-1),IF(AND(D40&gt;59,D40&lt;64),$N$5*IF($N$3=2,1.5,1)*(1+$B$10)^(C40-1),$N$5*(1+$B$10)^(C40-1)))))</f>
        <v>1764.6106825196</v>
      </c>
      <c r="V40" s="99" t="n">
        <f aca="false">IF($N$3=1,0,$N$6*(1+$B$10)^(C40-1)-W40)</f>
        <v>0</v>
      </c>
      <c r="W40" s="99" t="n">
        <f aca="false">MIN(R40,T40)</f>
        <v>0</v>
      </c>
      <c r="X40" s="99" t="n">
        <f aca="false">MIN(U40,R40-W40)</f>
        <v>0</v>
      </c>
      <c r="Y40" s="99" t="n">
        <f aca="false">MIN(S40,V40)</f>
        <v>0</v>
      </c>
      <c r="Z40" s="99" t="n">
        <f aca="false">W40+X40+Y40</f>
        <v>0</v>
      </c>
      <c r="AA40" s="100" t="n">
        <f aca="false">Q40+W40+X40+Y40</f>
        <v>2888132.14770459</v>
      </c>
      <c r="AB40" s="93"/>
      <c r="AC40" s="59"/>
      <c r="AD40" s="59"/>
      <c r="AE40" s="59"/>
      <c r="AF40" s="59"/>
      <c r="AG40" s="59"/>
      <c r="AH40" s="59"/>
      <c r="AI40" s="59"/>
      <c r="AJ40" s="59"/>
      <c r="AK40" s="59"/>
    </row>
    <row r="41" customFormat="false" ht="15.75" hidden="false" customHeight="false" outlineLevel="0" collapsed="false">
      <c r="A41" s="94" t="n">
        <f aca="false">A40+1</f>
        <v>2047</v>
      </c>
      <c r="B41" s="95" t="n">
        <f aca="false">DATE(YEAR(B40)+1,MONTH(B40),DAY(B40))</f>
        <v>53782</v>
      </c>
      <c r="C41" s="96" t="n">
        <f aca="false">C40+1</f>
        <v>25</v>
      </c>
      <c r="D41" s="102" t="n">
        <f aca="false">IF(D40="-","-",IF(D40+1&gt;B$4,"-",D40+1))</f>
        <v>85</v>
      </c>
      <c r="E41" s="97" t="n">
        <f aca="false">HLOOKUP($B$6,'RetireUp Market Returns'!A:CT,(1+$B$7+C41),FALSE())</f>
        <v>0.0904</v>
      </c>
      <c r="F41" s="97" t="n">
        <f aca="false">$B$10</f>
        <v>0.025</v>
      </c>
      <c r="G41" s="98" t="n">
        <f aca="false">G40*(1+F41)</f>
        <v>1.80872594958259</v>
      </c>
      <c r="H41" s="99" t="n">
        <f aca="false">$B$11*(1+$B$12)^(C41-1)</f>
        <v>160843.724947523</v>
      </c>
      <c r="I41" s="93"/>
      <c r="J41" s="100" t="n">
        <f aca="false">IF(C41=1,#REF!,AA40)</f>
        <v>2888132.14770459</v>
      </c>
      <c r="K41" s="99" t="n">
        <f aca="false">J41*E41</f>
        <v>261087.146152495</v>
      </c>
      <c r="L41" s="99" t="n">
        <f aca="false">J41+K41</f>
        <v>3149219.29385709</v>
      </c>
      <c r="M41" s="101" t="n">
        <f aca="false">IF(D41="-","-",IF($F$4="Roth","-",IF($E$3="Health Savings Account","-",IF(AND(A41=2033,D41=74),VLOOKUP(D41,Tables!G:H,2,FALSE()),IF(AND(A41&gt;2032,D41&lt;75),"-",IF(D41&lt;73,"-",VLOOKUP(D41,Tables!G:H,2,FALSE())))))))</f>
        <v>16</v>
      </c>
      <c r="N41" s="99" t="n">
        <f aca="false">IF($M41="-",0,J41/$M41)</f>
        <v>180508.259231537</v>
      </c>
      <c r="O41" s="99" t="n">
        <f aca="false">IF(D41&gt;$B$4,0,IF(D41&lt;$B$3,0,$B$8*(1+$B$10)^(C41-1)))</f>
        <v>180872.594958259</v>
      </c>
      <c r="P41" s="99" t="n">
        <f aca="false">MAX(N41,O41)</f>
        <v>180872.594958259</v>
      </c>
      <c r="Q41" s="99" t="n">
        <f aca="false">MAX(0,L41-P41)</f>
        <v>2968346.69889883</v>
      </c>
      <c r="R41" s="99" t="n">
        <f aca="false">IF($E$5="None",0,IF(D41&gt;=$B$3,0,IF($E$5="Monthly",MIN((($E$6+$E$8*(C41-1))*12),$E$9*12),IF($E$5="Annual",MIN((($E$6+$E$8*(C41-1))),$E$9),IF($E$5="% of Salary",MIN(($E$7+$E$10*(C41-1))*H41,$E$11*H41),IF($E$5="Maximum Allowable",T41+U41,0))))))</f>
        <v>0</v>
      </c>
      <c r="S41" s="99" t="n">
        <f aca="false">IF($H$2="None",0,IF($N$3=1,0,IF(D41&gt;=$B$3,0,IF($H$2="Monthly",($H$3*12),IF($H$2="Annual",$H$3,IF($H$2="% of Salary",$H$4*H41,IF($H$2="Match",MIN($H$5*W41,$H$6*H41),IF($H$2="Maximum Allowable",V41,0))))))))</f>
        <v>0</v>
      </c>
      <c r="T41" s="99" t="n">
        <f aca="false">$N$4*(1+$B$10)^(C41-1)</f>
        <v>11756.7186722868</v>
      </c>
      <c r="U41" s="99" t="n">
        <f aca="false">IF(AND($F$3=4,D41&lt;55),0,IF(D41&lt;50,0,IF(A41&lt;2025,$N$5*(1+$B$10)^(C41-1),IF(AND(D41&gt;59,D41&lt;64),$N$5*IF($N$3=2,1.5,1)*(1+$B$10)^(C41-1),$N$5*(1+$B$10)^(C41-1)))))</f>
        <v>1808.72594958259</v>
      </c>
      <c r="V41" s="99" t="n">
        <f aca="false">IF($N$3=1,0,$N$6*(1+$B$10)^(C41-1)-W41)</f>
        <v>0</v>
      </c>
      <c r="W41" s="99" t="n">
        <f aca="false">MIN(R41,T41)</f>
        <v>0</v>
      </c>
      <c r="X41" s="99" t="n">
        <f aca="false">MIN(U41,R41-W41)</f>
        <v>0</v>
      </c>
      <c r="Y41" s="99" t="n">
        <f aca="false">MIN(S41,V41)</f>
        <v>0</v>
      </c>
      <c r="Z41" s="99" t="n">
        <f aca="false">W41+X41+Y41</f>
        <v>0</v>
      </c>
      <c r="AA41" s="100" t="n">
        <f aca="false">Q41+W41+X41+Y41</f>
        <v>2968346.69889883</v>
      </c>
      <c r="AB41" s="93"/>
      <c r="AC41" s="59"/>
      <c r="AD41" s="59"/>
      <c r="AE41" s="59"/>
      <c r="AF41" s="59"/>
      <c r="AG41" s="59"/>
      <c r="AH41" s="59"/>
      <c r="AI41" s="59"/>
      <c r="AJ41" s="59"/>
      <c r="AK41" s="59"/>
    </row>
    <row r="42" customFormat="false" ht="15.75" hidden="false" customHeight="false" outlineLevel="0" collapsed="false">
      <c r="A42" s="94" t="n">
        <f aca="false">A41+1</f>
        <v>2048</v>
      </c>
      <c r="B42" s="95" t="n">
        <f aca="false">DATE(YEAR(B41)+1,MONTH(B41),DAY(B41))</f>
        <v>54148</v>
      </c>
      <c r="C42" s="96" t="n">
        <f aca="false">C41+1</f>
        <v>26</v>
      </c>
      <c r="D42" s="102" t="n">
        <f aca="false">IF(D41="-","-",IF(D41+1&gt;B$4,"-",D41+1))</f>
        <v>86</v>
      </c>
      <c r="E42" s="97" t="n">
        <f aca="false">HLOOKUP($B$6,'RetireUp Market Returns'!A:CT,(1+$B$7+C42),FALSE())</f>
        <v>0.0678</v>
      </c>
      <c r="F42" s="97" t="n">
        <f aca="false">$B$10</f>
        <v>0.025</v>
      </c>
      <c r="G42" s="98" t="n">
        <f aca="false">G41*(1+F42)</f>
        <v>1.85394409832215</v>
      </c>
      <c r="H42" s="99" t="n">
        <f aca="false">$B$11*(1+$B$12)^(C42-1)</f>
        <v>164060.599446473</v>
      </c>
      <c r="I42" s="93"/>
      <c r="J42" s="100" t="n">
        <f aca="false">IF(C42=1,#REF!,AA41)</f>
        <v>2968346.69889883</v>
      </c>
      <c r="K42" s="99" t="n">
        <f aca="false">J42*E42</f>
        <v>201253.906185341</v>
      </c>
      <c r="L42" s="99" t="n">
        <f aca="false">J42+K42</f>
        <v>3169600.60508417</v>
      </c>
      <c r="M42" s="101" t="n">
        <f aca="false">IF(D42="-","-",IF($F$4="Roth","-",IF($E$3="Health Savings Account","-",IF(AND(A42=2033,D42=74),VLOOKUP(D42,Tables!G:H,2,FALSE()),IF(AND(A42&gt;2032,D42&lt;75),"-",IF(D42&lt;73,"-",VLOOKUP(D42,Tables!G:H,2,FALSE())))))))</f>
        <v>15.2</v>
      </c>
      <c r="N42" s="99" t="n">
        <f aca="false">IF($M42="-",0,J42/$M42)</f>
        <v>195285.967032818</v>
      </c>
      <c r="O42" s="99" t="n">
        <f aca="false">IF(D42&gt;$B$4,0,IF(D42&lt;$B$3,0,$B$8*(1+$B$10)^(C42-1)))</f>
        <v>185394.409832215</v>
      </c>
      <c r="P42" s="99" t="n">
        <f aca="false">MAX(N42,O42)</f>
        <v>195285.967032818</v>
      </c>
      <c r="Q42" s="99" t="n">
        <f aca="false">MAX(0,L42-P42)</f>
        <v>2974314.63805135</v>
      </c>
      <c r="R42" s="99" t="n">
        <f aca="false">IF($E$5="None",0,IF(D42&gt;=$B$3,0,IF($E$5="Monthly",MIN((($E$6+$E$8*(C42-1))*12),$E$9*12),IF($E$5="Annual",MIN((($E$6+$E$8*(C42-1))),$E$9),IF($E$5="% of Salary",MIN(($E$7+$E$10*(C42-1))*H42,$E$11*H42),IF($E$5="Maximum Allowable",T42+U42,0))))))</f>
        <v>0</v>
      </c>
      <c r="S42" s="99" t="n">
        <f aca="false">IF($H$2="None",0,IF($N$3=1,0,IF(D42&gt;=$B$3,0,IF($H$2="Monthly",($H$3*12),IF($H$2="Annual",$H$3,IF($H$2="% of Salary",$H$4*H42,IF($H$2="Match",MIN($H$5*W42,$H$6*H42),IF($H$2="Maximum Allowable",V42,0))))))))</f>
        <v>0</v>
      </c>
      <c r="T42" s="99" t="n">
        <f aca="false">$N$4*(1+$B$10)^(C42-1)</f>
        <v>12050.636639094</v>
      </c>
      <c r="U42" s="99" t="n">
        <f aca="false">IF(AND($F$3=4,D42&lt;55),0,IF(D42&lt;50,0,IF(A42&lt;2025,$N$5*(1+$B$10)^(C42-1),IF(AND(D42&gt;59,D42&lt;64),$N$5*IF($N$3=2,1.5,1)*(1+$B$10)^(C42-1),$N$5*(1+$B$10)^(C42-1)))))</f>
        <v>1853.94409832215</v>
      </c>
      <c r="V42" s="99" t="n">
        <f aca="false">IF($N$3=1,0,$N$6*(1+$B$10)^(C42-1)-W42)</f>
        <v>0</v>
      </c>
      <c r="W42" s="99" t="n">
        <f aca="false">MIN(R42,T42)</f>
        <v>0</v>
      </c>
      <c r="X42" s="99" t="n">
        <f aca="false">MIN(U42,R42-W42)</f>
        <v>0</v>
      </c>
      <c r="Y42" s="99" t="n">
        <f aca="false">MIN(S42,V42)</f>
        <v>0</v>
      </c>
      <c r="Z42" s="99" t="n">
        <f aca="false">W42+X42+Y42</f>
        <v>0</v>
      </c>
      <c r="AA42" s="100" t="n">
        <f aca="false">Q42+W42+X42+Y42</f>
        <v>2974314.63805135</v>
      </c>
      <c r="AB42" s="93"/>
      <c r="AC42" s="59"/>
      <c r="AD42" s="59"/>
      <c r="AE42" s="59"/>
      <c r="AF42" s="59"/>
      <c r="AG42" s="59"/>
      <c r="AH42" s="59"/>
      <c r="AI42" s="59"/>
      <c r="AJ42" s="59"/>
      <c r="AK42" s="59"/>
    </row>
    <row r="43" customFormat="false" ht="15.75" hidden="false" customHeight="false" outlineLevel="0" collapsed="false">
      <c r="A43" s="94" t="n">
        <f aca="false">A42+1</f>
        <v>2049</v>
      </c>
      <c r="B43" s="95" t="n">
        <f aca="false">DATE(YEAR(B42)+1,MONTH(B42),DAY(B42))</f>
        <v>54513</v>
      </c>
      <c r="C43" s="96" t="n">
        <f aca="false">C42+1</f>
        <v>27</v>
      </c>
      <c r="D43" s="102" t="n">
        <f aca="false">IF(D42="-","-",IF(D42+1&gt;B$4,"-",D42+1))</f>
        <v>87</v>
      </c>
      <c r="E43" s="97" t="n">
        <f aca="false">HLOOKUP($B$6,'RetireUp Market Returns'!A:CT,(1+$B$7+C43),FALSE())</f>
        <v>0.0533</v>
      </c>
      <c r="F43" s="97" t="n">
        <f aca="false">$B$10</f>
        <v>0.025</v>
      </c>
      <c r="G43" s="98" t="n">
        <f aca="false">G42*(1+F43)</f>
        <v>1.90029270078021</v>
      </c>
      <c r="H43" s="99" t="n">
        <f aca="false">$B$11*(1+$B$12)^(C43-1)</f>
        <v>167341.811435403</v>
      </c>
      <c r="I43" s="93"/>
      <c r="J43" s="100" t="n">
        <f aca="false">IF(C43=1,#REF!,AA42)</f>
        <v>2974314.63805135</v>
      </c>
      <c r="K43" s="99" t="n">
        <f aca="false">J43*E43</f>
        <v>158530.970208137</v>
      </c>
      <c r="L43" s="99" t="n">
        <f aca="false">J43+K43</f>
        <v>3132845.60825949</v>
      </c>
      <c r="M43" s="101" t="n">
        <f aca="false">IF(D43="-","-",IF($F$4="Roth","-",IF($E$3="Health Savings Account","-",IF(AND(A43=2033,D43=74),VLOOKUP(D43,Tables!G:H,2,FALSE()),IF(AND(A43&gt;2032,D43&lt;75),"-",IF(D43&lt;73,"-",VLOOKUP(D43,Tables!G:H,2,FALSE())))))))</f>
        <v>14.4</v>
      </c>
      <c r="N43" s="99" t="n">
        <f aca="false">IF($M43="-",0,J43/$M43)</f>
        <v>206549.627642455</v>
      </c>
      <c r="O43" s="99" t="n">
        <f aca="false">IF(D43&gt;$B$4,0,IF(D43&lt;$B$3,0,$B$8*(1+$B$10)^(C43-1)))</f>
        <v>190029.270078021</v>
      </c>
      <c r="P43" s="99" t="n">
        <f aca="false">MAX(N43,O43)</f>
        <v>206549.627642455</v>
      </c>
      <c r="Q43" s="99" t="n">
        <f aca="false">MAX(0,L43-P43)</f>
        <v>2926295.98061703</v>
      </c>
      <c r="R43" s="99" t="n">
        <f aca="false">IF($E$5="None",0,IF(D43&gt;=$B$3,0,IF($E$5="Monthly",MIN((($E$6+$E$8*(C43-1))*12),$E$9*12),IF($E$5="Annual",MIN((($E$6+$E$8*(C43-1))),$E$9),IF($E$5="% of Salary",MIN(($E$7+$E$10*(C43-1))*H43,$E$11*H43),IF($E$5="Maximum Allowable",T43+U43,0))))))</f>
        <v>0</v>
      </c>
      <c r="S43" s="99" t="n">
        <f aca="false">IF($H$2="None",0,IF($N$3=1,0,IF(D43&gt;=$B$3,0,IF($H$2="Monthly",($H$3*12),IF($H$2="Annual",$H$3,IF($H$2="% of Salary",$H$4*H43,IF($H$2="Match",MIN($H$5*W43,$H$6*H43),IF($H$2="Maximum Allowable",V43,0))))))))</f>
        <v>0</v>
      </c>
      <c r="T43" s="99" t="n">
        <f aca="false">$N$4*(1+$B$10)^(C43-1)</f>
        <v>12351.9025550713</v>
      </c>
      <c r="U43" s="99" t="n">
        <f aca="false">IF(AND($F$3=4,D43&lt;55),0,IF(D43&lt;50,0,IF(A43&lt;2025,$N$5*(1+$B$10)^(C43-1),IF(AND(D43&gt;59,D43&lt;64),$N$5*IF($N$3=2,1.5,1)*(1+$B$10)^(C43-1),$N$5*(1+$B$10)^(C43-1)))))</f>
        <v>1900.29270078021</v>
      </c>
      <c r="V43" s="99" t="n">
        <f aca="false">IF($N$3=1,0,$N$6*(1+$B$10)^(C43-1)-W43)</f>
        <v>0</v>
      </c>
      <c r="W43" s="99" t="n">
        <f aca="false">MIN(R43,T43)</f>
        <v>0</v>
      </c>
      <c r="X43" s="99" t="n">
        <f aca="false">MIN(U43,R43-W43)</f>
        <v>0</v>
      </c>
      <c r="Y43" s="99" t="n">
        <f aca="false">MIN(S43,V43)</f>
        <v>0</v>
      </c>
      <c r="Z43" s="99" t="n">
        <f aca="false">W43+X43+Y43</f>
        <v>0</v>
      </c>
      <c r="AA43" s="100" t="n">
        <f aca="false">Q43+W43+X43+Y43</f>
        <v>2926295.98061703</v>
      </c>
      <c r="AB43" s="93"/>
      <c r="AC43" s="59"/>
      <c r="AD43" s="59"/>
      <c r="AE43" s="59"/>
      <c r="AF43" s="59"/>
      <c r="AG43" s="59"/>
      <c r="AH43" s="59"/>
      <c r="AI43" s="59"/>
      <c r="AJ43" s="59"/>
      <c r="AK43" s="59"/>
    </row>
    <row r="44" customFormat="false" ht="15.75" hidden="false" customHeight="false" outlineLevel="0" collapsed="false">
      <c r="A44" s="94" t="n">
        <f aca="false">A43+1</f>
        <v>2050</v>
      </c>
      <c r="B44" s="95" t="n">
        <f aca="false">DATE(YEAR(B43)+1,MONTH(B43),DAY(B43))</f>
        <v>54878</v>
      </c>
      <c r="C44" s="96" t="n">
        <f aca="false">C43+1</f>
        <v>28</v>
      </c>
      <c r="D44" s="102" t="n">
        <f aca="false">IF(D43="-","-",IF(D43+1&gt;B$4,"-",D43+1))</f>
        <v>88</v>
      </c>
      <c r="E44" s="97" t="n">
        <f aca="false">HLOOKUP($B$6,'RetireUp Market Returns'!A:CT,(1+$B$7+C44),FALSE())</f>
        <v>0.0742</v>
      </c>
      <c r="F44" s="97" t="n">
        <f aca="false">$B$10</f>
        <v>0.025</v>
      </c>
      <c r="G44" s="98" t="n">
        <f aca="false">G43*(1+F44)</f>
        <v>1.94780001829971</v>
      </c>
      <c r="H44" s="99" t="n">
        <f aca="false">$B$11*(1+$B$12)^(C44-1)</f>
        <v>170688.647664111</v>
      </c>
      <c r="I44" s="93"/>
      <c r="J44" s="100" t="n">
        <f aca="false">IF(C44=1,#REF!,AA43)</f>
        <v>2926295.98061703</v>
      </c>
      <c r="K44" s="99" t="n">
        <f aca="false">J44*E44</f>
        <v>217131.161761784</v>
      </c>
      <c r="L44" s="99" t="n">
        <f aca="false">J44+K44</f>
        <v>3143427.14237882</v>
      </c>
      <c r="M44" s="101" t="n">
        <f aca="false">IF(D44="-","-",IF($F$4="Roth","-",IF($E$3="Health Savings Account","-",IF(AND(A44=2033,D44=74),VLOOKUP(D44,Tables!G:H,2,FALSE()),IF(AND(A44&gt;2032,D44&lt;75),"-",IF(D44&lt;73,"-",VLOOKUP(D44,Tables!G:H,2,FALSE())))))))</f>
        <v>13.7</v>
      </c>
      <c r="N44" s="99" t="n">
        <f aca="false">IF($M44="-",0,J44/$M44)</f>
        <v>213598.246760367</v>
      </c>
      <c r="O44" s="99" t="n">
        <f aca="false">IF(D44&gt;$B$4,0,IF(D44&lt;$B$3,0,$B$8*(1+$B$10)^(C44-1)))</f>
        <v>194780.001829971</v>
      </c>
      <c r="P44" s="99" t="n">
        <f aca="false">MAX(N44,O44)</f>
        <v>213598.246760367</v>
      </c>
      <c r="Q44" s="99" t="n">
        <f aca="false">MAX(0,L44-P44)</f>
        <v>2929828.89561845</v>
      </c>
      <c r="R44" s="99" t="n">
        <f aca="false">IF($E$5="None",0,IF(D44&gt;=$B$3,0,IF($E$5="Monthly",MIN((($E$6+$E$8*(C44-1))*12),$E$9*12),IF($E$5="Annual",MIN((($E$6+$E$8*(C44-1))),$E$9),IF($E$5="% of Salary",MIN(($E$7+$E$10*(C44-1))*H44,$E$11*H44),IF($E$5="Maximum Allowable",T44+U44,0))))))</f>
        <v>0</v>
      </c>
      <c r="S44" s="99" t="n">
        <f aca="false">IF($H$2="None",0,IF($N$3=1,0,IF(D44&gt;=$B$3,0,IF($H$2="Monthly",($H$3*12),IF($H$2="Annual",$H$3,IF($H$2="% of Salary",$H$4*H44,IF($H$2="Match",MIN($H$5*W44,$H$6*H44),IF($H$2="Maximum Allowable",V44,0))))))))</f>
        <v>0</v>
      </c>
      <c r="T44" s="99" t="n">
        <f aca="false">$N$4*(1+$B$10)^(C44-1)</f>
        <v>12660.7001189481</v>
      </c>
      <c r="U44" s="99" t="n">
        <f aca="false">IF(AND($F$3=4,D44&lt;55),0,IF(D44&lt;50,0,IF(A44&lt;2025,$N$5*(1+$B$10)^(C44-1),IF(AND(D44&gt;59,D44&lt;64),$N$5*IF($N$3=2,1.5,1)*(1+$B$10)^(C44-1),$N$5*(1+$B$10)^(C44-1)))))</f>
        <v>1947.80001829971</v>
      </c>
      <c r="V44" s="99" t="n">
        <f aca="false">IF($N$3=1,0,$N$6*(1+$B$10)^(C44-1)-W44)</f>
        <v>0</v>
      </c>
      <c r="W44" s="99" t="n">
        <f aca="false">MIN(R44,T44)</f>
        <v>0</v>
      </c>
      <c r="X44" s="99" t="n">
        <f aca="false">MIN(U44,R44-W44)</f>
        <v>0</v>
      </c>
      <c r="Y44" s="99" t="n">
        <f aca="false">MIN(S44,V44)</f>
        <v>0</v>
      </c>
      <c r="Z44" s="99" t="n">
        <f aca="false">W44+X44+Y44</f>
        <v>0</v>
      </c>
      <c r="AA44" s="100" t="n">
        <f aca="false">Q44+W44+X44+Y44</f>
        <v>2929828.89561845</v>
      </c>
      <c r="AB44" s="93"/>
      <c r="AC44" s="59"/>
      <c r="AD44" s="59"/>
      <c r="AE44" s="59"/>
      <c r="AF44" s="59"/>
      <c r="AG44" s="59"/>
      <c r="AH44" s="59"/>
      <c r="AI44" s="59"/>
      <c r="AJ44" s="59"/>
      <c r="AK44" s="59"/>
    </row>
    <row r="45" customFormat="false" ht="15.75" hidden="false" customHeight="false" outlineLevel="0" collapsed="false">
      <c r="A45" s="94" t="n">
        <f aca="false">A44+1</f>
        <v>2051</v>
      </c>
      <c r="B45" s="95" t="n">
        <f aca="false">DATE(YEAR(B44)+1,MONTH(B44),DAY(B44))</f>
        <v>55243</v>
      </c>
      <c r="C45" s="96" t="n">
        <f aca="false">C44+1</f>
        <v>29</v>
      </c>
      <c r="D45" s="102" t="n">
        <f aca="false">IF(D44="-","-",IF(D44+1&gt;B$4,"-",D44+1))</f>
        <v>89</v>
      </c>
      <c r="E45" s="97" t="n">
        <f aca="false">HLOOKUP($B$6,'RetireUp Market Returns'!A:CT,(1+$B$7+C45),FALSE())</f>
        <v>0.065</v>
      </c>
      <c r="F45" s="97" t="n">
        <f aca="false">$B$10</f>
        <v>0.025</v>
      </c>
      <c r="G45" s="98" t="n">
        <f aca="false">G44*(1+F45)</f>
        <v>1.9964950187572</v>
      </c>
      <c r="H45" s="99" t="n">
        <f aca="false">$B$11*(1+$B$12)^(C45-1)</f>
        <v>174102.420617393</v>
      </c>
      <c r="I45" s="93"/>
      <c r="J45" s="100" t="n">
        <f aca="false">IF(C45=1,#REF!,AA44)</f>
        <v>2929828.89561845</v>
      </c>
      <c r="K45" s="99" t="n">
        <f aca="false">J45*E45</f>
        <v>190438.878215199</v>
      </c>
      <c r="L45" s="99" t="n">
        <f aca="false">J45+K45</f>
        <v>3120267.77383365</v>
      </c>
      <c r="M45" s="101" t="n">
        <f aca="false">IF(D45="-","-",IF($F$4="Roth","-",IF($E$3="Health Savings Account","-",IF(AND(A45=2033,D45=74),VLOOKUP(D45,Tables!G:H,2,FALSE()),IF(AND(A45&gt;2032,D45&lt;75),"-",IF(D45&lt;73,"-",VLOOKUP(D45,Tables!G:H,2,FALSE())))))))</f>
        <v>12.9</v>
      </c>
      <c r="N45" s="99" t="n">
        <f aca="false">IF($M45="-",0,J45/$M45)</f>
        <v>227118.51904019</v>
      </c>
      <c r="O45" s="99" t="n">
        <f aca="false">IF(D45&gt;$B$4,0,IF(D45&lt;$B$3,0,$B$8*(1+$B$10)^(C45-1)))</f>
        <v>199649.50187572</v>
      </c>
      <c r="P45" s="99" t="n">
        <f aca="false">MAX(N45,O45)</f>
        <v>227118.51904019</v>
      </c>
      <c r="Q45" s="99" t="n">
        <f aca="false">MAX(0,L45-P45)</f>
        <v>2893149.25479346</v>
      </c>
      <c r="R45" s="99" t="n">
        <f aca="false">IF($E$5="None",0,IF(D45&gt;=$B$3,0,IF($E$5="Monthly",MIN((($E$6+$E$8*(C45-1))*12),$E$9*12),IF($E$5="Annual",MIN((($E$6+$E$8*(C45-1))),$E$9),IF($E$5="% of Salary",MIN(($E$7+$E$10*(C45-1))*H45,$E$11*H45),IF($E$5="Maximum Allowable",T45+U45,0))))))</f>
        <v>0</v>
      </c>
      <c r="S45" s="99" t="n">
        <f aca="false">IF($H$2="None",0,IF($N$3=1,0,IF(D45&gt;=$B$3,0,IF($H$2="Monthly",($H$3*12),IF($H$2="Annual",$H$3,IF($H$2="% of Salary",$H$4*H45,IF($H$2="Match",MIN($H$5*W45,$H$6*H45),IF($H$2="Maximum Allowable",V45,0))))))))</f>
        <v>0</v>
      </c>
      <c r="T45" s="99" t="n">
        <f aca="false">$N$4*(1+$B$10)^(C45-1)</f>
        <v>12977.2176219218</v>
      </c>
      <c r="U45" s="99" t="n">
        <f aca="false">IF(AND($F$3=4,D45&lt;55),0,IF(D45&lt;50,0,IF(A45&lt;2025,$N$5*(1+$B$10)^(C45-1),IF(AND(D45&gt;59,D45&lt;64),$N$5*IF($N$3=2,1.5,1)*(1+$B$10)^(C45-1),$N$5*(1+$B$10)^(C45-1)))))</f>
        <v>1996.4950187572</v>
      </c>
      <c r="V45" s="99" t="n">
        <f aca="false">IF($N$3=1,0,$N$6*(1+$B$10)^(C45-1)-W45)</f>
        <v>0</v>
      </c>
      <c r="W45" s="99" t="n">
        <f aca="false">MIN(R45,T45)</f>
        <v>0</v>
      </c>
      <c r="X45" s="99" t="n">
        <f aca="false">MIN(U45,R45-W45)</f>
        <v>0</v>
      </c>
      <c r="Y45" s="99" t="n">
        <f aca="false">MIN(S45,V45)</f>
        <v>0</v>
      </c>
      <c r="Z45" s="99" t="n">
        <f aca="false">W45+X45+Y45</f>
        <v>0</v>
      </c>
      <c r="AA45" s="100" t="n">
        <f aca="false">Q45+W45+X45+Y45</f>
        <v>2893149.25479346</v>
      </c>
      <c r="AB45" s="93"/>
      <c r="AC45" s="59"/>
      <c r="AD45" s="59"/>
      <c r="AE45" s="59"/>
      <c r="AF45" s="59"/>
      <c r="AG45" s="59"/>
      <c r="AH45" s="59"/>
      <c r="AI45" s="59"/>
      <c r="AJ45" s="59"/>
      <c r="AK45" s="59"/>
    </row>
    <row r="46" customFormat="false" ht="15.75" hidden="false" customHeight="false" outlineLevel="0" collapsed="false">
      <c r="A46" s="94" t="n">
        <f aca="false">A45+1</f>
        <v>2052</v>
      </c>
      <c r="B46" s="95" t="n">
        <f aca="false">DATE(YEAR(B45)+1,MONTH(B45),DAY(B45))</f>
        <v>55609</v>
      </c>
      <c r="C46" s="96" t="n">
        <f aca="false">C45+1</f>
        <v>30</v>
      </c>
      <c r="D46" s="102" t="n">
        <f aca="false">IF(D45="-","-",IF(D45+1&gt;B$4,"-",D45+1))</f>
        <v>90</v>
      </c>
      <c r="E46" s="97" t="n">
        <f aca="false">HLOOKUP($B$6,'RetireUp Market Returns'!A:CT,(1+$B$7+C46),FALSE())</f>
        <v>-0.035</v>
      </c>
      <c r="F46" s="97" t="n">
        <f aca="false">$B$10</f>
        <v>0.025</v>
      </c>
      <c r="G46" s="98" t="n">
        <f aca="false">G45*(1+F46)</f>
        <v>2.04640739422613</v>
      </c>
      <c r="H46" s="99" t="n">
        <f aca="false">$B$11*(1+$B$12)^(C46-1)</f>
        <v>177584.469029741</v>
      </c>
      <c r="I46" s="93"/>
      <c r="J46" s="100" t="n">
        <f aca="false">IF(C46=1,#REF!,AA45)</f>
        <v>2893149.25479346</v>
      </c>
      <c r="K46" s="99" t="n">
        <f aca="false">J46*E46</f>
        <v>-101260.223917771</v>
      </c>
      <c r="L46" s="99" t="n">
        <f aca="false">J46+K46</f>
        <v>2791889.03087569</v>
      </c>
      <c r="M46" s="101" t="n">
        <f aca="false">IF(D46="-","-",IF($F$4="Roth","-",IF($E$3="Health Savings Account","-",IF(AND(A46=2033,D46=74),VLOOKUP(D46,Tables!G:H,2,FALSE()),IF(AND(A46&gt;2032,D46&lt;75),"-",IF(D46&lt;73,"-",VLOOKUP(D46,Tables!G:H,2,FALSE())))))))</f>
        <v>12.2</v>
      </c>
      <c r="N46" s="99" t="n">
        <f aca="false">IF($M46="-",0,J46/$M46)</f>
        <v>237143.381540447</v>
      </c>
      <c r="O46" s="99" t="n">
        <f aca="false">IF(D46&gt;$B$4,0,IF(D46&lt;$B$3,0,$B$8*(1+$B$10)^(C46-1)))</f>
        <v>204640.739422613</v>
      </c>
      <c r="P46" s="99" t="n">
        <f aca="false">MAX(N46,O46)</f>
        <v>237143.381540447</v>
      </c>
      <c r="Q46" s="99" t="n">
        <f aca="false">MAX(0,L46-P46)</f>
        <v>2554745.64933524</v>
      </c>
      <c r="R46" s="99" t="n">
        <f aca="false">IF($E$5="None",0,IF(D46&gt;=$B$3,0,IF($E$5="Monthly",MIN((($E$6+$E$8*(C46-1))*12),$E$9*12),IF($E$5="Annual",MIN((($E$6+$E$8*(C46-1))),$E$9),IF($E$5="% of Salary",MIN(($E$7+$E$10*(C46-1))*H46,$E$11*H46),IF($E$5="Maximum Allowable",T46+U46,0))))))</f>
        <v>0</v>
      </c>
      <c r="S46" s="99" t="n">
        <f aca="false">IF($H$2="None",0,IF($N$3=1,0,IF(D46&gt;=$B$3,0,IF($H$2="Monthly",($H$3*12),IF($H$2="Annual",$H$3,IF($H$2="% of Salary",$H$4*H46,IF($H$2="Match",MIN($H$5*W46,$H$6*H46),IF($H$2="Maximum Allowable",V46,0))))))))</f>
        <v>0</v>
      </c>
      <c r="T46" s="99" t="n">
        <f aca="false">$N$4*(1+$B$10)^(C46-1)</f>
        <v>13301.6480624699</v>
      </c>
      <c r="U46" s="99" t="n">
        <f aca="false">IF(AND($F$3=4,D46&lt;55),0,IF(D46&lt;50,0,IF(A46&lt;2025,$N$5*(1+$B$10)^(C46-1),IF(AND(D46&gt;59,D46&lt;64),$N$5*IF($N$3=2,1.5,1)*(1+$B$10)^(C46-1),$N$5*(1+$B$10)^(C46-1)))))</f>
        <v>2046.40739422613</v>
      </c>
      <c r="V46" s="99" t="n">
        <f aca="false">IF($N$3=1,0,$N$6*(1+$B$10)^(C46-1)-W46)</f>
        <v>0</v>
      </c>
      <c r="W46" s="99" t="n">
        <f aca="false">MIN(R46,T46)</f>
        <v>0</v>
      </c>
      <c r="X46" s="99" t="n">
        <f aca="false">MIN(U46,R46-W46)</f>
        <v>0</v>
      </c>
      <c r="Y46" s="99" t="n">
        <f aca="false">MIN(S46,V46)</f>
        <v>0</v>
      </c>
      <c r="Z46" s="99" t="n">
        <f aca="false">W46+X46+Y46</f>
        <v>0</v>
      </c>
      <c r="AA46" s="100" t="n">
        <f aca="false">Q46+W46+X46+Y46</f>
        <v>2554745.64933524</v>
      </c>
      <c r="AB46" s="93"/>
      <c r="AC46" s="59"/>
      <c r="AD46" s="59"/>
      <c r="AE46" s="59"/>
      <c r="AF46" s="59"/>
      <c r="AG46" s="59"/>
      <c r="AH46" s="59"/>
      <c r="AI46" s="59"/>
      <c r="AJ46" s="59"/>
      <c r="AK46" s="59"/>
    </row>
    <row r="47" customFormat="false" ht="15.75" hidden="false" customHeight="false" outlineLevel="0" collapsed="false">
      <c r="A47" s="94" t="n">
        <f aca="false">A46+1</f>
        <v>2053</v>
      </c>
      <c r="B47" s="95" t="n">
        <f aca="false">DATE(YEAR(B46)+1,MONTH(B46),DAY(B46))</f>
        <v>55974</v>
      </c>
      <c r="C47" s="96" t="n">
        <f aca="false">C46+1</f>
        <v>31</v>
      </c>
      <c r="D47" s="102" t="str">
        <f aca="false">IF(D46="-","-",IF(D46+1&gt;B$4,"-",D46+1))</f>
        <v>-</v>
      </c>
      <c r="E47" s="97" t="n">
        <f aca="false">HLOOKUP($B$6,'RetireUp Market Returns'!A:CT,(1+$B$7+C47),FALSE())</f>
        <v>0.08</v>
      </c>
      <c r="F47" s="97" t="n">
        <f aca="false">$B$10</f>
        <v>0.025</v>
      </c>
      <c r="G47" s="98" t="n">
        <f aca="false">G46*(1+F47)</f>
        <v>2.09756757908179</v>
      </c>
      <c r="H47" s="99" t="n">
        <f aca="false">$B$11*(1+$B$12)^(C47-1)</f>
        <v>181136.158410335</v>
      </c>
      <c r="I47" s="93"/>
      <c r="J47" s="100" t="n">
        <f aca="false">IF(C47=1,#REF!,AA46)</f>
        <v>2554745.64933524</v>
      </c>
      <c r="K47" s="99" t="n">
        <f aca="false">J47*E47</f>
        <v>204379.651946819</v>
      </c>
      <c r="L47" s="99" t="n">
        <f aca="false">J47+K47</f>
        <v>2759125.30128206</v>
      </c>
      <c r="M47" s="101" t="str">
        <f aca="false">IF(D47="-","-",IF($F$4="Roth","-",IF($E$3="Health Savings Account","-",IF(AND(A47=2033,D47=74),VLOOKUP(D47,Tables!G:H,2,FALSE()),IF(AND(A47&gt;2032,D47&lt;75),"-",IF(D47&lt;73,"-",VLOOKUP(D47,Tables!G:H,2,FALSE())))))))</f>
        <v>-</v>
      </c>
      <c r="N47" s="99" t="n">
        <f aca="false">IF($M47="-",0,J47/$M47)</f>
        <v>0</v>
      </c>
      <c r="O47" s="99" t="n">
        <f aca="false">IF(D47&gt;$B$4,0,IF(D47&lt;$B$3,0,$B$8*(1+$B$10)^(C47-1)))</f>
        <v>0</v>
      </c>
      <c r="P47" s="99" t="n">
        <f aca="false">MAX(N47,O47)</f>
        <v>0</v>
      </c>
      <c r="Q47" s="99" t="n">
        <f aca="false">MAX(0,L47-P47)</f>
        <v>2759125.30128206</v>
      </c>
      <c r="R47" s="99" t="n">
        <f aca="false">IF($E$5="None",0,IF(D47&gt;=$B$3,0,IF($E$5="Monthly",MIN((($E$6+$E$8*(C47-1))*12),$E$9*12),IF($E$5="Annual",MIN((($E$6+$E$8*(C47-1))),$E$9),IF($E$5="% of Salary",MIN(($E$7+$E$10*(C47-1))*H47,$E$11*H47),IF($E$5="Maximum Allowable",T47+U47,0))))))</f>
        <v>0</v>
      </c>
      <c r="S47" s="99" t="n">
        <f aca="false">IF($H$2="None",0,IF($N$3=1,0,IF(D47&gt;=$B$3,0,IF($H$2="Monthly",($H$3*12),IF($H$2="Annual",$H$3,IF($H$2="% of Salary",$H$4*H47,IF($H$2="Match",MIN($H$5*W47,$H$6*H47),IF($H$2="Maximum Allowable",V47,0))))))))</f>
        <v>0</v>
      </c>
      <c r="T47" s="99" t="n">
        <f aca="false">$N$4*(1+$B$10)^(C47-1)</f>
        <v>13634.1892640316</v>
      </c>
      <c r="U47" s="99" t="n">
        <f aca="false">IF(AND($F$3=4,D47&lt;55),0,IF(D47&lt;50,0,IF(A47&lt;2025,$N$5*(1+$B$10)^(C47-1),IF(AND(D47&gt;59,D47&lt;64),$N$5*IF($N$3=2,1.5,1)*(1+$B$10)^(C47-1),$N$5*(1+$B$10)^(C47-1)))))</f>
        <v>2097.56757908179</v>
      </c>
      <c r="V47" s="99" t="n">
        <f aca="false">IF($N$3=1,0,$N$6*(1+$B$10)^(C47-1)-W47)</f>
        <v>0</v>
      </c>
      <c r="W47" s="99" t="n">
        <f aca="false">MIN(R47,T47)</f>
        <v>0</v>
      </c>
      <c r="X47" s="99" t="n">
        <f aca="false">MIN(U47,R47-W47)</f>
        <v>0</v>
      </c>
      <c r="Y47" s="99" t="n">
        <f aca="false">MIN(S47,V47)</f>
        <v>0</v>
      </c>
      <c r="Z47" s="99" t="n">
        <f aca="false">W47+X47+Y47</f>
        <v>0</v>
      </c>
      <c r="AA47" s="100" t="n">
        <f aca="false">Q47+W47+X47+Y47</f>
        <v>2759125.30128206</v>
      </c>
      <c r="AB47" s="93"/>
      <c r="AC47" s="59"/>
      <c r="AD47" s="59"/>
      <c r="AE47" s="59"/>
      <c r="AF47" s="59"/>
      <c r="AG47" s="59"/>
      <c r="AH47" s="59"/>
      <c r="AI47" s="59"/>
      <c r="AJ47" s="59"/>
      <c r="AK47" s="59"/>
    </row>
    <row r="48" customFormat="false" ht="15.75" hidden="false" customHeight="false" outlineLevel="0" collapsed="false">
      <c r="A48" s="94" t="n">
        <f aca="false">A47+1</f>
        <v>2054</v>
      </c>
      <c r="B48" s="95" t="n">
        <f aca="false">DATE(YEAR(B47)+1,MONTH(B47),DAY(B47))</f>
        <v>56339</v>
      </c>
      <c r="C48" s="96" t="n">
        <f aca="false">C47+1</f>
        <v>32</v>
      </c>
      <c r="D48" s="102" t="str">
        <f aca="false">IF(D47="-","-",IF(D47+1&gt;B$4,"-",D47+1))</f>
        <v>-</v>
      </c>
      <c r="E48" s="97" t="n">
        <f aca="false">HLOOKUP($B$6,'RetireUp Market Returns'!A:CT,(1+$B$7+C48),FALSE())</f>
        <v>0.0542</v>
      </c>
      <c r="F48" s="97" t="n">
        <f aca="false">$B$10</f>
        <v>0.025</v>
      </c>
      <c r="G48" s="98" t="n">
        <f aca="false">G47*(1+F48)</f>
        <v>2.15000676855883</v>
      </c>
      <c r="H48" s="99" t="n">
        <f aca="false">$B$11*(1+$B$12)^(C48-1)</f>
        <v>184758.881578542</v>
      </c>
      <c r="I48" s="93"/>
      <c r="J48" s="100" t="n">
        <f aca="false">IF(C48=1,#REF!,AA47)</f>
        <v>2759125.30128206</v>
      </c>
      <c r="K48" s="99" t="n">
        <f aca="false">J48*E48</f>
        <v>149544.591329488</v>
      </c>
      <c r="L48" s="99" t="n">
        <f aca="false">J48+K48</f>
        <v>2908669.89261155</v>
      </c>
      <c r="M48" s="101" t="str">
        <f aca="false">IF(D48="-","-",IF($F$4="Roth","-",IF($E$3="Health Savings Account","-",IF(AND(A48=2033,D48=74),VLOOKUP(D48,Tables!G:H,2,FALSE()),IF(AND(A48&gt;2032,D48&lt;75),"-",IF(D48&lt;73,"-",VLOOKUP(D48,Tables!G:H,2,FALSE())))))))</f>
        <v>-</v>
      </c>
      <c r="N48" s="99" t="n">
        <f aca="false">IF($M48="-",0,J48/$M48)</f>
        <v>0</v>
      </c>
      <c r="O48" s="99" t="n">
        <f aca="false">IF(D48&gt;$B$4,0,IF(D48&lt;$B$3,0,$B$8*(1+$B$10)^(C48-1)))</f>
        <v>0</v>
      </c>
      <c r="P48" s="99" t="n">
        <f aca="false">MAX(N48,O48)</f>
        <v>0</v>
      </c>
      <c r="Q48" s="99" t="n">
        <f aca="false">MAX(0,L48-P48)</f>
        <v>2908669.89261155</v>
      </c>
      <c r="R48" s="99" t="n">
        <f aca="false">IF($E$5="None",0,IF(D48&gt;=$B$3,0,IF($E$5="Monthly",MIN((($E$6+$E$8*(C48-1))*12),$E$9*12),IF($E$5="Annual",MIN((($E$6+$E$8*(C48-1))),$E$9),IF($E$5="% of Salary",MIN(($E$7+$E$10*(C48-1))*H48,$E$11*H48),IF($E$5="Maximum Allowable",T48+U48,0))))))</f>
        <v>0</v>
      </c>
      <c r="S48" s="99" t="n">
        <f aca="false">IF($H$2="None",0,IF($N$3=1,0,IF(D48&gt;=$B$3,0,IF($H$2="Monthly",($H$3*12),IF($H$2="Annual",$H$3,IF($H$2="% of Salary",$H$4*H48,IF($H$2="Match",MIN($H$5*W48,$H$6*H48),IF($H$2="Maximum Allowable",V48,0))))))))</f>
        <v>0</v>
      </c>
      <c r="T48" s="99" t="n">
        <f aca="false">$N$4*(1+$B$10)^(C48-1)</f>
        <v>13975.0439956324</v>
      </c>
      <c r="U48" s="99" t="n">
        <f aca="false">IF(AND($F$3=4,D48&lt;55),0,IF(D48&lt;50,0,IF(A48&lt;2025,$N$5*(1+$B$10)^(C48-1),IF(AND(D48&gt;59,D48&lt;64),$N$5*IF($N$3=2,1.5,1)*(1+$B$10)^(C48-1),$N$5*(1+$B$10)^(C48-1)))))</f>
        <v>2150.00676855883</v>
      </c>
      <c r="V48" s="99" t="n">
        <f aca="false">IF($N$3=1,0,$N$6*(1+$B$10)^(C48-1)-W48)</f>
        <v>0</v>
      </c>
      <c r="W48" s="99" t="n">
        <f aca="false">MIN(R48,T48)</f>
        <v>0</v>
      </c>
      <c r="X48" s="99" t="n">
        <f aca="false">MIN(U48,R48-W48)</f>
        <v>0</v>
      </c>
      <c r="Y48" s="99" t="n">
        <f aca="false">MIN(S48,V48)</f>
        <v>0</v>
      </c>
      <c r="Z48" s="99" t="n">
        <f aca="false">W48+X48+Y48</f>
        <v>0</v>
      </c>
      <c r="AA48" s="100" t="n">
        <f aca="false">Q48+W48+X48+Y48</f>
        <v>2908669.89261155</v>
      </c>
      <c r="AB48" s="93"/>
      <c r="AC48" s="59"/>
      <c r="AD48" s="59"/>
      <c r="AE48" s="59"/>
      <c r="AF48" s="59"/>
      <c r="AG48" s="59"/>
      <c r="AH48" s="59"/>
      <c r="AI48" s="59"/>
      <c r="AJ48" s="59"/>
      <c r="AK48" s="59"/>
    </row>
    <row r="49" customFormat="false" ht="15.75" hidden="false" customHeight="false" outlineLevel="0" collapsed="false">
      <c r="A49" s="94" t="n">
        <f aca="false">A48+1</f>
        <v>2055</v>
      </c>
      <c r="B49" s="95" t="n">
        <f aca="false">DATE(YEAR(B48)+1,MONTH(B48),DAY(B48))</f>
        <v>56704</v>
      </c>
      <c r="C49" s="96" t="n">
        <f aca="false">C48+1</f>
        <v>33</v>
      </c>
      <c r="D49" s="102" t="str">
        <f aca="false">IF(D48="-","-",IF(D48+1&gt;B$4,"-",D48+1))</f>
        <v>-</v>
      </c>
      <c r="E49" s="97" t="n">
        <f aca="false">HLOOKUP($B$6,'RetireUp Market Returns'!A:CT,(1+$B$7+C49),FALSE())</f>
        <v>0.0791</v>
      </c>
      <c r="F49" s="97" t="n">
        <f aca="false">$B$10</f>
        <v>0.025</v>
      </c>
      <c r="G49" s="98" t="n">
        <f aca="false">G48*(1+F49)</f>
        <v>2.2037569377728</v>
      </c>
      <c r="H49" s="99" t="n">
        <f aca="false">$B$11*(1+$B$12)^(C49-1)</f>
        <v>188454.059210113</v>
      </c>
      <c r="I49" s="93"/>
      <c r="J49" s="100" t="n">
        <f aca="false">IF(C49=1,#REF!,AA48)</f>
        <v>2908669.89261155</v>
      </c>
      <c r="K49" s="99" t="n">
        <f aca="false">J49*E49</f>
        <v>230075.788505573</v>
      </c>
      <c r="L49" s="99" t="n">
        <f aca="false">J49+K49</f>
        <v>3138745.68111712</v>
      </c>
      <c r="M49" s="101" t="str">
        <f aca="false">IF(D49="-","-",IF($F$4="Roth","-",IF($E$3="Health Savings Account","-",IF(AND(A49=2033,D49=74),VLOOKUP(D49,Tables!G:H,2,FALSE()),IF(AND(A49&gt;2032,D49&lt;75),"-",IF(D49&lt;73,"-",VLOOKUP(D49,Tables!G:H,2,FALSE())))))))</f>
        <v>-</v>
      </c>
      <c r="N49" s="99" t="n">
        <f aca="false">IF($M49="-",0,J49/$M49)</f>
        <v>0</v>
      </c>
      <c r="O49" s="99" t="n">
        <f aca="false">IF(D49&gt;$B$4,0,IF(D49&lt;$B$3,0,$B$8*(1+$B$10)^(C49-1)))</f>
        <v>0</v>
      </c>
      <c r="P49" s="99" t="n">
        <f aca="false">MAX(N49,O49)</f>
        <v>0</v>
      </c>
      <c r="Q49" s="99" t="n">
        <f aca="false">MAX(0,L49-P49)</f>
        <v>3138745.68111712</v>
      </c>
      <c r="R49" s="99" t="n">
        <f aca="false">IF($E$5="None",0,IF(D49&gt;=$B$3,0,IF($E$5="Monthly",MIN((($E$6+$E$8*(C49-1))*12),$E$9*12),IF($E$5="Annual",MIN((($E$6+$E$8*(C49-1))),$E$9),IF($E$5="% of Salary",MIN(($E$7+$E$10*(C49-1))*H49,$E$11*H49),IF($E$5="Maximum Allowable",T49+U49,0))))))</f>
        <v>0</v>
      </c>
      <c r="S49" s="99" t="n">
        <f aca="false">IF($H$2="None",0,IF($N$3=1,0,IF(D49&gt;=$B$3,0,IF($H$2="Monthly",($H$3*12),IF($H$2="Annual",$H$3,IF($H$2="% of Salary",$H$4*H49,IF($H$2="Match",MIN($H$5*W49,$H$6*H49),IF($H$2="Maximum Allowable",V49,0))))))))</f>
        <v>0</v>
      </c>
      <c r="T49" s="99" t="n">
        <f aca="false">$N$4*(1+$B$10)^(C49-1)</f>
        <v>14324.4200955232</v>
      </c>
      <c r="U49" s="99" t="n">
        <f aca="false">IF(AND($F$3=4,D49&lt;55),0,IF(D49&lt;50,0,IF(A49&lt;2025,$N$5*(1+$B$10)^(C49-1),IF(AND(D49&gt;59,D49&lt;64),$N$5*IF($N$3=2,1.5,1)*(1+$B$10)^(C49-1),$N$5*(1+$B$10)^(C49-1)))))</f>
        <v>2203.7569377728</v>
      </c>
      <c r="V49" s="99" t="n">
        <f aca="false">IF($N$3=1,0,$N$6*(1+$B$10)^(C49-1)-W49)</f>
        <v>0</v>
      </c>
      <c r="W49" s="99" t="n">
        <f aca="false">MIN(R49,T49)</f>
        <v>0</v>
      </c>
      <c r="X49" s="99" t="n">
        <f aca="false">MIN(U49,R49-W49)</f>
        <v>0</v>
      </c>
      <c r="Y49" s="99" t="n">
        <f aca="false">MIN(S49,V49)</f>
        <v>0</v>
      </c>
      <c r="Z49" s="99" t="n">
        <f aca="false">W49+X49+Y49</f>
        <v>0</v>
      </c>
      <c r="AA49" s="100" t="n">
        <f aca="false">Q49+W49+X49+Y49</f>
        <v>3138745.68111712</v>
      </c>
      <c r="AB49" s="93"/>
      <c r="AC49" s="59"/>
      <c r="AD49" s="59"/>
      <c r="AE49" s="59"/>
      <c r="AF49" s="59"/>
      <c r="AG49" s="59"/>
      <c r="AH49" s="59"/>
      <c r="AI49" s="59"/>
      <c r="AJ49" s="59"/>
      <c r="AK49" s="59"/>
    </row>
    <row r="50" customFormat="false" ht="15.75" hidden="false" customHeight="false" outlineLevel="0" collapsed="false">
      <c r="A50" s="94" t="n">
        <f aca="false">A49+1</f>
        <v>2056</v>
      </c>
      <c r="B50" s="95" t="n">
        <f aca="false">DATE(YEAR(B49)+1,MONTH(B49),DAY(B49))</f>
        <v>57070</v>
      </c>
      <c r="C50" s="96" t="n">
        <f aca="false">C49+1</f>
        <v>34</v>
      </c>
      <c r="D50" s="102" t="str">
        <f aca="false">IF(D49="-","-",IF(D49+1&gt;B$4,"-",D49+1))</f>
        <v>-</v>
      </c>
      <c r="E50" s="97" t="n">
        <f aca="false">HLOOKUP($B$6,'RetireUp Market Returns'!A:CT,(1+$B$7+C50),FALSE())</f>
        <v>0.0377</v>
      </c>
      <c r="F50" s="97" t="n">
        <f aca="false">$B$10</f>
        <v>0.025</v>
      </c>
      <c r="G50" s="98" t="n">
        <f aca="false">G49*(1+F50)</f>
        <v>2.25885086121712</v>
      </c>
      <c r="H50" s="99" t="n">
        <f aca="false">$B$11*(1+$B$12)^(C50-1)</f>
        <v>192223.140394315</v>
      </c>
      <c r="I50" s="93"/>
      <c r="J50" s="100" t="n">
        <f aca="false">IF(C50=1,#REF!,AA49)</f>
        <v>3138745.68111712</v>
      </c>
      <c r="K50" s="99" t="n">
        <f aca="false">J50*E50</f>
        <v>118330.712178115</v>
      </c>
      <c r="L50" s="99" t="n">
        <f aca="false">J50+K50</f>
        <v>3257076.39329524</v>
      </c>
      <c r="M50" s="101" t="str">
        <f aca="false">IF(D50="-","-",IF($F$4="Roth","-",IF($E$3="Health Savings Account","-",IF(AND(A50=2033,D50=74),VLOOKUP(D50,Tables!G:H,2,FALSE()),IF(AND(A50&gt;2032,D50&lt;75),"-",IF(D50&lt;73,"-",VLOOKUP(D50,Tables!G:H,2,FALSE())))))))</f>
        <v>-</v>
      </c>
      <c r="N50" s="99" t="n">
        <f aca="false">IF($M50="-",0,J50/$M50)</f>
        <v>0</v>
      </c>
      <c r="O50" s="99" t="n">
        <f aca="false">IF(D50&gt;$B$4,0,IF(D50&lt;$B$3,0,$B$8*(1+$B$10)^(C50-1)))</f>
        <v>0</v>
      </c>
      <c r="P50" s="99" t="n">
        <f aca="false">MAX(N50,O50)</f>
        <v>0</v>
      </c>
      <c r="Q50" s="99" t="n">
        <f aca="false">MAX(0,L50-P50)</f>
        <v>3257076.39329524</v>
      </c>
      <c r="R50" s="99" t="n">
        <f aca="false">IF($E$5="None",0,IF(D50&gt;=$B$3,0,IF($E$5="Monthly",MIN((($E$6+$E$8*(C50-1))*12),$E$9*12),IF($E$5="Annual",MIN((($E$6+$E$8*(C50-1))),$E$9),IF($E$5="% of Salary",MIN(($E$7+$E$10*(C50-1))*H50,$E$11*H50),IF($E$5="Maximum Allowable",T50+U50,0))))))</f>
        <v>0</v>
      </c>
      <c r="S50" s="99" t="n">
        <f aca="false">IF($H$2="None",0,IF($N$3=1,0,IF(D50&gt;=$B$3,0,IF($H$2="Monthly",($H$3*12),IF($H$2="Annual",$H$3,IF($H$2="% of Salary",$H$4*H50,IF($H$2="Match",MIN($H$5*W50,$H$6*H50),IF($H$2="Maximum Allowable",V50,0))))))))</f>
        <v>0</v>
      </c>
      <c r="T50" s="99" t="n">
        <f aca="false">$N$4*(1+$B$10)^(C50-1)</f>
        <v>14682.5305979113</v>
      </c>
      <c r="U50" s="99" t="n">
        <f aca="false">IF(AND($F$3=4,D50&lt;55),0,IF(D50&lt;50,0,IF(A50&lt;2025,$N$5*(1+$B$10)^(C50-1),IF(AND(D50&gt;59,D50&lt;64),$N$5*IF($N$3=2,1.5,1)*(1+$B$10)^(C50-1),$N$5*(1+$B$10)^(C50-1)))))</f>
        <v>2258.85086121712</v>
      </c>
      <c r="V50" s="99" t="n">
        <f aca="false">IF($N$3=1,0,$N$6*(1+$B$10)^(C50-1)-W50)</f>
        <v>0</v>
      </c>
      <c r="W50" s="99" t="n">
        <f aca="false">MIN(R50,T50)</f>
        <v>0</v>
      </c>
      <c r="X50" s="99" t="n">
        <f aca="false">MIN(U50,R50-W50)</f>
        <v>0</v>
      </c>
      <c r="Y50" s="99" t="n">
        <f aca="false">MIN(S50,V50)</f>
        <v>0</v>
      </c>
      <c r="Z50" s="99" t="n">
        <f aca="false">W50+X50+Y50</f>
        <v>0</v>
      </c>
      <c r="AA50" s="100" t="n">
        <f aca="false">Q50+W50+X50+Y50</f>
        <v>3257076.39329524</v>
      </c>
      <c r="AB50" s="93"/>
      <c r="AC50" s="59"/>
      <c r="AD50" s="59"/>
      <c r="AE50" s="59"/>
      <c r="AF50" s="59"/>
      <c r="AG50" s="59"/>
      <c r="AH50" s="59"/>
      <c r="AI50" s="59"/>
      <c r="AJ50" s="59"/>
      <c r="AK50" s="59"/>
    </row>
    <row r="51" customFormat="false" ht="15.75" hidden="false" customHeight="false" outlineLevel="0" collapsed="false">
      <c r="A51" s="94" t="n">
        <f aca="false">A50+1</f>
        <v>2057</v>
      </c>
      <c r="B51" s="95" t="n">
        <f aca="false">DATE(YEAR(B50)+1,MONTH(B50),DAY(B50))</f>
        <v>57435</v>
      </c>
      <c r="C51" s="96" t="n">
        <f aca="false">C50+1</f>
        <v>35</v>
      </c>
      <c r="D51" s="102" t="str">
        <f aca="false">IF(D50="-","-",IF(D50+1&gt;B$4,"-",D50+1))</f>
        <v>-</v>
      </c>
      <c r="E51" s="97" t="n">
        <f aca="false">HLOOKUP($B$6,'RetireUp Market Returns'!A:CT,(1+$B$7+C51),FALSE())</f>
        <v>0.0919</v>
      </c>
      <c r="F51" s="97" t="n">
        <f aca="false">$B$10</f>
        <v>0.025</v>
      </c>
      <c r="G51" s="98" t="n">
        <f aca="false">G50*(1+F51)</f>
        <v>2.31532213274755</v>
      </c>
      <c r="H51" s="99" t="n">
        <f aca="false">$B$11*(1+$B$12)^(C51-1)</f>
        <v>196067.603202202</v>
      </c>
      <c r="I51" s="93"/>
      <c r="J51" s="100" t="n">
        <f aca="false">IF(C51=1,#REF!,AA50)</f>
        <v>3257076.39329524</v>
      </c>
      <c r="K51" s="99" t="n">
        <f aca="false">J51*E51</f>
        <v>299325.320543832</v>
      </c>
      <c r="L51" s="99" t="n">
        <f aca="false">J51+K51</f>
        <v>3556401.71383907</v>
      </c>
      <c r="M51" s="101" t="str">
        <f aca="false">IF(D51="-","-",IF($F$4="Roth","-",IF($E$3="Health Savings Account","-",IF(AND(A51=2033,D51=74),VLOOKUP(D51,Tables!G:H,2,FALSE()),IF(AND(A51&gt;2032,D51&lt;75),"-",IF(D51&lt;73,"-",VLOOKUP(D51,Tables!G:H,2,FALSE())))))))</f>
        <v>-</v>
      </c>
      <c r="N51" s="99" t="n">
        <f aca="false">IF($M51="-",0,J51/$M51)</f>
        <v>0</v>
      </c>
      <c r="O51" s="99" t="n">
        <f aca="false">IF(D51&gt;$B$4,0,IF(D51&lt;$B$3,0,$B$8*(1+$B$10)^(C51-1)))</f>
        <v>0</v>
      </c>
      <c r="P51" s="99" t="n">
        <f aca="false">MAX(N51,O51)</f>
        <v>0</v>
      </c>
      <c r="Q51" s="99" t="n">
        <f aca="false">MAX(0,L51-P51)</f>
        <v>3556401.71383907</v>
      </c>
      <c r="R51" s="99" t="n">
        <f aca="false">IF($E$5="None",0,IF(D51&gt;=$B$3,0,IF($E$5="Monthly",MIN((($E$6+$E$8*(C51-1))*12),$E$9*12),IF($E$5="Annual",MIN((($E$6+$E$8*(C51-1))),$E$9),IF($E$5="% of Salary",MIN(($E$7+$E$10*(C51-1))*H51,$E$11*H51),IF($E$5="Maximum Allowable",T51+U51,0))))))</f>
        <v>0</v>
      </c>
      <c r="S51" s="99" t="n">
        <f aca="false">IF($H$2="None",0,IF($N$3=1,0,IF(D51&gt;=$B$3,0,IF($H$2="Monthly",($H$3*12),IF($H$2="Annual",$H$3,IF($H$2="% of Salary",$H$4*H51,IF($H$2="Match",MIN($H$5*W51,$H$6*H51),IF($H$2="Maximum Allowable",V51,0))))))))</f>
        <v>0</v>
      </c>
      <c r="T51" s="99" t="n">
        <f aca="false">$N$4*(1+$B$10)^(C51-1)</f>
        <v>15049.5938628591</v>
      </c>
      <c r="U51" s="99" t="n">
        <f aca="false">IF(AND($F$3=4,D51&lt;55),0,IF(D51&lt;50,0,IF(A51&lt;2025,$N$5*(1+$B$10)^(C51-1),IF(AND(D51&gt;59,D51&lt;64),$N$5*IF($N$3=2,1.5,1)*(1+$B$10)^(C51-1),$N$5*(1+$B$10)^(C51-1)))))</f>
        <v>2315.32213274755</v>
      </c>
      <c r="V51" s="99" t="n">
        <f aca="false">IF($N$3=1,0,$N$6*(1+$B$10)^(C51-1)-W51)</f>
        <v>0</v>
      </c>
      <c r="W51" s="99" t="n">
        <f aca="false">MIN(R51,T51)</f>
        <v>0</v>
      </c>
      <c r="X51" s="99" t="n">
        <f aca="false">MIN(U51,R51-W51)</f>
        <v>0</v>
      </c>
      <c r="Y51" s="99" t="n">
        <f aca="false">MIN(S51,V51)</f>
        <v>0</v>
      </c>
      <c r="Z51" s="99" t="n">
        <f aca="false">W51+X51+Y51</f>
        <v>0</v>
      </c>
      <c r="AA51" s="100" t="n">
        <f aca="false">Q51+W51+X51+Y51</f>
        <v>3556401.71383907</v>
      </c>
      <c r="AB51" s="93"/>
      <c r="AC51" s="59"/>
      <c r="AD51" s="59"/>
      <c r="AE51" s="59"/>
      <c r="AF51" s="59"/>
      <c r="AG51" s="59"/>
      <c r="AH51" s="59"/>
      <c r="AI51" s="59"/>
      <c r="AJ51" s="59"/>
      <c r="AK51" s="59"/>
    </row>
    <row r="52" customFormat="false" ht="15.75" hidden="false" customHeight="false" outlineLevel="0" collapsed="false">
      <c r="A52" s="94" t="n">
        <f aca="false">A51+1</f>
        <v>2058</v>
      </c>
      <c r="B52" s="95" t="n">
        <f aca="false">DATE(YEAR(B51)+1,MONTH(B51),DAY(B51))</f>
        <v>57800</v>
      </c>
      <c r="C52" s="96" t="n">
        <f aca="false">C51+1</f>
        <v>36</v>
      </c>
      <c r="D52" s="102" t="str">
        <f aca="false">IF(D51="-","-",IF(D51+1&gt;B$4,"-",D51+1))</f>
        <v>-</v>
      </c>
      <c r="E52" s="97" t="n">
        <f aca="false">HLOOKUP($B$6,'RetireUp Market Returns'!A:CT,(1+$B$7+C52),FALSE())</f>
        <v>0.0337</v>
      </c>
      <c r="F52" s="97" t="n">
        <f aca="false">$B$10</f>
        <v>0.025</v>
      </c>
      <c r="G52" s="98" t="n">
        <f aca="false">G51*(1+F52)</f>
        <v>2.37320518606624</v>
      </c>
      <c r="H52" s="99" t="n">
        <f aca="false">$B$11*(1+$B$12)^(C52-1)</f>
        <v>199988.955266246</v>
      </c>
      <c r="I52" s="93"/>
      <c r="J52" s="100" t="n">
        <f aca="false">IF(C52=1,#REF!,AA51)</f>
        <v>3556401.71383907</v>
      </c>
      <c r="K52" s="99" t="n">
        <f aca="false">J52*E52</f>
        <v>119850.737756377</v>
      </c>
      <c r="L52" s="99" t="n">
        <f aca="false">J52+K52</f>
        <v>3676252.45159544</v>
      </c>
      <c r="M52" s="101" t="str">
        <f aca="false">IF(D52="-","-",IF($F$4="Roth","-",IF($E$3="Health Savings Account","-",IF(AND(A52=2033,D52=74),VLOOKUP(D52,Tables!G:H,2,FALSE()),IF(AND(A52&gt;2032,D52&lt;75),"-",IF(D52&lt;73,"-",VLOOKUP(D52,Tables!G:H,2,FALSE())))))))</f>
        <v>-</v>
      </c>
      <c r="N52" s="99" t="n">
        <f aca="false">IF($M52="-",0,J52/$M52)</f>
        <v>0</v>
      </c>
      <c r="O52" s="99" t="n">
        <f aca="false">IF(D52&gt;$B$4,0,IF(D52&lt;$B$3,0,$B$8*(1+$B$10)^(C52-1)))</f>
        <v>0</v>
      </c>
      <c r="P52" s="99" t="n">
        <f aca="false">MAX(N52,O52)</f>
        <v>0</v>
      </c>
      <c r="Q52" s="99" t="n">
        <f aca="false">MAX(0,L52-P52)</f>
        <v>3676252.45159544</v>
      </c>
      <c r="R52" s="99" t="n">
        <f aca="false">IF($E$5="None",0,IF(D52&gt;=$B$3,0,IF($E$5="Monthly",MIN((($E$6+$E$8*(C52-1))*12),$E$9*12),IF($E$5="Annual",MIN((($E$6+$E$8*(C52-1))),$E$9),IF($E$5="% of Salary",MIN(($E$7+$E$10*(C52-1))*H52,$E$11*H52),IF($E$5="Maximum Allowable",T52+U52,0))))))</f>
        <v>0</v>
      </c>
      <c r="S52" s="99" t="n">
        <f aca="false">IF($H$2="None",0,IF($N$3=1,0,IF(D52&gt;=$B$3,0,IF($H$2="Monthly",($H$3*12),IF($H$2="Annual",$H$3,IF($H$2="% of Salary",$H$4*H52,IF($H$2="Match",MIN($H$5*W52,$H$6*H52),IF($H$2="Maximum Allowable",V52,0))))))))</f>
        <v>0</v>
      </c>
      <c r="T52" s="99" t="n">
        <f aca="false">$N$4*(1+$B$10)^(C52-1)</f>
        <v>15425.8337094305</v>
      </c>
      <c r="U52" s="99" t="n">
        <f aca="false">IF(AND($F$3=4,D52&lt;55),0,IF(D52&lt;50,0,IF(A52&lt;2025,$N$5*(1+$B$10)^(C52-1),IF(AND(D52&gt;59,D52&lt;64),$N$5*IF($N$3=2,1.5,1)*(1+$B$10)^(C52-1),$N$5*(1+$B$10)^(C52-1)))))</f>
        <v>2373.20518606624</v>
      </c>
      <c r="V52" s="99" t="n">
        <f aca="false">IF($N$3=1,0,$N$6*(1+$B$10)^(C52-1)-W52)</f>
        <v>0</v>
      </c>
      <c r="W52" s="99" t="n">
        <f aca="false">MIN(R52,T52)</f>
        <v>0</v>
      </c>
      <c r="X52" s="99" t="n">
        <f aca="false">MIN(U52,R52-W52)</f>
        <v>0</v>
      </c>
      <c r="Y52" s="99" t="n">
        <f aca="false">MIN(S52,V52)</f>
        <v>0</v>
      </c>
      <c r="Z52" s="99" t="n">
        <f aca="false">W52+X52+Y52</f>
        <v>0</v>
      </c>
      <c r="AA52" s="100" t="n">
        <f aca="false">Q52+W52+X52+Y52</f>
        <v>3676252.45159544</v>
      </c>
      <c r="AB52" s="93"/>
      <c r="AC52" s="59"/>
      <c r="AD52" s="59"/>
      <c r="AE52" s="59"/>
      <c r="AF52" s="59"/>
      <c r="AG52" s="59"/>
      <c r="AH52" s="59"/>
      <c r="AI52" s="59"/>
      <c r="AJ52" s="59"/>
      <c r="AK52" s="59"/>
    </row>
    <row r="53" customFormat="false" ht="15.75" hidden="false" customHeight="false" outlineLevel="0" collapsed="false">
      <c r="A53" s="94" t="n">
        <f aca="false">A52+1</f>
        <v>2059</v>
      </c>
      <c r="B53" s="95" t="n">
        <f aca="false">DATE(YEAR(B52)+1,MONTH(B52),DAY(B52))</f>
        <v>58165</v>
      </c>
      <c r="C53" s="96" t="n">
        <f aca="false">C52+1</f>
        <v>37</v>
      </c>
      <c r="D53" s="102" t="str">
        <f aca="false">IF(D52="-","-",IF(D52+1&gt;B$4,"-",D52+1))</f>
        <v>-</v>
      </c>
      <c r="E53" s="97" t="n">
        <f aca="false">HLOOKUP($B$6,'RetireUp Market Returns'!A:CT,(1+$B$7+C53),FALSE())</f>
        <v>0.045</v>
      </c>
      <c r="F53" s="97" t="n">
        <f aca="false">$B$10</f>
        <v>0.025</v>
      </c>
      <c r="G53" s="98" t="n">
        <f aca="false">G52*(1+F53)</f>
        <v>2.43253531571789</v>
      </c>
      <c r="H53" s="99" t="n">
        <f aca="false">$B$11*(1+$B$12)^(C53-1)</f>
        <v>203988.734371571</v>
      </c>
      <c r="I53" s="93"/>
      <c r="J53" s="100" t="n">
        <f aca="false">IF(C53=1,#REF!,AA52)</f>
        <v>3676252.45159544</v>
      </c>
      <c r="K53" s="99" t="n">
        <f aca="false">J53*E53</f>
        <v>165431.360321795</v>
      </c>
      <c r="L53" s="99" t="n">
        <f aca="false">J53+K53</f>
        <v>3841683.81191724</v>
      </c>
      <c r="M53" s="101" t="str">
        <f aca="false">IF(D53="-","-",IF($F$4="Roth","-",IF($E$3="Health Savings Account","-",IF(AND(A53=2033,D53=74),VLOOKUP(D53,Tables!G:H,2,FALSE()),IF(AND(A53&gt;2032,D53&lt;75),"-",IF(D53&lt;73,"-",VLOOKUP(D53,Tables!G:H,2,FALSE())))))))</f>
        <v>-</v>
      </c>
      <c r="N53" s="99" t="n">
        <f aca="false">IF($M53="-",0,J53/$M53)</f>
        <v>0</v>
      </c>
      <c r="O53" s="99" t="n">
        <f aca="false">IF(D53&gt;$B$4,0,IF(D53&lt;$B$3,0,$B$8*(1+$B$10)^(C53-1)))</f>
        <v>0</v>
      </c>
      <c r="P53" s="99" t="n">
        <f aca="false">MAX(N53,O53)</f>
        <v>0</v>
      </c>
      <c r="Q53" s="99" t="n">
        <f aca="false">MAX(0,L53-P53)</f>
        <v>3841683.81191724</v>
      </c>
      <c r="R53" s="99" t="n">
        <f aca="false">IF($E$5="None",0,IF(D53&gt;=$B$3,0,IF($E$5="Monthly",MIN((($E$6+$E$8*(C53-1))*12),$E$9*12),IF($E$5="Annual",MIN((($E$6+$E$8*(C53-1))),$E$9),IF($E$5="% of Salary",MIN(($E$7+$E$10*(C53-1))*H53,$E$11*H53),IF($E$5="Maximum Allowable",T53+U53,0))))))</f>
        <v>0</v>
      </c>
      <c r="S53" s="99" t="n">
        <f aca="false">IF($H$2="None",0,IF($N$3=1,0,IF(D53&gt;=$B$3,0,IF($H$2="Monthly",($H$3*12),IF($H$2="Annual",$H$3,IF($H$2="% of Salary",$H$4*H53,IF($H$2="Match",MIN($H$5*W53,$H$6*H53),IF($H$2="Maximum Allowable",V53,0))))))))</f>
        <v>0</v>
      </c>
      <c r="T53" s="99" t="n">
        <f aca="false">$N$4*(1+$B$10)^(C53-1)</f>
        <v>15811.4795521663</v>
      </c>
      <c r="U53" s="99" t="n">
        <f aca="false">IF(AND($F$3=4,D53&lt;55),0,IF(D53&lt;50,0,IF(A53&lt;2025,$N$5*(1+$B$10)^(C53-1),IF(AND(D53&gt;59,D53&lt;64),$N$5*IF($N$3=2,1.5,1)*(1+$B$10)^(C53-1),$N$5*(1+$B$10)^(C53-1)))))</f>
        <v>2432.53531571789</v>
      </c>
      <c r="V53" s="99" t="n">
        <f aca="false">IF($N$3=1,0,$N$6*(1+$B$10)^(C53-1)-W53)</f>
        <v>0</v>
      </c>
      <c r="W53" s="99" t="n">
        <f aca="false">MIN(R53,T53)</f>
        <v>0</v>
      </c>
      <c r="X53" s="99" t="n">
        <f aca="false">MIN(U53,R53-W53)</f>
        <v>0</v>
      </c>
      <c r="Y53" s="99" t="n">
        <f aca="false">MIN(S53,V53)</f>
        <v>0</v>
      </c>
      <c r="Z53" s="99" t="n">
        <f aca="false">W53+X53+Y53</f>
        <v>0</v>
      </c>
      <c r="AA53" s="100" t="n">
        <f aca="false">Q53+W53+X53+Y53</f>
        <v>3841683.81191724</v>
      </c>
      <c r="AB53" s="93"/>
      <c r="AC53" s="59"/>
      <c r="AD53" s="59"/>
      <c r="AE53" s="59"/>
      <c r="AF53" s="59"/>
      <c r="AG53" s="59"/>
      <c r="AH53" s="59"/>
      <c r="AI53" s="59"/>
      <c r="AJ53" s="59"/>
      <c r="AK53" s="59"/>
    </row>
    <row r="54" customFormat="false" ht="15.75" hidden="false" customHeight="false" outlineLevel="0" collapsed="false">
      <c r="A54" s="94" t="n">
        <f aca="false">A53+1</f>
        <v>2060</v>
      </c>
      <c r="B54" s="95" t="n">
        <f aca="false">DATE(YEAR(B53)+1,MONTH(B53),DAY(B53))</f>
        <v>58531</v>
      </c>
      <c r="C54" s="96" t="n">
        <f aca="false">C53+1</f>
        <v>38</v>
      </c>
      <c r="D54" s="102" t="str">
        <f aca="false">IF(D53="-","-",IF(D53+1&gt;B$4,"-",D53+1))</f>
        <v>-</v>
      </c>
      <c r="E54" s="97" t="n">
        <f aca="false">HLOOKUP($B$6,'RetireUp Market Returns'!A:CT,(1+$B$7+C54),FALSE())</f>
        <v>0.11</v>
      </c>
      <c r="F54" s="97" t="n">
        <f aca="false">$B$10</f>
        <v>0.025</v>
      </c>
      <c r="G54" s="98" t="n">
        <f aca="false">G53*(1+F54)</f>
        <v>2.49334869861084</v>
      </c>
      <c r="H54" s="99" t="n">
        <f aca="false">$B$11*(1+$B$12)^(C54-1)</f>
        <v>208068.509059002</v>
      </c>
      <c r="I54" s="93"/>
      <c r="J54" s="100" t="n">
        <f aca="false">IF(C54=1,#REF!,AA53)</f>
        <v>3841683.81191724</v>
      </c>
      <c r="K54" s="99" t="n">
        <f aca="false">J54*E54</f>
        <v>422585.219310896</v>
      </c>
      <c r="L54" s="99" t="n">
        <f aca="false">J54+K54</f>
        <v>4264269.03122814</v>
      </c>
      <c r="M54" s="101" t="str">
        <f aca="false">IF(D54="-","-",IF($F$4="Roth","-",IF($E$3="Health Savings Account","-",IF(AND(A54=2033,D54=74),VLOOKUP(D54,Tables!G:H,2,FALSE()),IF(AND(A54&gt;2032,D54&lt;75),"-",IF(D54&lt;73,"-",VLOOKUP(D54,Tables!G:H,2,FALSE())))))))</f>
        <v>-</v>
      </c>
      <c r="N54" s="99" t="n">
        <f aca="false">IF($M54="-",0,J54/$M54)</f>
        <v>0</v>
      </c>
      <c r="O54" s="99" t="n">
        <f aca="false">IF(D54&gt;$B$4,0,IF(D54&lt;$B$3,0,$B$8*(1+$B$10)^(C54-1)))</f>
        <v>0</v>
      </c>
      <c r="P54" s="99" t="n">
        <f aca="false">MAX(N54,O54)</f>
        <v>0</v>
      </c>
      <c r="Q54" s="99" t="n">
        <f aca="false">MAX(0,L54-P54)</f>
        <v>4264269.03122814</v>
      </c>
      <c r="R54" s="99" t="n">
        <f aca="false">IF($E$5="None",0,IF(D54&gt;=$B$3,0,IF($E$5="Monthly",MIN((($E$6+$E$8*(C54-1))*12),$E$9*12),IF($E$5="Annual",MIN((($E$6+$E$8*(C54-1))),$E$9),IF($E$5="% of Salary",MIN(($E$7+$E$10*(C54-1))*H54,$E$11*H54),IF($E$5="Maximum Allowable",T54+U54,0))))))</f>
        <v>0</v>
      </c>
      <c r="S54" s="99" t="n">
        <f aca="false">IF($H$2="None",0,IF($N$3=1,0,IF(D54&gt;=$B$3,0,IF($H$2="Monthly",($H$3*12),IF($H$2="Annual",$H$3,IF($H$2="% of Salary",$H$4*H54,IF($H$2="Match",MIN($H$5*W54,$H$6*H54),IF($H$2="Maximum Allowable",V54,0))))))))</f>
        <v>0</v>
      </c>
      <c r="T54" s="99" t="n">
        <f aca="false">$N$4*(1+$B$10)^(C54-1)</f>
        <v>16206.7665409705</v>
      </c>
      <c r="U54" s="99" t="n">
        <f aca="false">IF(AND($F$3=4,D54&lt;55),0,IF(D54&lt;50,0,IF(A54&lt;2025,$N$5*(1+$B$10)^(C54-1),IF(AND(D54&gt;59,D54&lt;64),$N$5*IF($N$3=2,1.5,1)*(1+$B$10)^(C54-1),$N$5*(1+$B$10)^(C54-1)))))</f>
        <v>2493.34869861084</v>
      </c>
      <c r="V54" s="99" t="n">
        <f aca="false">IF($N$3=1,0,$N$6*(1+$B$10)^(C54-1)-W54)</f>
        <v>0</v>
      </c>
      <c r="W54" s="99" t="n">
        <f aca="false">MIN(R54,T54)</f>
        <v>0</v>
      </c>
      <c r="X54" s="99" t="n">
        <f aca="false">MIN(U54,R54-W54)</f>
        <v>0</v>
      </c>
      <c r="Y54" s="99" t="n">
        <f aca="false">MIN(S54,V54)</f>
        <v>0</v>
      </c>
      <c r="Z54" s="99" t="n">
        <f aca="false">W54+X54+Y54</f>
        <v>0</v>
      </c>
      <c r="AA54" s="100" t="n">
        <f aca="false">Q54+W54+X54+Y54</f>
        <v>4264269.03122814</v>
      </c>
      <c r="AB54" s="93"/>
      <c r="AC54" s="59"/>
      <c r="AD54" s="59"/>
      <c r="AE54" s="59"/>
      <c r="AF54" s="59"/>
      <c r="AG54" s="59"/>
      <c r="AH54" s="59"/>
      <c r="AI54" s="59"/>
      <c r="AJ54" s="59"/>
      <c r="AK54" s="59"/>
    </row>
    <row r="55" customFormat="false" ht="15.75" hidden="false" customHeight="fals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59"/>
      <c r="AD55" s="59"/>
      <c r="AE55" s="59"/>
      <c r="AF55" s="59"/>
      <c r="AG55" s="59"/>
      <c r="AH55" s="59"/>
      <c r="AI55" s="59"/>
      <c r="AJ55" s="59"/>
      <c r="AK55" s="59"/>
    </row>
    <row r="56" customFormat="false" ht="15.75" hidden="false" customHeight="false" outlineLevel="0" collapsed="false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C56" s="59"/>
      <c r="AD56" s="59"/>
      <c r="AE56" s="59"/>
      <c r="AF56" s="59"/>
      <c r="AG56" s="59"/>
      <c r="AH56" s="59"/>
      <c r="AI56" s="59"/>
      <c r="AJ56" s="59"/>
      <c r="AK56" s="59"/>
    </row>
    <row r="57" customFormat="false" ht="15.75" hidden="false" customHeight="false" outlineLevel="0" collapsed="false">
      <c r="AC57" s="59"/>
      <c r="AD57" s="59"/>
      <c r="AE57" s="59"/>
      <c r="AF57" s="59"/>
      <c r="AG57" s="59"/>
      <c r="AH57" s="59"/>
      <c r="AI57" s="59"/>
      <c r="AJ57" s="59"/>
      <c r="AK57" s="59"/>
    </row>
    <row r="58" customFormat="false" ht="15.75" hidden="false" customHeight="false" outlineLevel="0" collapsed="false">
      <c r="AC58" s="59"/>
      <c r="AD58" s="59"/>
      <c r="AE58" s="59"/>
      <c r="AF58" s="59"/>
      <c r="AG58" s="59"/>
      <c r="AH58" s="59"/>
      <c r="AI58" s="59"/>
      <c r="AJ58" s="59"/>
      <c r="AK58" s="59"/>
    </row>
    <row r="59" customFormat="false" ht="15.75" hidden="false" customHeight="false" outlineLevel="0" collapsed="false">
      <c r="AC59" s="59"/>
      <c r="AD59" s="59"/>
      <c r="AE59" s="59"/>
      <c r="AF59" s="59"/>
      <c r="AG59" s="59"/>
      <c r="AH59" s="59"/>
      <c r="AI59" s="59"/>
      <c r="AJ59" s="59"/>
      <c r="AK59" s="59"/>
    </row>
    <row r="60" customFormat="false" ht="15.75" hidden="false" customHeight="false" outlineLevel="0" collapsed="false">
      <c r="AC60" s="59"/>
      <c r="AD60" s="59"/>
      <c r="AE60" s="59"/>
      <c r="AF60" s="59"/>
      <c r="AG60" s="59"/>
      <c r="AH60" s="59"/>
      <c r="AI60" s="59"/>
      <c r="AJ60" s="59"/>
      <c r="AK60" s="59"/>
    </row>
    <row r="61" customFormat="false" ht="15.75" hidden="false" customHeight="false" outlineLevel="0" collapsed="false">
      <c r="AC61" s="59"/>
      <c r="AD61" s="59"/>
      <c r="AE61" s="59"/>
      <c r="AF61" s="59"/>
      <c r="AG61" s="59"/>
      <c r="AH61" s="59"/>
      <c r="AI61" s="59"/>
      <c r="AJ61" s="59"/>
      <c r="AK61" s="59"/>
    </row>
    <row r="62" customFormat="false" ht="15.75" hidden="false" customHeight="false" outlineLevel="0" collapsed="false">
      <c r="AC62" s="59"/>
      <c r="AD62" s="59"/>
      <c r="AE62" s="59"/>
      <c r="AF62" s="59"/>
      <c r="AG62" s="59"/>
      <c r="AH62" s="59"/>
      <c r="AI62" s="59"/>
      <c r="AJ62" s="59"/>
      <c r="AK62" s="59"/>
    </row>
    <row r="63" customFormat="false" ht="15.75" hidden="false" customHeight="false" outlineLevel="0" collapsed="false">
      <c r="AC63" s="59"/>
      <c r="AD63" s="59"/>
      <c r="AE63" s="59"/>
      <c r="AF63" s="59"/>
      <c r="AG63" s="59"/>
      <c r="AH63" s="59"/>
      <c r="AI63" s="59"/>
      <c r="AJ63" s="59"/>
      <c r="AK63" s="59"/>
    </row>
    <row r="64" customFormat="false" ht="15.75" hidden="false" customHeight="false" outlineLevel="0" collapsed="false">
      <c r="AC64" s="59"/>
      <c r="AD64" s="59"/>
      <c r="AE64" s="59"/>
      <c r="AF64" s="59"/>
      <c r="AG64" s="59"/>
      <c r="AH64" s="59"/>
      <c r="AI64" s="59"/>
      <c r="AJ64" s="59"/>
      <c r="AK64" s="59"/>
    </row>
  </sheetData>
  <conditionalFormatting sqref="AC65:AC72 N56:O56 E17:G54">
    <cfRule type="cellIs" priority="2" operator="lessThan" aboveAverage="0" equalAverage="0" bottom="0" percent="0" rank="0" text="" dxfId="9">
      <formula>0</formula>
    </cfRule>
  </conditionalFormatting>
  <dataValidations count="4">
    <dataValidation allowBlank="true" errorStyle="stop" operator="between" showDropDown="false" showErrorMessage="true" showInputMessage="true" sqref="E2" type="list">
      <formula1>"Qualified,Non-Qualified"</formula1>
      <formula2>0</formula2>
    </dataValidation>
    <dataValidation allowBlank="true" errorStyle="stop" operator="between" showDropDown="false" showErrorMessage="true" showInputMessage="true" sqref="H2 E5" type="list">
      <formula1>"Maximum Allowable,Monthly,Annual,% of Salary"</formula1>
      <formula2>0</formula2>
    </dataValidation>
    <dataValidation allowBlank="true" errorStyle="stop" operator="between" showDropDown="false" showErrorMessage="true" showInputMessage="true" sqref="A14" type="list">
      <formula1>Scenarios!A3:A100</formula1>
      <formula2>0</formula2>
    </dataValidation>
    <dataValidation allowBlank="true" errorStyle="stop" operator="between" showDropDown="false" showErrorMessage="true" showInputMessage="true" sqref="E3:E4" type="list">
      <formula1>Tables!$B$20:$B$36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2020-09-28T14:38:15Z</dcterms:created>
  <dc:creator>Howard Kagay</dc:creator>
  <dc:description/>
  <dc:language>en-US</dc:language>
  <cp:lastModifiedBy>Howard Kagay</cp:lastModifiedBy>
  <dcterms:modified xsi:type="dcterms:W3CDTF">2023-01-20T18:05:37Z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