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ltofi-my.sharepoint.com/personal/damla_serper_aalto_fi/Documents/First_manuscript_draft_2022/"/>
    </mc:Choice>
  </mc:AlternateContent>
  <xr:revisionPtr revIDLastSave="6989" documentId="11_E60897F41BE170836B02CE998F75CCDC64E183C8" xr6:coauthVersionLast="47" xr6:coauthVersionMax="47" xr10:uidLastSave="{A3762ABC-360C-40CA-8C5F-286B8F02278E}"/>
  <bookViews>
    <workbookView xWindow="-108" yWindow="-108" windowWidth="23256" windowHeight="12576" activeTab="1" xr2:uid="{00000000-000D-0000-FFFF-FFFF00000000}"/>
  </bookViews>
  <sheets>
    <sheet name="Results_time red.+part. loss" sheetId="8" r:id="rId1"/>
    <sheet name="Case properties " sheetId="6" r:id="rId2"/>
    <sheet name="Mesh quality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D4" i="8"/>
  <c r="E4" i="8"/>
  <c r="F4" i="8"/>
  <c r="G4" i="8"/>
  <c r="C5" i="8"/>
  <c r="D5" i="8"/>
  <c r="E5" i="8"/>
  <c r="F5" i="8"/>
  <c r="G5" i="8"/>
  <c r="C6" i="8"/>
  <c r="D6" i="8"/>
  <c r="E6" i="8"/>
  <c r="F6" i="8"/>
  <c r="G6" i="8"/>
  <c r="C7" i="8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D12" i="8"/>
  <c r="D13" i="8"/>
  <c r="D14" i="8"/>
  <c r="D15" i="8"/>
  <c r="AJ123" i="8"/>
  <c r="AA123" i="8"/>
  <c r="AJ122" i="8"/>
  <c r="AA122" i="8"/>
  <c r="AJ121" i="8"/>
  <c r="AA121" i="8"/>
  <c r="AJ120" i="8"/>
  <c r="AA120" i="8"/>
  <c r="AJ119" i="8"/>
  <c r="AA119" i="8"/>
  <c r="AJ118" i="8"/>
  <c r="AA118" i="8"/>
  <c r="AJ117" i="8"/>
  <c r="AA117" i="8"/>
  <c r="AJ116" i="8"/>
  <c r="AA116" i="8"/>
  <c r="AJ115" i="8"/>
  <c r="AA115" i="8"/>
  <c r="AJ114" i="8"/>
  <c r="AA114" i="8"/>
  <c r="AJ113" i="8"/>
  <c r="AA113" i="8"/>
  <c r="AJ112" i="8"/>
  <c r="AA112" i="8"/>
  <c r="AJ111" i="8"/>
  <c r="AA111" i="8"/>
  <c r="AJ110" i="8"/>
  <c r="AA110" i="8"/>
  <c r="AJ109" i="8"/>
  <c r="AA109" i="8"/>
  <c r="AJ108" i="8"/>
  <c r="AA108" i="8"/>
  <c r="AJ107" i="8"/>
  <c r="AA107" i="8"/>
  <c r="AJ106" i="8"/>
  <c r="AA106" i="8"/>
  <c r="AJ105" i="8"/>
  <c r="AA105" i="8"/>
  <c r="AJ104" i="8"/>
  <c r="AA104" i="8"/>
  <c r="AJ103" i="8"/>
  <c r="AA103" i="8"/>
  <c r="AJ102" i="8"/>
  <c r="AA102" i="8"/>
  <c r="AJ101" i="8"/>
  <c r="AA101" i="8"/>
  <c r="AJ100" i="8"/>
  <c r="AA100" i="8"/>
  <c r="AJ99" i="8"/>
  <c r="AA99" i="8"/>
  <c r="AJ98" i="8"/>
  <c r="AA98" i="8"/>
  <c r="AJ97" i="8"/>
  <c r="AA97" i="8"/>
  <c r="AJ96" i="8"/>
  <c r="AA96" i="8"/>
  <c r="AJ95" i="8"/>
  <c r="AA95" i="8"/>
  <c r="AJ94" i="8"/>
  <c r="AA94" i="8"/>
  <c r="AJ93" i="8"/>
  <c r="AA93" i="8"/>
  <c r="AJ92" i="8"/>
  <c r="AA92" i="8"/>
  <c r="AJ91" i="8"/>
  <c r="AA91" i="8"/>
  <c r="AJ90" i="8"/>
  <c r="AA90" i="8"/>
  <c r="AJ89" i="8"/>
  <c r="AA89" i="8"/>
  <c r="AJ88" i="8"/>
  <c r="AA88" i="8"/>
  <c r="AJ87" i="8"/>
  <c r="AA87" i="8"/>
  <c r="AJ86" i="8"/>
  <c r="AA86" i="8"/>
  <c r="AJ85" i="8"/>
  <c r="AA85" i="8"/>
  <c r="AJ84" i="8"/>
  <c r="AA84" i="8"/>
  <c r="AK83" i="8"/>
  <c r="AF83" i="8"/>
  <c r="AE83" i="8"/>
  <c r="AG83" i="8" s="1"/>
  <c r="AC83" i="8"/>
  <c r="AB83" i="8"/>
  <c r="AD83" i="8" s="1"/>
  <c r="AA83" i="8"/>
  <c r="AK82" i="8"/>
  <c r="AF82" i="8"/>
  <c r="AE82" i="8"/>
  <c r="AG82" i="8" s="1"/>
  <c r="AC82" i="8"/>
  <c r="AB82" i="8"/>
  <c r="AD82" i="8" s="1"/>
  <c r="AA82" i="8"/>
  <c r="AK81" i="8"/>
  <c r="AF81" i="8"/>
  <c r="AE81" i="8"/>
  <c r="AG81" i="8" s="1"/>
  <c r="AC81" i="8"/>
  <c r="AB81" i="8"/>
  <c r="AD81" i="8" s="1"/>
  <c r="AA81" i="8"/>
  <c r="AK80" i="8"/>
  <c r="AF80" i="8"/>
  <c r="AE80" i="8"/>
  <c r="AG80" i="8" s="1"/>
  <c r="AC80" i="8"/>
  <c r="AB80" i="8"/>
  <c r="AD80" i="8" s="1"/>
  <c r="AA80" i="8"/>
  <c r="AK79" i="8"/>
  <c r="AF79" i="8"/>
  <c r="AE79" i="8"/>
  <c r="AG79" i="8" s="1"/>
  <c r="AC79" i="8"/>
  <c r="AB79" i="8"/>
  <c r="AD79" i="8" s="1"/>
  <c r="AA79" i="8"/>
  <c r="AK78" i="8"/>
  <c r="AF78" i="8"/>
  <c r="AE78" i="8"/>
  <c r="AG78" i="8" s="1"/>
  <c r="AC78" i="8"/>
  <c r="AB78" i="8"/>
  <c r="AD78" i="8" s="1"/>
  <c r="AA78" i="8"/>
  <c r="AK77" i="8"/>
  <c r="AF77" i="8"/>
  <c r="AE77" i="8"/>
  <c r="AG77" i="8" s="1"/>
  <c r="AC77" i="8"/>
  <c r="AB77" i="8"/>
  <c r="AD77" i="8" s="1"/>
  <c r="AA77" i="8"/>
  <c r="AK76" i="8"/>
  <c r="AF76" i="8"/>
  <c r="AE76" i="8"/>
  <c r="AG76" i="8" s="1"/>
  <c r="AC76" i="8"/>
  <c r="AB76" i="8"/>
  <c r="AD76" i="8" s="1"/>
  <c r="AA76" i="8"/>
  <c r="AK75" i="8"/>
  <c r="AF75" i="8"/>
  <c r="AE75" i="8"/>
  <c r="AG75" i="8" s="1"/>
  <c r="AC75" i="8"/>
  <c r="AB75" i="8"/>
  <c r="AD75" i="8" s="1"/>
  <c r="AA75" i="8"/>
  <c r="AK74" i="8"/>
  <c r="AF74" i="8"/>
  <c r="AE74" i="8"/>
  <c r="AG74" i="8" s="1"/>
  <c r="AC74" i="8"/>
  <c r="AB74" i="8"/>
  <c r="AD74" i="8" s="1"/>
  <c r="AA74" i="8"/>
  <c r="AK73" i="8"/>
  <c r="AF73" i="8"/>
  <c r="AE73" i="8"/>
  <c r="AG73" i="8" s="1"/>
  <c r="AC73" i="8"/>
  <c r="AB73" i="8"/>
  <c r="AD73" i="8" s="1"/>
  <c r="AA73" i="8"/>
  <c r="AK72" i="8"/>
  <c r="AF72" i="8"/>
  <c r="AE72" i="8"/>
  <c r="AG72" i="8" s="1"/>
  <c r="AC72" i="8"/>
  <c r="AB72" i="8"/>
  <c r="AD72" i="8" s="1"/>
  <c r="AA72" i="8"/>
  <c r="AK71" i="8"/>
  <c r="AF71" i="8"/>
  <c r="AE71" i="8"/>
  <c r="AG71" i="8" s="1"/>
  <c r="AC71" i="8"/>
  <c r="AB71" i="8"/>
  <c r="AD71" i="8" s="1"/>
  <c r="AA71" i="8"/>
  <c r="AK70" i="8"/>
  <c r="AF70" i="8"/>
  <c r="AE70" i="8"/>
  <c r="AG70" i="8" s="1"/>
  <c r="AC70" i="8"/>
  <c r="AB70" i="8"/>
  <c r="AD70" i="8" s="1"/>
  <c r="AA70" i="8"/>
  <c r="AK69" i="8"/>
  <c r="AF69" i="8"/>
  <c r="AE69" i="8"/>
  <c r="AG69" i="8" s="1"/>
  <c r="AC69" i="8"/>
  <c r="AB69" i="8"/>
  <c r="AD69" i="8" s="1"/>
  <c r="AA69" i="8"/>
  <c r="AK68" i="8"/>
  <c r="AF68" i="8"/>
  <c r="AE68" i="8"/>
  <c r="AG68" i="8" s="1"/>
  <c r="AC68" i="8"/>
  <c r="AB68" i="8"/>
  <c r="AD68" i="8" s="1"/>
  <c r="AA68" i="8"/>
  <c r="AK67" i="8"/>
  <c r="AF67" i="8"/>
  <c r="AE67" i="8"/>
  <c r="AG67" i="8" s="1"/>
  <c r="AC67" i="8"/>
  <c r="AB67" i="8"/>
  <c r="AD67" i="8" s="1"/>
  <c r="AA67" i="8"/>
  <c r="AK66" i="8"/>
  <c r="AF66" i="8"/>
  <c r="AE66" i="8"/>
  <c r="AG66" i="8" s="1"/>
  <c r="AC66" i="8"/>
  <c r="AB66" i="8"/>
  <c r="AD66" i="8" s="1"/>
  <c r="AA66" i="8"/>
  <c r="AK65" i="8"/>
  <c r="AF65" i="8"/>
  <c r="AE65" i="8"/>
  <c r="AG65" i="8" s="1"/>
  <c r="AC65" i="8"/>
  <c r="AB65" i="8"/>
  <c r="AD65" i="8" s="1"/>
  <c r="AA65" i="8"/>
  <c r="AK64" i="8"/>
  <c r="AF64" i="8"/>
  <c r="AE64" i="8"/>
  <c r="AG64" i="8" s="1"/>
  <c r="AC64" i="8"/>
  <c r="AB64" i="8"/>
  <c r="AD64" i="8" s="1"/>
  <c r="AA64" i="8"/>
  <c r="AK63" i="8"/>
  <c r="AF63" i="8"/>
  <c r="AE63" i="8"/>
  <c r="AG63" i="8" s="1"/>
  <c r="AC63" i="8"/>
  <c r="AB63" i="8"/>
  <c r="AD63" i="8" s="1"/>
  <c r="AA63" i="8"/>
  <c r="AK62" i="8"/>
  <c r="AF62" i="8"/>
  <c r="AE62" i="8"/>
  <c r="AG62" i="8" s="1"/>
  <c r="AC62" i="8"/>
  <c r="AB62" i="8"/>
  <c r="AD62" i="8" s="1"/>
  <c r="AA62" i="8"/>
  <c r="AK61" i="8"/>
  <c r="AF61" i="8"/>
  <c r="AE61" i="8"/>
  <c r="AG61" i="8" s="1"/>
  <c r="AC61" i="8"/>
  <c r="AB61" i="8"/>
  <c r="AD61" i="8" s="1"/>
  <c r="AA61" i="8"/>
  <c r="AK60" i="8"/>
  <c r="AF60" i="8"/>
  <c r="AE60" i="8"/>
  <c r="AG60" i="8" s="1"/>
  <c r="AC60" i="8"/>
  <c r="AB60" i="8"/>
  <c r="AD60" i="8" s="1"/>
  <c r="AA60" i="8"/>
  <c r="AK59" i="8"/>
  <c r="AF59" i="8"/>
  <c r="AE59" i="8"/>
  <c r="AG59" i="8" s="1"/>
  <c r="AC59" i="8"/>
  <c r="AB59" i="8"/>
  <c r="AD59" i="8" s="1"/>
  <c r="AA59" i="8"/>
  <c r="AK58" i="8"/>
  <c r="AF58" i="8"/>
  <c r="AE58" i="8"/>
  <c r="AG58" i="8" s="1"/>
  <c r="AC58" i="8"/>
  <c r="AB58" i="8"/>
  <c r="AD58" i="8" s="1"/>
  <c r="AA58" i="8"/>
  <c r="AK57" i="8"/>
  <c r="AF57" i="8"/>
  <c r="AE57" i="8"/>
  <c r="AG57" i="8" s="1"/>
  <c r="AC57" i="8"/>
  <c r="AB57" i="8"/>
  <c r="AD57" i="8" s="1"/>
  <c r="AA57" i="8"/>
  <c r="AK56" i="8"/>
  <c r="AF56" i="8"/>
  <c r="AE56" i="8"/>
  <c r="AG56" i="8" s="1"/>
  <c r="AC56" i="8"/>
  <c r="AB56" i="8"/>
  <c r="AD56" i="8" s="1"/>
  <c r="AA56" i="8"/>
  <c r="AK55" i="8"/>
  <c r="AF55" i="8"/>
  <c r="AE55" i="8"/>
  <c r="AG55" i="8" s="1"/>
  <c r="AC55" i="8"/>
  <c r="AB55" i="8"/>
  <c r="AD55" i="8" s="1"/>
  <c r="AA55" i="8"/>
  <c r="AK54" i="8"/>
  <c r="AF54" i="8"/>
  <c r="AE54" i="8"/>
  <c r="AG54" i="8" s="1"/>
  <c r="AC54" i="8"/>
  <c r="AB54" i="8"/>
  <c r="AD54" i="8" s="1"/>
  <c r="AA54" i="8"/>
  <c r="AK53" i="8"/>
  <c r="AF53" i="8"/>
  <c r="AE53" i="8"/>
  <c r="AG53" i="8" s="1"/>
  <c r="AC53" i="8"/>
  <c r="AB53" i="8"/>
  <c r="AD53" i="8" s="1"/>
  <c r="AA53" i="8"/>
  <c r="AK52" i="8"/>
  <c r="AF52" i="8"/>
  <c r="AE52" i="8"/>
  <c r="AG52" i="8" s="1"/>
  <c r="AC52" i="8"/>
  <c r="AB52" i="8"/>
  <c r="AD52" i="8" s="1"/>
  <c r="AA52" i="8"/>
  <c r="AK51" i="8"/>
  <c r="AF51" i="8"/>
  <c r="AE51" i="8"/>
  <c r="AG51" i="8" s="1"/>
  <c r="AC51" i="8"/>
  <c r="AB51" i="8"/>
  <c r="AD51" i="8" s="1"/>
  <c r="AA51" i="8"/>
  <c r="AK50" i="8"/>
  <c r="AF50" i="8"/>
  <c r="AE50" i="8"/>
  <c r="AG50" i="8" s="1"/>
  <c r="AC50" i="8"/>
  <c r="AB50" i="8"/>
  <c r="AD50" i="8" s="1"/>
  <c r="AA50" i="8"/>
  <c r="AK49" i="8"/>
  <c r="AF49" i="8"/>
  <c r="AE49" i="8"/>
  <c r="AG49" i="8" s="1"/>
  <c r="AC49" i="8"/>
  <c r="AB49" i="8"/>
  <c r="AD49" i="8" s="1"/>
  <c r="AA49" i="8"/>
  <c r="AK48" i="8"/>
  <c r="AF48" i="8"/>
  <c r="AE48" i="8"/>
  <c r="AG48" i="8" s="1"/>
  <c r="AC48" i="8"/>
  <c r="AB48" i="8"/>
  <c r="AD48" i="8" s="1"/>
  <c r="AA48" i="8"/>
  <c r="AK47" i="8"/>
  <c r="AF47" i="8"/>
  <c r="AE47" i="8"/>
  <c r="AG47" i="8" s="1"/>
  <c r="AC47" i="8"/>
  <c r="AB47" i="8"/>
  <c r="AD47" i="8" s="1"/>
  <c r="AA47" i="8"/>
  <c r="AK46" i="8"/>
  <c r="AF46" i="8"/>
  <c r="AE46" i="8"/>
  <c r="AG46" i="8" s="1"/>
  <c r="AC46" i="8"/>
  <c r="AB46" i="8"/>
  <c r="AD46" i="8" s="1"/>
  <c r="AA46" i="8"/>
  <c r="AK45" i="8"/>
  <c r="AF45" i="8"/>
  <c r="AE45" i="8"/>
  <c r="AG45" i="8" s="1"/>
  <c r="AC45" i="8"/>
  <c r="AB45" i="8"/>
  <c r="AD45" i="8" s="1"/>
  <c r="AA45" i="8"/>
  <c r="AK44" i="8"/>
  <c r="AF44" i="8"/>
  <c r="AE44" i="8"/>
  <c r="AG44" i="8" s="1"/>
  <c r="AC44" i="8"/>
  <c r="AB44" i="8"/>
  <c r="AD44" i="8" s="1"/>
  <c r="AA44" i="8"/>
  <c r="AK43" i="8"/>
  <c r="AF43" i="8"/>
  <c r="AE43" i="8"/>
  <c r="AG43" i="8" s="1"/>
  <c r="AC43" i="8"/>
  <c r="AB43" i="8"/>
  <c r="AD43" i="8" s="1"/>
  <c r="AA43" i="8"/>
  <c r="AK42" i="8"/>
  <c r="AF42" i="8"/>
  <c r="AE42" i="8"/>
  <c r="AG42" i="8" s="1"/>
  <c r="AC42" i="8"/>
  <c r="AB42" i="8"/>
  <c r="AD42" i="8" s="1"/>
  <c r="AA42" i="8"/>
  <c r="AK41" i="8"/>
  <c r="AF41" i="8"/>
  <c r="AE41" i="8"/>
  <c r="AG41" i="8" s="1"/>
  <c r="AC41" i="8"/>
  <c r="AB41" i="8"/>
  <c r="AD41" i="8" s="1"/>
  <c r="AA41" i="8"/>
  <c r="AK40" i="8"/>
  <c r="AF40" i="8"/>
  <c r="AE40" i="8"/>
  <c r="AG40" i="8" s="1"/>
  <c r="AC40" i="8"/>
  <c r="AB40" i="8"/>
  <c r="AD40" i="8" s="1"/>
  <c r="AA40" i="8"/>
  <c r="AK39" i="8"/>
  <c r="AF39" i="8"/>
  <c r="AE39" i="8"/>
  <c r="AG39" i="8" s="1"/>
  <c r="AC39" i="8"/>
  <c r="AB39" i="8"/>
  <c r="AD39" i="8" s="1"/>
  <c r="AA39" i="8"/>
  <c r="AK38" i="8"/>
  <c r="AF38" i="8"/>
  <c r="AE38" i="8"/>
  <c r="AG38" i="8" s="1"/>
  <c r="AC38" i="8"/>
  <c r="AB38" i="8"/>
  <c r="AD38" i="8" s="1"/>
  <c r="AA38" i="8"/>
  <c r="AK37" i="8"/>
  <c r="AF37" i="8"/>
  <c r="AE37" i="8"/>
  <c r="AG37" i="8" s="1"/>
  <c r="AC37" i="8"/>
  <c r="AB37" i="8"/>
  <c r="AD37" i="8" s="1"/>
  <c r="AA37" i="8"/>
  <c r="AK36" i="8"/>
  <c r="AF36" i="8"/>
  <c r="AE36" i="8"/>
  <c r="AG36" i="8" s="1"/>
  <c r="AC36" i="8"/>
  <c r="AB36" i="8"/>
  <c r="AD36" i="8" s="1"/>
  <c r="AA36" i="8"/>
  <c r="AK35" i="8"/>
  <c r="AF35" i="8"/>
  <c r="AE35" i="8"/>
  <c r="AG35" i="8" s="1"/>
  <c r="AC35" i="8"/>
  <c r="AB35" i="8"/>
  <c r="AD35" i="8" s="1"/>
  <c r="AA35" i="8"/>
  <c r="AK34" i="8"/>
  <c r="AF34" i="8"/>
  <c r="AE34" i="8"/>
  <c r="AG34" i="8" s="1"/>
  <c r="AC34" i="8"/>
  <c r="AB34" i="8"/>
  <c r="AD34" i="8" s="1"/>
  <c r="AA34" i="8"/>
  <c r="AK33" i="8"/>
  <c r="AF33" i="8"/>
  <c r="AE33" i="8"/>
  <c r="AG33" i="8" s="1"/>
  <c r="AC33" i="8"/>
  <c r="AB33" i="8"/>
  <c r="AD33" i="8" s="1"/>
  <c r="AA33" i="8"/>
  <c r="AK32" i="8"/>
  <c r="AF32" i="8"/>
  <c r="AE32" i="8"/>
  <c r="AG32" i="8" s="1"/>
  <c r="AC32" i="8"/>
  <c r="AB32" i="8"/>
  <c r="AD32" i="8" s="1"/>
  <c r="AA32" i="8"/>
  <c r="AK31" i="8"/>
  <c r="AF31" i="8"/>
  <c r="AE31" i="8"/>
  <c r="AG31" i="8" s="1"/>
  <c r="AC31" i="8"/>
  <c r="AB31" i="8"/>
  <c r="AD31" i="8" s="1"/>
  <c r="AA31" i="8"/>
  <c r="AK30" i="8"/>
  <c r="AF30" i="8"/>
  <c r="AE30" i="8"/>
  <c r="AG30" i="8" s="1"/>
  <c r="AC30" i="8"/>
  <c r="AB30" i="8"/>
  <c r="AD30" i="8" s="1"/>
  <c r="AA30" i="8"/>
  <c r="AK29" i="8"/>
  <c r="AF29" i="8"/>
  <c r="AE29" i="8"/>
  <c r="AG29" i="8" s="1"/>
  <c r="AC29" i="8"/>
  <c r="AB29" i="8"/>
  <c r="AD29" i="8" s="1"/>
  <c r="AA29" i="8"/>
  <c r="AK28" i="8"/>
  <c r="AF28" i="8"/>
  <c r="AE28" i="8"/>
  <c r="AG28" i="8" s="1"/>
  <c r="AC28" i="8"/>
  <c r="AB28" i="8"/>
  <c r="AD28" i="8" s="1"/>
  <c r="AA28" i="8"/>
  <c r="AK27" i="8"/>
  <c r="AF27" i="8"/>
  <c r="AE27" i="8"/>
  <c r="AG27" i="8" s="1"/>
  <c r="AC27" i="8"/>
  <c r="AB27" i="8"/>
  <c r="AD27" i="8" s="1"/>
  <c r="AA27" i="8"/>
  <c r="AK26" i="8"/>
  <c r="AF26" i="8"/>
  <c r="AE26" i="8"/>
  <c r="AG26" i="8" s="1"/>
  <c r="AC26" i="8"/>
  <c r="AB26" i="8"/>
  <c r="AD26" i="8" s="1"/>
  <c r="AA26" i="8"/>
  <c r="AK25" i="8"/>
  <c r="AF25" i="8"/>
  <c r="AE25" i="8"/>
  <c r="AG25" i="8" s="1"/>
  <c r="AC25" i="8"/>
  <c r="AB25" i="8"/>
  <c r="AD25" i="8" s="1"/>
  <c r="AA25" i="8"/>
  <c r="AK24" i="8"/>
  <c r="AF24" i="8"/>
  <c r="AE24" i="8"/>
  <c r="AG24" i="8" s="1"/>
  <c r="AC24" i="8"/>
  <c r="AB24" i="8"/>
  <c r="AD24" i="8" s="1"/>
  <c r="AA24" i="8"/>
  <c r="AK23" i="8"/>
  <c r="AF23" i="8"/>
  <c r="AE23" i="8"/>
  <c r="AG23" i="8" s="1"/>
  <c r="AC23" i="8"/>
  <c r="AB23" i="8"/>
  <c r="AD23" i="8" s="1"/>
  <c r="AA23" i="8"/>
  <c r="AK22" i="8"/>
  <c r="AF22" i="8"/>
  <c r="AE22" i="8"/>
  <c r="AG22" i="8" s="1"/>
  <c r="AC22" i="8"/>
  <c r="AB22" i="8"/>
  <c r="AD22" i="8" s="1"/>
  <c r="AA22" i="8"/>
  <c r="AK21" i="8"/>
  <c r="AF21" i="8"/>
  <c r="AE21" i="8"/>
  <c r="AG21" i="8" s="1"/>
  <c r="AC21" i="8"/>
  <c r="AB21" i="8"/>
  <c r="AD21" i="8" s="1"/>
  <c r="AA21" i="8"/>
  <c r="AK20" i="8"/>
  <c r="AF20" i="8"/>
  <c r="AE20" i="8"/>
  <c r="AG20" i="8" s="1"/>
  <c r="AC20" i="8"/>
  <c r="AB20" i="8"/>
  <c r="AD20" i="8" s="1"/>
  <c r="AA20" i="8"/>
  <c r="AK19" i="8"/>
  <c r="AF19" i="8"/>
  <c r="AE19" i="8"/>
  <c r="AG19" i="8" s="1"/>
  <c r="AC19" i="8"/>
  <c r="AB19" i="8"/>
  <c r="AD19" i="8" s="1"/>
  <c r="AA19" i="8"/>
  <c r="AK18" i="8"/>
  <c r="AF18" i="8"/>
  <c r="AE18" i="8"/>
  <c r="AG18" i="8" s="1"/>
  <c r="AC18" i="8"/>
  <c r="AB18" i="8"/>
  <c r="AD18" i="8" s="1"/>
  <c r="AA18" i="8"/>
  <c r="AK17" i="8"/>
  <c r="AF17" i="8"/>
  <c r="AE17" i="8"/>
  <c r="AG17" i="8" s="1"/>
  <c r="AC17" i="8"/>
  <c r="AB17" i="8"/>
  <c r="AD17" i="8" s="1"/>
  <c r="AA17" i="8"/>
  <c r="AK16" i="8"/>
  <c r="AF16" i="8"/>
  <c r="AE16" i="8"/>
  <c r="AG16" i="8" s="1"/>
  <c r="AC16" i="8"/>
  <c r="AB16" i="8"/>
  <c r="AD16" i="8" s="1"/>
  <c r="AA16" i="8"/>
  <c r="AK15" i="8"/>
  <c r="AF15" i="8"/>
  <c r="AE15" i="8"/>
  <c r="AG15" i="8" s="1"/>
  <c r="AC15" i="8"/>
  <c r="AB15" i="8"/>
  <c r="AD15" i="8" s="1"/>
  <c r="AA15" i="8"/>
  <c r="AK14" i="8"/>
  <c r="AF14" i="8"/>
  <c r="AE14" i="8"/>
  <c r="AG14" i="8" s="1"/>
  <c r="AC14" i="8"/>
  <c r="AB14" i="8"/>
  <c r="AD14" i="8" s="1"/>
  <c r="AA14" i="8"/>
  <c r="AK13" i="8"/>
  <c r="AF13" i="8"/>
  <c r="AE13" i="8"/>
  <c r="AG13" i="8" s="1"/>
  <c r="AC13" i="8"/>
  <c r="AB13" i="8"/>
  <c r="AD13" i="8" s="1"/>
  <c r="AA13" i="8"/>
  <c r="AK12" i="8"/>
  <c r="AF12" i="8"/>
  <c r="AE12" i="8"/>
  <c r="AG12" i="8" s="1"/>
  <c r="AC12" i="8"/>
  <c r="AB12" i="8"/>
  <c r="AD12" i="8" s="1"/>
  <c r="AA12" i="8"/>
  <c r="AK11" i="8"/>
  <c r="AF11" i="8"/>
  <c r="AE11" i="8"/>
  <c r="AG11" i="8" s="1"/>
  <c r="AC11" i="8"/>
  <c r="AB11" i="8"/>
  <c r="AD11" i="8" s="1"/>
  <c r="AA11" i="8"/>
  <c r="AK10" i="8"/>
  <c r="AF10" i="8"/>
  <c r="AE10" i="8"/>
  <c r="AG10" i="8" s="1"/>
  <c r="AC10" i="8"/>
  <c r="AB10" i="8"/>
  <c r="AD10" i="8" s="1"/>
  <c r="AA10" i="8"/>
  <c r="AK9" i="8"/>
  <c r="AF9" i="8"/>
  <c r="AE9" i="8"/>
  <c r="AG9" i="8" s="1"/>
  <c r="AC9" i="8"/>
  <c r="AB9" i="8"/>
  <c r="AD9" i="8" s="1"/>
  <c r="AA9" i="8"/>
  <c r="AK8" i="8"/>
  <c r="AF8" i="8"/>
  <c r="AE8" i="8"/>
  <c r="AG8" i="8" s="1"/>
  <c r="AC8" i="8"/>
  <c r="AB8" i="8"/>
  <c r="AD8" i="8" s="1"/>
  <c r="AA8" i="8"/>
  <c r="AK7" i="8"/>
  <c r="AF7" i="8"/>
  <c r="AE7" i="8"/>
  <c r="AG7" i="8" s="1"/>
  <c r="AC7" i="8"/>
  <c r="AB7" i="8"/>
  <c r="AD7" i="8" s="1"/>
  <c r="AA7" i="8"/>
  <c r="AK6" i="8"/>
  <c r="AF6" i="8"/>
  <c r="AE6" i="8"/>
  <c r="AG6" i="8" s="1"/>
  <c r="AC6" i="8"/>
  <c r="AB6" i="8"/>
  <c r="AD6" i="8" s="1"/>
  <c r="AA6" i="8"/>
  <c r="AK5" i="8"/>
  <c r="AF5" i="8"/>
  <c r="AE5" i="8"/>
  <c r="AG5" i="8" s="1"/>
  <c r="AC5" i="8"/>
  <c r="AB5" i="8"/>
  <c r="AD5" i="8" s="1"/>
  <c r="AA5" i="8"/>
  <c r="AK4" i="8"/>
  <c r="AF4" i="8"/>
  <c r="AE4" i="8"/>
  <c r="AG4" i="8" s="1"/>
  <c r="AC4" i="8"/>
  <c r="AB4" i="8"/>
  <c r="AD4" i="8" s="1"/>
  <c r="AA4" i="8"/>
  <c r="D4" i="6"/>
  <c r="D13" i="6"/>
  <c r="D14" i="6"/>
  <c r="D15" i="6"/>
  <c r="D12" i="6"/>
  <c r="AI4" i="8" l="1"/>
  <c r="AH4" i="8"/>
  <c r="AI5" i="8"/>
  <c r="AH5" i="8"/>
  <c r="AI6" i="8"/>
  <c r="AH6" i="8"/>
  <c r="AI7" i="8"/>
  <c r="AH7" i="8"/>
  <c r="AI8" i="8"/>
  <c r="AH8" i="8"/>
  <c r="AI9" i="8"/>
  <c r="AH9" i="8"/>
  <c r="AI10" i="8"/>
  <c r="AH10" i="8"/>
  <c r="AI11" i="8"/>
  <c r="AH11" i="8"/>
  <c r="AI12" i="8"/>
  <c r="AH12" i="8"/>
  <c r="AI13" i="8"/>
  <c r="AH13" i="8"/>
  <c r="AI14" i="8"/>
  <c r="AH14" i="8"/>
  <c r="AI15" i="8"/>
  <c r="AH15" i="8"/>
  <c r="AI16" i="8"/>
  <c r="AH16" i="8"/>
  <c r="AI17" i="8"/>
  <c r="AH17" i="8"/>
  <c r="AI18" i="8"/>
  <c r="AH18" i="8"/>
  <c r="AI19" i="8"/>
  <c r="AH19" i="8"/>
  <c r="AI20" i="8"/>
  <c r="AH20" i="8"/>
  <c r="AI21" i="8"/>
  <c r="AH21" i="8"/>
  <c r="AI22" i="8"/>
  <c r="AH22" i="8"/>
  <c r="AI23" i="8"/>
  <c r="AH23" i="8"/>
  <c r="AI24" i="8"/>
  <c r="AH24" i="8"/>
  <c r="AI25" i="8"/>
  <c r="AH25" i="8"/>
  <c r="AI26" i="8"/>
  <c r="AH26" i="8"/>
  <c r="AI27" i="8"/>
  <c r="AH27" i="8"/>
  <c r="AI28" i="8"/>
  <c r="AH28" i="8"/>
  <c r="AI29" i="8"/>
  <c r="AH29" i="8"/>
  <c r="AI30" i="8"/>
  <c r="AH30" i="8"/>
  <c r="AI31" i="8"/>
  <c r="AH31" i="8"/>
  <c r="AI32" i="8"/>
  <c r="AH32" i="8"/>
  <c r="AI33" i="8"/>
  <c r="AH33" i="8"/>
  <c r="AI34" i="8"/>
  <c r="AH34" i="8"/>
  <c r="AI35" i="8"/>
  <c r="AH35" i="8"/>
  <c r="AI36" i="8"/>
  <c r="AH36" i="8"/>
  <c r="AI37" i="8"/>
  <c r="AH37" i="8"/>
  <c r="AI38" i="8"/>
  <c r="AH38" i="8"/>
  <c r="AI39" i="8"/>
  <c r="AH39" i="8"/>
  <c r="AI40" i="8"/>
  <c r="AH40" i="8"/>
  <c r="AI41" i="8"/>
  <c r="AH41" i="8"/>
  <c r="AI42" i="8"/>
  <c r="AH42" i="8"/>
  <c r="AI43" i="8"/>
  <c r="AH43" i="8"/>
  <c r="AI44" i="8"/>
  <c r="AH44" i="8"/>
  <c r="AI45" i="8"/>
  <c r="AH45" i="8"/>
  <c r="AI46" i="8"/>
  <c r="AH46" i="8"/>
  <c r="AI47" i="8"/>
  <c r="AH47" i="8"/>
  <c r="AI48" i="8"/>
  <c r="AH48" i="8"/>
  <c r="AI49" i="8"/>
  <c r="AH49" i="8"/>
  <c r="AI50" i="8"/>
  <c r="AH50" i="8"/>
  <c r="AI51" i="8"/>
  <c r="AH51" i="8"/>
  <c r="AI52" i="8"/>
  <c r="AH52" i="8"/>
  <c r="AI53" i="8"/>
  <c r="AH53" i="8"/>
  <c r="AI54" i="8"/>
  <c r="AH54" i="8"/>
  <c r="AI55" i="8"/>
  <c r="AH55" i="8"/>
  <c r="AI56" i="8"/>
  <c r="AH56" i="8"/>
  <c r="AI57" i="8"/>
  <c r="AH57" i="8"/>
  <c r="AI58" i="8"/>
  <c r="AH58" i="8"/>
  <c r="AI59" i="8"/>
  <c r="AH59" i="8"/>
  <c r="AI60" i="8"/>
  <c r="AH60" i="8"/>
  <c r="AI61" i="8"/>
  <c r="AH61" i="8"/>
  <c r="AI62" i="8"/>
  <c r="AH62" i="8"/>
  <c r="AI63" i="8"/>
  <c r="AH63" i="8"/>
  <c r="AI64" i="8"/>
  <c r="AH64" i="8"/>
  <c r="AI65" i="8"/>
  <c r="AH65" i="8"/>
  <c r="AI66" i="8"/>
  <c r="AH66" i="8"/>
  <c r="AI67" i="8"/>
  <c r="AH67" i="8"/>
  <c r="AI68" i="8"/>
  <c r="AH68" i="8"/>
  <c r="AI69" i="8"/>
  <c r="AH69" i="8"/>
  <c r="AI70" i="8"/>
  <c r="AH70" i="8"/>
  <c r="AI71" i="8"/>
  <c r="AH71" i="8"/>
  <c r="AI72" i="8"/>
  <c r="AH72" i="8"/>
  <c r="AI73" i="8"/>
  <c r="AH73" i="8"/>
  <c r="AI74" i="8"/>
  <c r="AH74" i="8"/>
  <c r="AI75" i="8"/>
  <c r="AH75" i="8"/>
  <c r="AI76" i="8"/>
  <c r="AH76" i="8"/>
  <c r="AI77" i="8"/>
  <c r="AH77" i="8"/>
  <c r="AI78" i="8"/>
  <c r="AH78" i="8"/>
  <c r="AI79" i="8"/>
  <c r="AH79" i="8"/>
  <c r="AI80" i="8"/>
  <c r="AH80" i="8"/>
  <c r="AI81" i="8"/>
  <c r="AH81" i="8"/>
  <c r="AI82" i="8"/>
  <c r="AH82" i="8"/>
  <c r="AI83" i="8"/>
  <c r="AH83" i="8"/>
  <c r="AO93" i="8"/>
  <c r="AO92" i="8"/>
  <c r="AO91" i="8"/>
  <c r="AO90" i="8"/>
  <c r="AO89" i="8"/>
  <c r="AO88" i="8"/>
  <c r="AO87" i="8"/>
  <c r="AO86" i="8"/>
  <c r="AO85" i="8"/>
  <c r="AM84" i="8"/>
  <c r="AK84" i="8"/>
  <c r="AM85" i="8"/>
  <c r="AK85" i="8"/>
  <c r="AQ84" i="8" s="1"/>
  <c r="AM86" i="8"/>
  <c r="AK86" i="8"/>
  <c r="AM87" i="8"/>
  <c r="AK87" i="8"/>
  <c r="AM88" i="8"/>
  <c r="AK88" i="8"/>
  <c r="AM89" i="8"/>
  <c r="AK89" i="8"/>
  <c r="AM90" i="8"/>
  <c r="AK90" i="8"/>
  <c r="AM91" i="8"/>
  <c r="AK91" i="8"/>
  <c r="AM92" i="8"/>
  <c r="AK92" i="8"/>
  <c r="AM93" i="8"/>
  <c r="AK93" i="8"/>
  <c r="AO103" i="8"/>
  <c r="AO102" i="8"/>
  <c r="AO101" i="8"/>
  <c r="AO100" i="8"/>
  <c r="AO99" i="8"/>
  <c r="AO98" i="8"/>
  <c r="AO97" i="8"/>
  <c r="AO96" i="8"/>
  <c r="AO95" i="8"/>
  <c r="AM94" i="8"/>
  <c r="AK94" i="8"/>
  <c r="AM95" i="8"/>
  <c r="AK95" i="8"/>
  <c r="AQ94" i="8" s="1"/>
  <c r="AM96" i="8"/>
  <c r="AK96" i="8"/>
  <c r="AM97" i="8"/>
  <c r="AK97" i="8"/>
  <c r="AM98" i="8"/>
  <c r="AK98" i="8"/>
  <c r="AM99" i="8"/>
  <c r="AK99" i="8"/>
  <c r="AM100" i="8"/>
  <c r="AK100" i="8"/>
  <c r="AM101" i="8"/>
  <c r="AK101" i="8"/>
  <c r="AM102" i="8"/>
  <c r="AK102" i="8"/>
  <c r="AM103" i="8"/>
  <c r="AK103" i="8"/>
  <c r="AO113" i="8"/>
  <c r="AO112" i="8"/>
  <c r="AO111" i="8"/>
  <c r="AO110" i="8"/>
  <c r="AO109" i="8"/>
  <c r="AO108" i="8"/>
  <c r="AO107" i="8"/>
  <c r="AO106" i="8"/>
  <c r="AO105" i="8"/>
  <c r="AM104" i="8"/>
  <c r="AK104" i="8"/>
  <c r="AM105" i="8"/>
  <c r="AK105" i="8"/>
  <c r="AQ104" i="8" s="1"/>
  <c r="AM106" i="8"/>
  <c r="AK106" i="8"/>
  <c r="AM107" i="8"/>
  <c r="AK107" i="8"/>
  <c r="AM108" i="8"/>
  <c r="AK108" i="8"/>
  <c r="AM109" i="8"/>
  <c r="AK109" i="8"/>
  <c r="AM110" i="8"/>
  <c r="AK110" i="8"/>
  <c r="AM111" i="8"/>
  <c r="AK111" i="8"/>
  <c r="AM112" i="8"/>
  <c r="AK112" i="8"/>
  <c r="AM113" i="8"/>
  <c r="AK113" i="8"/>
  <c r="AO123" i="8"/>
  <c r="AO122" i="8"/>
  <c r="AO121" i="8"/>
  <c r="AO120" i="8"/>
  <c r="AO119" i="8"/>
  <c r="AO118" i="8"/>
  <c r="AO117" i="8"/>
  <c r="AO116" i="8"/>
  <c r="AO115" i="8"/>
  <c r="AM114" i="8"/>
  <c r="AK114" i="8"/>
  <c r="AM115" i="8"/>
  <c r="AK115" i="8"/>
  <c r="AQ114" i="8" s="1"/>
  <c r="AM116" i="8"/>
  <c r="AK116" i="8"/>
  <c r="AM117" i="8"/>
  <c r="AK117" i="8"/>
  <c r="AM118" i="8"/>
  <c r="AK118" i="8"/>
  <c r="AM119" i="8"/>
  <c r="AK119" i="8"/>
  <c r="AM120" i="8"/>
  <c r="AK120" i="8"/>
  <c r="AM121" i="8"/>
  <c r="AK121" i="8"/>
  <c r="AM122" i="8"/>
  <c r="AK122" i="8"/>
  <c r="AM123" i="8"/>
  <c r="AK123" i="8"/>
  <c r="AJ85" i="6"/>
  <c r="AK85" i="6" s="1"/>
  <c r="AJ86" i="6"/>
  <c r="AK86" i="6" s="1"/>
  <c r="AJ87" i="6"/>
  <c r="AK87" i="6" s="1"/>
  <c r="AJ88" i="6"/>
  <c r="AK88" i="6" s="1"/>
  <c r="AJ89" i="6"/>
  <c r="AK89" i="6" s="1"/>
  <c r="AJ90" i="6"/>
  <c r="AK90" i="6" s="1"/>
  <c r="AJ91" i="6"/>
  <c r="AK91" i="6" s="1"/>
  <c r="AJ92" i="6"/>
  <c r="AK92" i="6" s="1"/>
  <c r="AJ93" i="6"/>
  <c r="AK93" i="6" s="1"/>
  <c r="AJ94" i="6"/>
  <c r="AJ95" i="6"/>
  <c r="AK95" i="6" s="1"/>
  <c r="AJ96" i="6"/>
  <c r="AK96" i="6" s="1"/>
  <c r="AJ97" i="6"/>
  <c r="AK97" i="6" s="1"/>
  <c r="AJ98" i="6"/>
  <c r="AK98" i="6" s="1"/>
  <c r="AJ99" i="6"/>
  <c r="AK99" i="6" s="1"/>
  <c r="AJ100" i="6"/>
  <c r="AK100" i="6" s="1"/>
  <c r="AJ101" i="6"/>
  <c r="AK101" i="6" s="1"/>
  <c r="AJ102" i="6"/>
  <c r="AK102" i="6" s="1"/>
  <c r="AJ103" i="6"/>
  <c r="AK103" i="6" s="1"/>
  <c r="AJ104" i="6"/>
  <c r="AJ105" i="6"/>
  <c r="AK105" i="6" s="1"/>
  <c r="AJ106" i="6"/>
  <c r="AK106" i="6" s="1"/>
  <c r="AJ107" i="6"/>
  <c r="AK107" i="6" s="1"/>
  <c r="AJ108" i="6"/>
  <c r="AK108" i="6" s="1"/>
  <c r="AJ109" i="6"/>
  <c r="AK109" i="6" s="1"/>
  <c r="AJ110" i="6"/>
  <c r="AK110" i="6" s="1"/>
  <c r="AJ111" i="6"/>
  <c r="AK111" i="6" s="1"/>
  <c r="AJ112" i="6"/>
  <c r="AK112" i="6" s="1"/>
  <c r="AJ113" i="6"/>
  <c r="AK113" i="6" s="1"/>
  <c r="AJ114" i="6"/>
  <c r="AJ115" i="6"/>
  <c r="AK115" i="6" s="1"/>
  <c r="AJ116" i="6"/>
  <c r="AK116" i="6" s="1"/>
  <c r="AJ117" i="6"/>
  <c r="AK117" i="6" s="1"/>
  <c r="AJ118" i="6"/>
  <c r="AK118" i="6" s="1"/>
  <c r="AJ119" i="6"/>
  <c r="AK119" i="6" s="1"/>
  <c r="AJ120" i="6"/>
  <c r="AK120" i="6" s="1"/>
  <c r="AJ121" i="6"/>
  <c r="AK121" i="6" s="1"/>
  <c r="AJ122" i="6"/>
  <c r="AK122" i="6" s="1"/>
  <c r="AJ123" i="6"/>
  <c r="AK123" i="6" s="1"/>
  <c r="AJ84" i="6"/>
  <c r="AA12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K75" i="6"/>
  <c r="AK76" i="6"/>
  <c r="AK77" i="6"/>
  <c r="AK78" i="6"/>
  <c r="AK79" i="6"/>
  <c r="AK80" i="6"/>
  <c r="AK81" i="6"/>
  <c r="AK82" i="6"/>
  <c r="AK83" i="6"/>
  <c r="AK74" i="6"/>
  <c r="AK65" i="6"/>
  <c r="AK66" i="6"/>
  <c r="AK67" i="6"/>
  <c r="AK68" i="6"/>
  <c r="AK69" i="6"/>
  <c r="AK70" i="6"/>
  <c r="AK71" i="6"/>
  <c r="AK72" i="6"/>
  <c r="AK73" i="6"/>
  <c r="AK64" i="6"/>
  <c r="AK55" i="6"/>
  <c r="AK56" i="6"/>
  <c r="AK57" i="6"/>
  <c r="AK58" i="6"/>
  <c r="AK59" i="6"/>
  <c r="AK60" i="6"/>
  <c r="AK61" i="6"/>
  <c r="AK62" i="6"/>
  <c r="AK63" i="6"/>
  <c r="AK54" i="6"/>
  <c r="AK45" i="6"/>
  <c r="AK46" i="6"/>
  <c r="AK47" i="6"/>
  <c r="AK48" i="6"/>
  <c r="AK49" i="6"/>
  <c r="AK50" i="6"/>
  <c r="AK51" i="6"/>
  <c r="AK52" i="6"/>
  <c r="AK53" i="6"/>
  <c r="AK44" i="6"/>
  <c r="AK35" i="6"/>
  <c r="AK36" i="6"/>
  <c r="AK37" i="6"/>
  <c r="AK38" i="6"/>
  <c r="AK39" i="6"/>
  <c r="AK40" i="6"/>
  <c r="AK41" i="6"/>
  <c r="AK42" i="6"/>
  <c r="AK43" i="6"/>
  <c r="AK34" i="6"/>
  <c r="AK25" i="6"/>
  <c r="AK26" i="6"/>
  <c r="AK27" i="6"/>
  <c r="AK28" i="6"/>
  <c r="AK29" i="6"/>
  <c r="AK30" i="6"/>
  <c r="AK31" i="6"/>
  <c r="AK32" i="6"/>
  <c r="AK33" i="6"/>
  <c r="AK24" i="6"/>
  <c r="AK15" i="6"/>
  <c r="AK16" i="6"/>
  <c r="AK17" i="6"/>
  <c r="AK18" i="6"/>
  <c r="AK19" i="6"/>
  <c r="AK20" i="6"/>
  <c r="AK21" i="6"/>
  <c r="AK22" i="6"/>
  <c r="AK23" i="6"/>
  <c r="AK14" i="6"/>
  <c r="AK5" i="6"/>
  <c r="AK6" i="6"/>
  <c r="AK7" i="6"/>
  <c r="AK8" i="6"/>
  <c r="AK9" i="6"/>
  <c r="AK10" i="6"/>
  <c r="AK11" i="6"/>
  <c r="AK12" i="6"/>
  <c r="AK13" i="6"/>
  <c r="AK4" i="6"/>
  <c r="AE83" i="6"/>
  <c r="AF83" i="6"/>
  <c r="AB83" i="6"/>
  <c r="AC83" i="6"/>
  <c r="AE82" i="6"/>
  <c r="AF82" i="6"/>
  <c r="AB82" i="6"/>
  <c r="AC82" i="6"/>
  <c r="AE81" i="6"/>
  <c r="AF81" i="6"/>
  <c r="AB81" i="6"/>
  <c r="AC81" i="6"/>
  <c r="AE80" i="6"/>
  <c r="AF80" i="6"/>
  <c r="AB80" i="6"/>
  <c r="AC80" i="6"/>
  <c r="AE79" i="6"/>
  <c r="AF79" i="6"/>
  <c r="AB79" i="6"/>
  <c r="AC79" i="6"/>
  <c r="AE78" i="6"/>
  <c r="AF78" i="6"/>
  <c r="AC78" i="6"/>
  <c r="AB78" i="6"/>
  <c r="AF77" i="6"/>
  <c r="AE77" i="6"/>
  <c r="AC77" i="6"/>
  <c r="AB77" i="6"/>
  <c r="AE76" i="6"/>
  <c r="AF76" i="6"/>
  <c r="AB76" i="6"/>
  <c r="AC76" i="6"/>
  <c r="AE75" i="6"/>
  <c r="AF75" i="6"/>
  <c r="AB75" i="6"/>
  <c r="AC75" i="6"/>
  <c r="AE74" i="6"/>
  <c r="AF74" i="6"/>
  <c r="AG74" i="6" s="1"/>
  <c r="AB74" i="6"/>
  <c r="AC74" i="6"/>
  <c r="AF73" i="6"/>
  <c r="AE73" i="6"/>
  <c r="AG73" i="6" s="1"/>
  <c r="AB73" i="6"/>
  <c r="AC73" i="6"/>
  <c r="AF72" i="6"/>
  <c r="AE72" i="6"/>
  <c r="AB72" i="6"/>
  <c r="AC72" i="6"/>
  <c r="AF71" i="6"/>
  <c r="AE71" i="6"/>
  <c r="AB71" i="6"/>
  <c r="AC71" i="6"/>
  <c r="AE70" i="6"/>
  <c r="AF70" i="6"/>
  <c r="AG70" i="6" s="1"/>
  <c r="AB70" i="6"/>
  <c r="AC70" i="6"/>
  <c r="AF69" i="6"/>
  <c r="AE69" i="6"/>
  <c r="AG69" i="6" s="1"/>
  <c r="AC69" i="6"/>
  <c r="AB69" i="6"/>
  <c r="AF68" i="6"/>
  <c r="AE68" i="6"/>
  <c r="AC68" i="6"/>
  <c r="AB68" i="6"/>
  <c r="AF67" i="6"/>
  <c r="AE67" i="6"/>
  <c r="AC67" i="6"/>
  <c r="AB67" i="6"/>
  <c r="AF66" i="6"/>
  <c r="AE66" i="6"/>
  <c r="AC66" i="6"/>
  <c r="AB66" i="6"/>
  <c r="AF65" i="6"/>
  <c r="AE65" i="6"/>
  <c r="AB65" i="6"/>
  <c r="AC65" i="6"/>
  <c r="AE64" i="6"/>
  <c r="AF64" i="6"/>
  <c r="AB64" i="6"/>
  <c r="AC64" i="6"/>
  <c r="AF63" i="6"/>
  <c r="AE63" i="6"/>
  <c r="AB63" i="6"/>
  <c r="AC63" i="6"/>
  <c r="AE62" i="6"/>
  <c r="AF62" i="6"/>
  <c r="AB62" i="6"/>
  <c r="AC62" i="6"/>
  <c r="AE61" i="6"/>
  <c r="AF61" i="6"/>
  <c r="AB61" i="6"/>
  <c r="AC61" i="6"/>
  <c r="AE60" i="6"/>
  <c r="AF60" i="6"/>
  <c r="AB60" i="6"/>
  <c r="AC60" i="6"/>
  <c r="AE59" i="6"/>
  <c r="AF59" i="6"/>
  <c r="AB59" i="6"/>
  <c r="AC59" i="6"/>
  <c r="AF58" i="6"/>
  <c r="AE58" i="6"/>
  <c r="AG58" i="6"/>
  <c r="AB58" i="6"/>
  <c r="AC58" i="6"/>
  <c r="AF57" i="6"/>
  <c r="AE57" i="6"/>
  <c r="AC57" i="6"/>
  <c r="AB57" i="6"/>
  <c r="AD57" i="6" s="1"/>
  <c r="AF56" i="6"/>
  <c r="AE56" i="6"/>
  <c r="AG56" i="6" s="1"/>
  <c r="AC56" i="6"/>
  <c r="AB56" i="6"/>
  <c r="AF55" i="6"/>
  <c r="AE55" i="6"/>
  <c r="AC55" i="6"/>
  <c r="AB55" i="6"/>
  <c r="AD55" i="6" s="1"/>
  <c r="AE54" i="6"/>
  <c r="AF54" i="6"/>
  <c r="AB54" i="6"/>
  <c r="AC54" i="6"/>
  <c r="AD54" i="6" s="1"/>
  <c r="AF53" i="6"/>
  <c r="AE53" i="6"/>
  <c r="AB53" i="6"/>
  <c r="AC53" i="6"/>
  <c r="AF52" i="6"/>
  <c r="AE52" i="6"/>
  <c r="AC52" i="6"/>
  <c r="AB52" i="6"/>
  <c r="AD52" i="6" s="1"/>
  <c r="AF51" i="6"/>
  <c r="AE51" i="6"/>
  <c r="AG51" i="6" s="1"/>
  <c r="AC51" i="6"/>
  <c r="AB51" i="6"/>
  <c r="AD51" i="6" s="1"/>
  <c r="AE50" i="6"/>
  <c r="AF50" i="6"/>
  <c r="AB50" i="6"/>
  <c r="AC50" i="6"/>
  <c r="AF49" i="6"/>
  <c r="AE49" i="6"/>
  <c r="AC49" i="6"/>
  <c r="AB49" i="6"/>
  <c r="AD49" i="6" s="1"/>
  <c r="AF48" i="6"/>
  <c r="AE48" i="6"/>
  <c r="AB48" i="6"/>
  <c r="AC48" i="6"/>
  <c r="AE47" i="6"/>
  <c r="AF47" i="6"/>
  <c r="AG47" i="6" s="1"/>
  <c r="AC47" i="6"/>
  <c r="AB47" i="6"/>
  <c r="AD47" i="6" s="1"/>
  <c r="AB46" i="6"/>
  <c r="AE46" i="6"/>
  <c r="AF46" i="6"/>
  <c r="AC46" i="6"/>
  <c r="AE45" i="6"/>
  <c r="AF45" i="6"/>
  <c r="AB45" i="6"/>
  <c r="AC45" i="6"/>
  <c r="AF44" i="6"/>
  <c r="AE44" i="6"/>
  <c r="AC44" i="6"/>
  <c r="AB44" i="6"/>
  <c r="AD44" i="6" s="1"/>
  <c r="AF43" i="6"/>
  <c r="AE43" i="6"/>
  <c r="AB43" i="6"/>
  <c r="AC43" i="6"/>
  <c r="AD43" i="6" s="1"/>
  <c r="AF42" i="6"/>
  <c r="AE42" i="6"/>
  <c r="AB42" i="6"/>
  <c r="AC42" i="6"/>
  <c r="AD42" i="6" s="1"/>
  <c r="AF41" i="6"/>
  <c r="AE41" i="6"/>
  <c r="AG41" i="6" s="1"/>
  <c r="AB41" i="6"/>
  <c r="AC41" i="6"/>
  <c r="AF40" i="6"/>
  <c r="AE40" i="6"/>
  <c r="AG40" i="6" s="1"/>
  <c r="AB40" i="6"/>
  <c r="AC40" i="6"/>
  <c r="AF39" i="6"/>
  <c r="AE39" i="6"/>
  <c r="AB39" i="6"/>
  <c r="AC39" i="6"/>
  <c r="AD39" i="6" s="1"/>
  <c r="AF38" i="6"/>
  <c r="AE38" i="6"/>
  <c r="AG38" i="6" s="1"/>
  <c r="AC38" i="6"/>
  <c r="AB38" i="6"/>
  <c r="AF37" i="6"/>
  <c r="AE37" i="6"/>
  <c r="AC37" i="6"/>
  <c r="AB37" i="6"/>
  <c r="AF36" i="6"/>
  <c r="AE36" i="6"/>
  <c r="AB36" i="6"/>
  <c r="AC36" i="6"/>
  <c r="AE35" i="6"/>
  <c r="AF35" i="6"/>
  <c r="AB35" i="6"/>
  <c r="AC35" i="6"/>
  <c r="AD35" i="6" s="1"/>
  <c r="AE34" i="6"/>
  <c r="AF34" i="6"/>
  <c r="AB34" i="6"/>
  <c r="AC34" i="6"/>
  <c r="AD34" i="6" s="1"/>
  <c r="AE33" i="6"/>
  <c r="AF33" i="6"/>
  <c r="AG33" i="6" s="1"/>
  <c r="AC33" i="6"/>
  <c r="AB33" i="6"/>
  <c r="AF32" i="6"/>
  <c r="AE32" i="6"/>
  <c r="AB32" i="6"/>
  <c r="AC32" i="6"/>
  <c r="AE31" i="6"/>
  <c r="AF31" i="6"/>
  <c r="AB31" i="6"/>
  <c r="AC31" i="6"/>
  <c r="AD31" i="6" s="1"/>
  <c r="AE30" i="6"/>
  <c r="AF30" i="6"/>
  <c r="AB30" i="6"/>
  <c r="AC30" i="6"/>
  <c r="AF29" i="6"/>
  <c r="AE29" i="6"/>
  <c r="AC29" i="6"/>
  <c r="AB29" i="6"/>
  <c r="AF28" i="6"/>
  <c r="AE28" i="6"/>
  <c r="AC28" i="6"/>
  <c r="AB28" i="6"/>
  <c r="AD28" i="6" s="1"/>
  <c r="AE27" i="6"/>
  <c r="AF27" i="6"/>
  <c r="AC27" i="6"/>
  <c r="AB27" i="6"/>
  <c r="AE26" i="6"/>
  <c r="AF26" i="6"/>
  <c r="AB26" i="6"/>
  <c r="AC26" i="6"/>
  <c r="AD26" i="6" s="1"/>
  <c r="AF25" i="6"/>
  <c r="AE25" i="6"/>
  <c r="AC25" i="6"/>
  <c r="AB25" i="6"/>
  <c r="AF24" i="6"/>
  <c r="AE24" i="6"/>
  <c r="AC24" i="6"/>
  <c r="AB24" i="6"/>
  <c r="AD24" i="6" s="1"/>
  <c r="AE23" i="6"/>
  <c r="AF23" i="6"/>
  <c r="AB23" i="6"/>
  <c r="AC23" i="6"/>
  <c r="AE22" i="6"/>
  <c r="AF22" i="6"/>
  <c r="AB22" i="6"/>
  <c r="AC22" i="6"/>
  <c r="AF21" i="6"/>
  <c r="AE21" i="6"/>
  <c r="AB21" i="6"/>
  <c r="AC21" i="6"/>
  <c r="AF20" i="6"/>
  <c r="AE20" i="6"/>
  <c r="AB20" i="6"/>
  <c r="AC20" i="6"/>
  <c r="AD20" i="6" s="1"/>
  <c r="AF19" i="6"/>
  <c r="AE19" i="6"/>
  <c r="AC19" i="6"/>
  <c r="AB19" i="6"/>
  <c r="AD19" i="6" s="1"/>
  <c r="AF18" i="6"/>
  <c r="AE18" i="6"/>
  <c r="AB18" i="6"/>
  <c r="AC18" i="6"/>
  <c r="AD18" i="6" s="1"/>
  <c r="AF17" i="6"/>
  <c r="AE17" i="6"/>
  <c r="AB17" i="6"/>
  <c r="AC17" i="6"/>
  <c r="AD17" i="6" s="1"/>
  <c r="AF16" i="6"/>
  <c r="AE16" i="6"/>
  <c r="AC16" i="6"/>
  <c r="AB16" i="6"/>
  <c r="AF15" i="6"/>
  <c r="AE15" i="6"/>
  <c r="AC15" i="6"/>
  <c r="AB15" i="6"/>
  <c r="AD15" i="6" s="1"/>
  <c r="AF14" i="6"/>
  <c r="AE14" i="6"/>
  <c r="AC14" i="6"/>
  <c r="AB14" i="6"/>
  <c r="AD14" i="6" s="1"/>
  <c r="AE13" i="6"/>
  <c r="AF13" i="6"/>
  <c r="AC13" i="6"/>
  <c r="AB13" i="6"/>
  <c r="AD13" i="6" s="1"/>
  <c r="AE12" i="6"/>
  <c r="AF12" i="6"/>
  <c r="AC12" i="6"/>
  <c r="AB12" i="6"/>
  <c r="AF11" i="6"/>
  <c r="AE11" i="6"/>
  <c r="AC11" i="6"/>
  <c r="AB11" i="6"/>
  <c r="AF10" i="6"/>
  <c r="AE10" i="6"/>
  <c r="AC10" i="6"/>
  <c r="AB10" i="6"/>
  <c r="AF9" i="6"/>
  <c r="AE9" i="6"/>
  <c r="AC9" i="6"/>
  <c r="AB9" i="6"/>
  <c r="AF8" i="6"/>
  <c r="AE8" i="6"/>
  <c r="AC8" i="6"/>
  <c r="AB8" i="6"/>
  <c r="AF7" i="6"/>
  <c r="AE7" i="6"/>
  <c r="AB7" i="6"/>
  <c r="AC7" i="6"/>
  <c r="AF6" i="6"/>
  <c r="AE6" i="6"/>
  <c r="AC6" i="6"/>
  <c r="AB6" i="6"/>
  <c r="AF5" i="6"/>
  <c r="AE5" i="6"/>
  <c r="AC5" i="6"/>
  <c r="AB5" i="6"/>
  <c r="AD5" i="6" s="1"/>
  <c r="AE4" i="6"/>
  <c r="AG54" i="6"/>
  <c r="AG57" i="6"/>
  <c r="AF4" i="6"/>
  <c r="AC4" i="6"/>
  <c r="AD12" i="6"/>
  <c r="AD60" i="6"/>
  <c r="AB4" i="6"/>
  <c r="AD22" i="6"/>
  <c r="AA4" i="6"/>
  <c r="AA45" i="6"/>
  <c r="AA6" i="6"/>
  <c r="AA47" i="6"/>
  <c r="AA48" i="6"/>
  <c r="AA49" i="6"/>
  <c r="AA10" i="6"/>
  <c r="AA51" i="6"/>
  <c r="AA52" i="6"/>
  <c r="AA53" i="6"/>
  <c r="AA14" i="6"/>
  <c r="AA55" i="6"/>
  <c r="AA56" i="6"/>
  <c r="AA57" i="6"/>
  <c r="AA58" i="6"/>
  <c r="AA59" i="6"/>
  <c r="AA20" i="6"/>
  <c r="AA61" i="6"/>
  <c r="AA62" i="6"/>
  <c r="AA63" i="6"/>
  <c r="AA24" i="6"/>
  <c r="AA65" i="6"/>
  <c r="AA66" i="6"/>
  <c r="AA67" i="6"/>
  <c r="AA68" i="6"/>
  <c r="AA69" i="6"/>
  <c r="AA30" i="6"/>
  <c r="AA71" i="6"/>
  <c r="AA72" i="6"/>
  <c r="AA73" i="6"/>
  <c r="AA34" i="6"/>
  <c r="AA75" i="6"/>
  <c r="AA36" i="6"/>
  <c r="AA77" i="6"/>
  <c r="AA78" i="6"/>
  <c r="AA79" i="6"/>
  <c r="AA40" i="6"/>
  <c r="AA81" i="6"/>
  <c r="AA82" i="6"/>
  <c r="AA83" i="6"/>
  <c r="AA44" i="6"/>
  <c r="AA5" i="6"/>
  <c r="AA46" i="6"/>
  <c r="AA7" i="6"/>
  <c r="AA8" i="6"/>
  <c r="AA9" i="6"/>
  <c r="AA50" i="6"/>
  <c r="AA11" i="6"/>
  <c r="AA12" i="6"/>
  <c r="AA13" i="6"/>
  <c r="AA54" i="6"/>
  <c r="AA15" i="6"/>
  <c r="AA16" i="6"/>
  <c r="AA17" i="6"/>
  <c r="AA18" i="6"/>
  <c r="AA19" i="6"/>
  <c r="AA60" i="6"/>
  <c r="AA21" i="6"/>
  <c r="AA22" i="6"/>
  <c r="AA23" i="6"/>
  <c r="AA64" i="6"/>
  <c r="AA25" i="6"/>
  <c r="AA26" i="6"/>
  <c r="AA27" i="6"/>
  <c r="AA28" i="6"/>
  <c r="AA29" i="6"/>
  <c r="AA70" i="6"/>
  <c r="AA31" i="6"/>
  <c r="AA32" i="6"/>
  <c r="AA33" i="6"/>
  <c r="AA74" i="6"/>
  <c r="AA35" i="6"/>
  <c r="AA76" i="6"/>
  <c r="AA37" i="6"/>
  <c r="AA38" i="6"/>
  <c r="AA39" i="6"/>
  <c r="AA80" i="6"/>
  <c r="AA41" i="6"/>
  <c r="AA42" i="6"/>
  <c r="AA43" i="6"/>
  <c r="AG15" i="6"/>
  <c r="AG83" i="6"/>
  <c r="AD16" i="6"/>
  <c r="AD32" i="6"/>
  <c r="AD37" i="6"/>
  <c r="AD50" i="6"/>
  <c r="AD6" i="6"/>
  <c r="G9" i="6"/>
  <c r="E9" i="6"/>
  <c r="D9" i="6"/>
  <c r="C9" i="6"/>
  <c r="G8" i="6"/>
  <c r="E8" i="6"/>
  <c r="D8" i="6"/>
  <c r="C8" i="6"/>
  <c r="G7" i="6"/>
  <c r="E7" i="6"/>
  <c r="D7" i="6"/>
  <c r="C7" i="6"/>
  <c r="G6" i="6"/>
  <c r="E6" i="6"/>
  <c r="D6" i="6"/>
  <c r="C6" i="6"/>
  <c r="G5" i="6"/>
  <c r="E5" i="6"/>
  <c r="D5" i="6"/>
  <c r="C5" i="6"/>
  <c r="AG4" i="6"/>
  <c r="G4" i="6"/>
  <c r="E4" i="6"/>
  <c r="F8" i="6"/>
  <c r="C4" i="6"/>
  <c r="F15" i="4"/>
  <c r="F14" i="4"/>
  <c r="F10" i="4"/>
  <c r="E8" i="4"/>
  <c r="E15" i="8" l="1"/>
  <c r="E14" i="8"/>
  <c r="E13" i="8"/>
  <c r="E12" i="8"/>
  <c r="AI123" i="8"/>
  <c r="AL123" i="8" s="1"/>
  <c r="AI122" i="8"/>
  <c r="AL122" i="8" s="1"/>
  <c r="AI121" i="8"/>
  <c r="AL121" i="8" s="1"/>
  <c r="AI120" i="8"/>
  <c r="AL120" i="8" s="1"/>
  <c r="AI119" i="8"/>
  <c r="AL119" i="8" s="1"/>
  <c r="AI118" i="8"/>
  <c r="AL118" i="8" s="1"/>
  <c r="AI117" i="8"/>
  <c r="AL117" i="8" s="1"/>
  <c r="AI116" i="8"/>
  <c r="AL116" i="8" s="1"/>
  <c r="AI115" i="8"/>
  <c r="AL115" i="8" s="1"/>
  <c r="AI114" i="8"/>
  <c r="AI113" i="8"/>
  <c r="AL113" i="8" s="1"/>
  <c r="AI112" i="8"/>
  <c r="AL112" i="8" s="1"/>
  <c r="AI111" i="8"/>
  <c r="AL111" i="8" s="1"/>
  <c r="AI110" i="8"/>
  <c r="AL110" i="8" s="1"/>
  <c r="AI109" i="8"/>
  <c r="AL109" i="8" s="1"/>
  <c r="AI108" i="8"/>
  <c r="AL108" i="8" s="1"/>
  <c r="AI107" i="8"/>
  <c r="AL107" i="8" s="1"/>
  <c r="AI106" i="8"/>
  <c r="AL106" i="8" s="1"/>
  <c r="AI105" i="8"/>
  <c r="AL105" i="8" s="1"/>
  <c r="AI104" i="8"/>
  <c r="AI103" i="8"/>
  <c r="AL103" i="8" s="1"/>
  <c r="AI102" i="8"/>
  <c r="AL102" i="8" s="1"/>
  <c r="AI101" i="8"/>
  <c r="AL101" i="8" s="1"/>
  <c r="AI100" i="8"/>
  <c r="AL100" i="8" s="1"/>
  <c r="AI99" i="8"/>
  <c r="AL99" i="8" s="1"/>
  <c r="AI98" i="8"/>
  <c r="AL98" i="8" s="1"/>
  <c r="AI97" i="8"/>
  <c r="AL97" i="8" s="1"/>
  <c r="AI96" i="8"/>
  <c r="AL96" i="8" s="1"/>
  <c r="AI95" i="8"/>
  <c r="AL95" i="8" s="1"/>
  <c r="AI94" i="8"/>
  <c r="AI93" i="8"/>
  <c r="AL93" i="8" s="1"/>
  <c r="AI92" i="8"/>
  <c r="AL92" i="8" s="1"/>
  <c r="AI91" i="8"/>
  <c r="AL91" i="8" s="1"/>
  <c r="AI90" i="8"/>
  <c r="AL90" i="8" s="1"/>
  <c r="AI89" i="8"/>
  <c r="AL89" i="8" s="1"/>
  <c r="AI88" i="8"/>
  <c r="AL88" i="8" s="1"/>
  <c r="AI87" i="8"/>
  <c r="AL87" i="8" s="1"/>
  <c r="AI86" i="8"/>
  <c r="AL86" i="8" s="1"/>
  <c r="AI85" i="8"/>
  <c r="AL85" i="8" s="1"/>
  <c r="AI84" i="8"/>
  <c r="AG7" i="6"/>
  <c r="AG10" i="6"/>
  <c r="AG11" i="6"/>
  <c r="AG14" i="6"/>
  <c r="AG22" i="6"/>
  <c r="AG24" i="6"/>
  <c r="AG31" i="6"/>
  <c r="AD46" i="6"/>
  <c r="AG48" i="6"/>
  <c r="AD59" i="6"/>
  <c r="AD62" i="6"/>
  <c r="AD65" i="6"/>
  <c r="AD66" i="6"/>
  <c r="AD69" i="6"/>
  <c r="AD72" i="6"/>
  <c r="AD77" i="6"/>
  <c r="AG79" i="6"/>
  <c r="AK84" i="6"/>
  <c r="AQ84" i="6" s="1"/>
  <c r="AO86" i="6"/>
  <c r="AO87" i="6"/>
  <c r="AO88" i="6"/>
  <c r="AO89" i="6"/>
  <c r="AO90" i="6"/>
  <c r="AO91" i="6"/>
  <c r="AO92" i="6"/>
  <c r="AO93" i="6"/>
  <c r="AO85" i="6"/>
  <c r="AK114" i="6"/>
  <c r="AQ114" i="6" s="1"/>
  <c r="AO116" i="6"/>
  <c r="AO117" i="6"/>
  <c r="AO118" i="6"/>
  <c r="AO119" i="6"/>
  <c r="AO120" i="6"/>
  <c r="AO121" i="6"/>
  <c r="AO122" i="6"/>
  <c r="AO123" i="6"/>
  <c r="AO115" i="6"/>
  <c r="AK104" i="6"/>
  <c r="AQ104" i="6" s="1"/>
  <c r="AO106" i="6"/>
  <c r="AO107" i="6"/>
  <c r="AO108" i="6"/>
  <c r="AO109" i="6"/>
  <c r="AO110" i="6"/>
  <c r="AO111" i="6"/>
  <c r="AO112" i="6"/>
  <c r="AO113" i="6"/>
  <c r="AO105" i="6"/>
  <c r="AK94" i="6"/>
  <c r="AQ94" i="6" s="1"/>
  <c r="AO96" i="6"/>
  <c r="AO97" i="6"/>
  <c r="AO98" i="6"/>
  <c r="AO99" i="6"/>
  <c r="AO100" i="6"/>
  <c r="AO101" i="6"/>
  <c r="AO102" i="6"/>
  <c r="AO103" i="6"/>
  <c r="AO95" i="6"/>
  <c r="AM93" i="6"/>
  <c r="AM84" i="6"/>
  <c r="AM116" i="6"/>
  <c r="AM108" i="6"/>
  <c r="AM100" i="6"/>
  <c r="AM92" i="6"/>
  <c r="AM117" i="6"/>
  <c r="AM123" i="6"/>
  <c r="AM115" i="6"/>
  <c r="AM107" i="6"/>
  <c r="AM99" i="6"/>
  <c r="AM91" i="6"/>
  <c r="AM122" i="6"/>
  <c r="AM114" i="6"/>
  <c r="AM106" i="6"/>
  <c r="AM98" i="6"/>
  <c r="AM90" i="6"/>
  <c r="AM101" i="6"/>
  <c r="AM121" i="6"/>
  <c r="AM113" i="6"/>
  <c r="AM105" i="6"/>
  <c r="AM97" i="6"/>
  <c r="AM89" i="6"/>
  <c r="AM120" i="6"/>
  <c r="AM112" i="6"/>
  <c r="AM104" i="6"/>
  <c r="AM96" i="6"/>
  <c r="AM88" i="6"/>
  <c r="AM109" i="6"/>
  <c r="AM119" i="6"/>
  <c r="AM111" i="6"/>
  <c r="AM103" i="6"/>
  <c r="AM95" i="6"/>
  <c r="AM87" i="6"/>
  <c r="AM85" i="6"/>
  <c r="AM118" i="6"/>
  <c r="AM110" i="6"/>
  <c r="AM102" i="6"/>
  <c r="AM94" i="6"/>
  <c r="AM86" i="6"/>
  <c r="AD4" i="6"/>
  <c r="AG8" i="6"/>
  <c r="AG16" i="6"/>
  <c r="AG18" i="6"/>
  <c r="AG28" i="6"/>
  <c r="AD38" i="6"/>
  <c r="AI38" i="6" s="1"/>
  <c r="AD48" i="6"/>
  <c r="AI48" i="6" s="1"/>
  <c r="AD58" i="6"/>
  <c r="AH58" i="6" s="1"/>
  <c r="AD68" i="6"/>
  <c r="AD76" i="6"/>
  <c r="AD7" i="6"/>
  <c r="AI7" i="6" s="1"/>
  <c r="AD9" i="6"/>
  <c r="AD21" i="6"/>
  <c r="AD23" i="6"/>
  <c r="AD25" i="6"/>
  <c r="AD29" i="6"/>
  <c r="AD33" i="6"/>
  <c r="AG78" i="6"/>
  <c r="F6" i="6"/>
  <c r="AG5" i="6"/>
  <c r="AG9" i="6"/>
  <c r="AG17" i="6"/>
  <c r="AI17" i="6" s="1"/>
  <c r="AG19" i="6"/>
  <c r="AH19" i="6" s="1"/>
  <c r="AG25" i="6"/>
  <c r="AG27" i="6"/>
  <c r="AG29" i="6"/>
  <c r="AD45" i="6"/>
  <c r="AD63" i="6"/>
  <c r="AD71" i="6"/>
  <c r="AD73" i="6"/>
  <c r="AH73" i="6" s="1"/>
  <c r="AD75" i="6"/>
  <c r="AD79" i="6"/>
  <c r="AI79" i="6" s="1"/>
  <c r="AD81" i="6"/>
  <c r="AD83" i="6"/>
  <c r="AG35" i="6"/>
  <c r="AH35" i="6" s="1"/>
  <c r="AG43" i="6"/>
  <c r="AG45" i="6"/>
  <c r="AG55" i="6"/>
  <c r="AI55" i="6" s="1"/>
  <c r="AG77" i="6"/>
  <c r="AI77" i="6" s="1"/>
  <c r="AG59" i="6"/>
  <c r="AI59" i="6" s="1"/>
  <c r="AG71" i="6"/>
  <c r="AG81" i="6"/>
  <c r="AG82" i="6"/>
  <c r="AD82" i="6"/>
  <c r="AG80" i="6"/>
  <c r="AD80" i="6"/>
  <c r="AD78" i="6"/>
  <c r="AG76" i="6"/>
  <c r="AH76" i="6" s="1"/>
  <c r="AG75" i="6"/>
  <c r="AD74" i="6"/>
  <c r="AG72" i="6"/>
  <c r="AG68" i="6"/>
  <c r="AG67" i="6"/>
  <c r="AD67" i="6"/>
  <c r="AG66" i="6"/>
  <c r="AH66" i="6" s="1"/>
  <c r="AG65" i="6"/>
  <c r="AI65" i="6" s="1"/>
  <c r="AG64" i="6"/>
  <c r="AG63" i="6"/>
  <c r="AG62" i="6"/>
  <c r="AH62" i="6" s="1"/>
  <c r="AG61" i="6"/>
  <c r="AD61" i="6"/>
  <c r="AG60" i="6"/>
  <c r="AH60" i="6" s="1"/>
  <c r="AD56" i="6"/>
  <c r="AI56" i="6" s="1"/>
  <c r="AG53" i="6"/>
  <c r="AD53" i="6"/>
  <c r="AG52" i="6"/>
  <c r="AI52" i="6" s="1"/>
  <c r="AG49" i="6"/>
  <c r="AI49" i="6" s="1"/>
  <c r="AG42" i="6"/>
  <c r="AH42" i="6" s="1"/>
  <c r="AD41" i="6"/>
  <c r="AH41" i="6" s="1"/>
  <c r="AG39" i="6"/>
  <c r="AH39" i="6" s="1"/>
  <c r="AG37" i="6"/>
  <c r="AI37" i="6" s="1"/>
  <c r="AG36" i="6"/>
  <c r="AG32" i="6"/>
  <c r="AH32" i="6" s="1"/>
  <c r="AG30" i="6"/>
  <c r="AD27" i="6"/>
  <c r="AG26" i="6"/>
  <c r="AI26" i="6" s="1"/>
  <c r="AG23" i="6"/>
  <c r="AH23" i="6" s="1"/>
  <c r="AG21" i="6"/>
  <c r="AH21" i="6" s="1"/>
  <c r="AG20" i="6"/>
  <c r="AI20" i="6" s="1"/>
  <c r="AG13" i="6"/>
  <c r="AI13" i="6" s="1"/>
  <c r="AG12" i="6"/>
  <c r="AI12" i="6" s="1"/>
  <c r="AD11" i="6"/>
  <c r="AD8" i="6"/>
  <c r="AH43" i="6"/>
  <c r="AH22" i="6"/>
  <c r="AG6" i="6"/>
  <c r="AH6" i="6" s="1"/>
  <c r="AG50" i="6"/>
  <c r="AH50" i="6" s="1"/>
  <c r="AD70" i="6"/>
  <c r="AD40" i="6"/>
  <c r="AH40" i="6" s="1"/>
  <c r="F5" i="6"/>
  <c r="AG34" i="6"/>
  <c r="AH34" i="6" s="1"/>
  <c r="AD10" i="6"/>
  <c r="AI10" i="6" s="1"/>
  <c r="F9" i="6"/>
  <c r="AD30" i="6"/>
  <c r="AD36" i="6"/>
  <c r="AG44" i="6"/>
  <c r="AH44" i="6" s="1"/>
  <c r="AD64" i="6"/>
  <c r="AI64" i="6" s="1"/>
  <c r="AG46" i="6"/>
  <c r="AH46" i="6" s="1"/>
  <c r="AI28" i="6"/>
  <c r="AI18" i="6"/>
  <c r="AH4" i="6"/>
  <c r="AH45" i="6"/>
  <c r="AH33" i="6"/>
  <c r="AI68" i="6"/>
  <c r="AI16" i="6"/>
  <c r="AH31" i="6"/>
  <c r="AH11" i="6"/>
  <c r="AI83" i="6"/>
  <c r="AI72" i="6"/>
  <c r="AI9" i="6"/>
  <c r="AI71" i="6"/>
  <c r="AI61" i="6"/>
  <c r="AH51" i="6"/>
  <c r="AI81" i="6"/>
  <c r="AI69" i="6"/>
  <c r="AI27" i="6"/>
  <c r="AI5" i="6"/>
  <c r="AH78" i="6"/>
  <c r="AH57" i="6"/>
  <c r="AH47" i="6"/>
  <c r="AH15" i="6"/>
  <c r="AI57" i="6"/>
  <c r="AI15" i="6"/>
  <c r="AI47" i="6"/>
  <c r="AI45" i="6"/>
  <c r="AI78" i="6"/>
  <c r="AI33" i="6"/>
  <c r="AH83" i="6"/>
  <c r="AH28" i="6"/>
  <c r="AH81" i="6"/>
  <c r="AH69" i="6"/>
  <c r="AH49" i="6"/>
  <c r="AH27" i="6"/>
  <c r="AH7" i="6"/>
  <c r="AI43" i="6"/>
  <c r="AI22" i="6"/>
  <c r="AH72" i="6"/>
  <c r="AH9" i="6"/>
  <c r="AH18" i="6"/>
  <c r="AH16" i="6"/>
  <c r="AH5" i="6"/>
  <c r="AI73" i="6"/>
  <c r="AI42" i="6"/>
  <c r="AI31" i="6"/>
  <c r="AI11" i="6"/>
  <c r="AH71" i="6"/>
  <c r="AH8" i="6"/>
  <c r="AI51" i="6"/>
  <c r="AH14" i="6"/>
  <c r="AI14" i="6"/>
  <c r="AI74" i="6"/>
  <c r="AH74" i="6"/>
  <c r="AI24" i="6"/>
  <c r="AH24" i="6"/>
  <c r="AH70" i="6"/>
  <c r="AI70" i="6"/>
  <c r="AH54" i="6"/>
  <c r="AI54" i="6"/>
  <c r="AI60" i="6"/>
  <c r="AI4" i="6"/>
  <c r="F7" i="6"/>
  <c r="F4" i="6"/>
  <c r="F11" i="4"/>
  <c r="F12" i="4"/>
  <c r="F13" i="4"/>
  <c r="AN93" i="8" l="1"/>
  <c r="AN92" i="8"/>
  <c r="AN91" i="8"/>
  <c r="AN90" i="8"/>
  <c r="AN89" i="8"/>
  <c r="AN88" i="8"/>
  <c r="AN87" i="8"/>
  <c r="AN86" i="8"/>
  <c r="AN85" i="8"/>
  <c r="AP84" i="8"/>
  <c r="AL84" i="8"/>
  <c r="AN103" i="8"/>
  <c r="AN102" i="8"/>
  <c r="AN101" i="8"/>
  <c r="AN100" i="8"/>
  <c r="AN99" i="8"/>
  <c r="AN98" i="8"/>
  <c r="AN97" i="8"/>
  <c r="AN96" i="8"/>
  <c r="AN95" i="8"/>
  <c r="AP94" i="8"/>
  <c r="AL94" i="8"/>
  <c r="AN113" i="8"/>
  <c r="AN112" i="8"/>
  <c r="AN111" i="8"/>
  <c r="AN110" i="8"/>
  <c r="AN109" i="8"/>
  <c r="AN108" i="8"/>
  <c r="AN107" i="8"/>
  <c r="AN106" i="8"/>
  <c r="AN105" i="8"/>
  <c r="AP104" i="8"/>
  <c r="AL104" i="8"/>
  <c r="AN123" i="8"/>
  <c r="AN122" i="8"/>
  <c r="AN121" i="8"/>
  <c r="AN120" i="8"/>
  <c r="AN119" i="8"/>
  <c r="AN118" i="8"/>
  <c r="AN117" i="8"/>
  <c r="AN116" i="8"/>
  <c r="AN115" i="8"/>
  <c r="AP114" i="8"/>
  <c r="AL114" i="8"/>
  <c r="E14" i="6"/>
  <c r="E13" i="6"/>
  <c r="AI29" i="6"/>
  <c r="AH48" i="6"/>
  <c r="AI19" i="6"/>
  <c r="AH56" i="6"/>
  <c r="AH77" i="6"/>
  <c r="AI25" i="6"/>
  <c r="AI89" i="6"/>
  <c r="AI108" i="6"/>
  <c r="AH61" i="6"/>
  <c r="AI96" i="6"/>
  <c r="AI63" i="6"/>
  <c r="AI92" i="6"/>
  <c r="AI97" i="6"/>
  <c r="AI118" i="6"/>
  <c r="AI111" i="6"/>
  <c r="AI87" i="6"/>
  <c r="AI99" i="6"/>
  <c r="AH79" i="6"/>
  <c r="AI104" i="6"/>
  <c r="AI123" i="6"/>
  <c r="AI100" i="6"/>
  <c r="AI117" i="6"/>
  <c r="AH55" i="6"/>
  <c r="AI105" i="6"/>
  <c r="AI109" i="6"/>
  <c r="AI80" i="6"/>
  <c r="AI94" i="6"/>
  <c r="AH17" i="6"/>
  <c r="AI113" i="6"/>
  <c r="AI23" i="6"/>
  <c r="AI95" i="6"/>
  <c r="AI85" i="6"/>
  <c r="AI41" i="6"/>
  <c r="AI91" i="6"/>
  <c r="AH38" i="6"/>
  <c r="AI35" i="6"/>
  <c r="AH75" i="6"/>
  <c r="AH20" i="6"/>
  <c r="AH59" i="6"/>
  <c r="AH25" i="6"/>
  <c r="AI58" i="6"/>
  <c r="AH65" i="6"/>
  <c r="AI67" i="6"/>
  <c r="AH80" i="6"/>
  <c r="AH29" i="6"/>
  <c r="AI8" i="6"/>
  <c r="AH68" i="6"/>
  <c r="AI53" i="6"/>
  <c r="AI82" i="6"/>
  <c r="AH82" i="6"/>
  <c r="AI76" i="6"/>
  <c r="AI75" i="6"/>
  <c r="AH67" i="6"/>
  <c r="AI66" i="6"/>
  <c r="AH64" i="6"/>
  <c r="AH63" i="6"/>
  <c r="AI62" i="6"/>
  <c r="AH53" i="6"/>
  <c r="AH52" i="6"/>
  <c r="AI50" i="6"/>
  <c r="AI46" i="6"/>
  <c r="AI39" i="6"/>
  <c r="AH37" i="6"/>
  <c r="AH36" i="6"/>
  <c r="AI36" i="6"/>
  <c r="AI32" i="6"/>
  <c r="AI30" i="6"/>
  <c r="AH30" i="6"/>
  <c r="AH26" i="6"/>
  <c r="AI21" i="6"/>
  <c r="AH13" i="6"/>
  <c r="AH12" i="6"/>
  <c r="AI6" i="6"/>
  <c r="AI40" i="6"/>
  <c r="AI44" i="6"/>
  <c r="AI34" i="6"/>
  <c r="AH10" i="6"/>
  <c r="E15" i="6" l="1"/>
  <c r="E12" i="6"/>
  <c r="AI90" i="6"/>
  <c r="AI102" i="6"/>
  <c r="AI106" i="6"/>
  <c r="AI122" i="6"/>
  <c r="AI93" i="6"/>
  <c r="AI107" i="6"/>
  <c r="AI98" i="6"/>
  <c r="AL91" i="6"/>
  <c r="AL113" i="6"/>
  <c r="AL123" i="6"/>
  <c r="AL87" i="6"/>
  <c r="AL118" i="6"/>
  <c r="AL108" i="6"/>
  <c r="AN96" i="6"/>
  <c r="AN97" i="6"/>
  <c r="AN98" i="6"/>
  <c r="AN99" i="6"/>
  <c r="AN100" i="6"/>
  <c r="AN102" i="6"/>
  <c r="AN95" i="6"/>
  <c r="AN106" i="6"/>
  <c r="AN107" i="6"/>
  <c r="AN108" i="6"/>
  <c r="AN109" i="6"/>
  <c r="AN111" i="6"/>
  <c r="AN113" i="6"/>
  <c r="AN105" i="6"/>
  <c r="AL109" i="6"/>
  <c r="AL99" i="6"/>
  <c r="AL105" i="6"/>
  <c r="AL85" i="6"/>
  <c r="AL95" i="6"/>
  <c r="AL89" i="6"/>
  <c r="AL117" i="6"/>
  <c r="AL111" i="6"/>
  <c r="AL100" i="6"/>
  <c r="AL97" i="6"/>
  <c r="AL96" i="6"/>
  <c r="AL92" i="6"/>
  <c r="AL94" i="6"/>
  <c r="AL104" i="6"/>
  <c r="AI110" i="6"/>
  <c r="AL110" i="6"/>
  <c r="AI120" i="6"/>
  <c r="AL120" i="6"/>
  <c r="AI112" i="6"/>
  <c r="AI121" i="6"/>
  <c r="AL93" i="6"/>
  <c r="AI119" i="6"/>
  <c r="AI88" i="6"/>
  <c r="AI103" i="6"/>
  <c r="AL102" i="6"/>
  <c r="AL90" i="6"/>
  <c r="AL122" i="6"/>
  <c r="AL107" i="6"/>
  <c r="AL98" i="6"/>
  <c r="AI114" i="6"/>
  <c r="AL114" i="6"/>
  <c r="AL106" i="6"/>
  <c r="AI84" i="6"/>
  <c r="AI86" i="6"/>
  <c r="AI116" i="6"/>
  <c r="AI115" i="6"/>
  <c r="AI101" i="6"/>
  <c r="AP114" i="6" l="1"/>
  <c r="AP104" i="6"/>
  <c r="AP94" i="6"/>
  <c r="AP84" i="6"/>
  <c r="AN101" i="6"/>
  <c r="AN103" i="6"/>
  <c r="AN112" i="6"/>
  <c r="AN110" i="6"/>
  <c r="AN86" i="6"/>
  <c r="AN87" i="6"/>
  <c r="AN88" i="6"/>
  <c r="AN89" i="6"/>
  <c r="AN90" i="6"/>
  <c r="AN91" i="6"/>
  <c r="AN92" i="6"/>
  <c r="AN93" i="6"/>
  <c r="AN85" i="6"/>
  <c r="AN116" i="6"/>
  <c r="AN117" i="6"/>
  <c r="AN118" i="6"/>
  <c r="AN119" i="6"/>
  <c r="AN120" i="6"/>
  <c r="AN121" i="6"/>
  <c r="AN122" i="6"/>
  <c r="AN123" i="6"/>
  <c r="AN115" i="6"/>
  <c r="AL116" i="6"/>
  <c r="AL121" i="6"/>
  <c r="AL86" i="6"/>
  <c r="AL119" i="6"/>
  <c r="AL103" i="6"/>
  <c r="AL112" i="6"/>
  <c r="AL115" i="6"/>
  <c r="AL101" i="6"/>
  <c r="AL88" i="6"/>
  <c r="AL84" i="6"/>
</calcChain>
</file>

<file path=xl/sharedStrings.xml><?xml version="1.0" encoding="utf-8"?>
<sst xmlns="http://schemas.openxmlformats.org/spreadsheetml/2006/main" count="1501" uniqueCount="90">
  <si>
    <t>Initial pore size (µm)</t>
  </si>
  <si>
    <t>Size multiplier</t>
  </si>
  <si>
    <t>Adjusted pore dimension (µm)</t>
  </si>
  <si>
    <t># Mesh elements of inner geometries excluiding filter mesh wall (triangles)</t>
  </si>
  <si>
    <t># Mesh elements of filter mesh wasll (triangles)</t>
  </si>
  <si>
    <t># Total mesh elements (triangles)</t>
  </si>
  <si>
    <t>Filter mesh's mesh quality - aspect ratio - GAMMA (0-1)</t>
  </si>
  <si>
    <t>Safetimestep (s)</t>
  </si>
  <si>
    <t>StepsinaSec (Mesh)</t>
  </si>
  <si>
    <t>StepsinaSec (Primitive, minor number passing error)</t>
  </si>
  <si>
    <t>np_hor</t>
  </si>
  <si>
    <t>np_ver</t>
  </si>
  <si>
    <t xml:space="preserve">Number of atoms </t>
  </si>
  <si>
    <t>#</t>
  </si>
  <si>
    <t>Replica</t>
  </si>
  <si>
    <t>Project_no</t>
  </si>
  <si>
    <t>Mesh/Primitive</t>
  </si>
  <si>
    <t>Primitive transition ratio</t>
  </si>
  <si>
    <t>Job ID</t>
  </si>
  <si>
    <t>Number of steps in a second</t>
  </si>
  <si>
    <t>Start date (dd.mm.yyyy)</t>
  </si>
  <si>
    <t>Start time (hh:mm:ss)</t>
  </si>
  <si>
    <t>Start date and time (dd.mm.yyyy hh:mm:ss)</t>
  </si>
  <si>
    <t>Finish date (dd.mm.yyyy)</t>
  </si>
  <si>
    <t>Finish time (hh:mm:ss)</t>
  </si>
  <si>
    <t>Finish date and time (dd.mm.yyyy hh:mm:ss)</t>
  </si>
  <si>
    <t>Time Elapsed (d-hh:mm:ss)</t>
  </si>
  <si>
    <t>Time Elapsed (s)</t>
  </si>
  <si>
    <t>Number of Particles Conserved</t>
  </si>
  <si>
    <t xml:space="preserve">% of Particles Conserved  </t>
  </si>
  <si>
    <t>Deviation of time</t>
  </si>
  <si>
    <t xml:space="preserve">Deviation of number of particles </t>
  </si>
  <si>
    <t>Time reduction with respect to conventional method</t>
  </si>
  <si>
    <t>% of particle loss with respect to conventional method</t>
  </si>
  <si>
    <t>% Time reduction</t>
  </si>
  <si>
    <t>% Particle conservation</t>
  </si>
  <si>
    <t>M</t>
  </si>
  <si>
    <t>-</t>
  </si>
  <si>
    <t>P</t>
  </si>
  <si>
    <t>Mesh elements</t>
  </si>
  <si>
    <t>Particles</t>
  </si>
  <si>
    <t>Total elements</t>
  </si>
  <si>
    <t>Average Computation Time</t>
  </si>
  <si>
    <t xml:space="preserve"> Average Improvement per size multiplier</t>
  </si>
  <si>
    <t>AVERAGE OF REPLICAS</t>
  </si>
  <si>
    <t>C</t>
  </si>
  <si>
    <t>SCM</t>
  </si>
  <si>
    <t>R1=2005341 R2=2006017</t>
  </si>
  <si>
    <t xml:space="preserve">40 tasks max/project in longrun queue &amp; +5 days for days to max days estimated for queueing </t>
  </si>
  <si>
    <t>R2=2005341 R1=2006017</t>
  </si>
  <si>
    <t>Trial</t>
  </si>
  <si>
    <t>X</t>
  </si>
  <si>
    <t>Trans rat</t>
  </si>
  <si>
    <t>Job id</t>
  </si>
  <si>
    <t>Days Estimated</t>
  </si>
  <si>
    <t>Name</t>
  </si>
  <si>
    <t>Days estimated</t>
  </si>
  <si>
    <t>R1</t>
  </si>
  <si>
    <t>R2</t>
  </si>
  <si>
    <t>M-CMF</t>
  </si>
  <si>
    <t>P-CMF</t>
  </si>
  <si>
    <t>Optimum value</t>
  </si>
  <si>
    <t>Completed</t>
  </si>
  <si>
    <t>Running</t>
  </si>
  <si>
    <t>Submitted</t>
  </si>
  <si>
    <t>Not submitted yet</t>
  </si>
  <si>
    <t>Failed</t>
  </si>
  <si>
    <t>Number of mesh elements representing inner geometries excluiding filter mesh</t>
  </si>
  <si>
    <t>Number of mesh elements representing filter mesh wall</t>
  </si>
  <si>
    <t>Number of total mesh elements</t>
  </si>
  <si>
    <t>Safe timestep (s)</t>
  </si>
  <si>
    <t>Number of steps in a second (Mesh)</t>
  </si>
  <si>
    <t>Number of steps in a second (Primitive)</t>
  </si>
  <si>
    <t>Number of mesh elements</t>
  </si>
  <si>
    <t>Number of particles</t>
  </si>
  <si>
    <t>Number of total elements</t>
  </si>
  <si>
    <t>Average computation time (s)</t>
  </si>
  <si>
    <t>SICN</t>
  </si>
  <si>
    <t>GAMMA</t>
  </si>
  <si>
    <t>SIGE</t>
  </si>
  <si>
    <t># Elements</t>
  </si>
  <si>
    <t>in_cyl</t>
  </si>
  <si>
    <t>top_cyl</t>
  </si>
  <si>
    <t>cone</t>
  </si>
  <si>
    <t>bot_cyl</t>
  </si>
  <si>
    <t>bottom_disk</t>
  </si>
  <si>
    <t>top_disk</t>
  </si>
  <si>
    <t>total_before_filter_mesh</t>
  </si>
  <si>
    <t>filter_mesh</t>
  </si>
  <si>
    <t># Elements with other inner geometries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</si>
</sst>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7" formatCode="hh:mm:ss"/>
    <numFmt numFmtId="172" formatCode="h:mm:ss;@"/>
    <numFmt numFmtId="173" formatCode="#,##0.00000"/>
    <numFmt numFmtId="174" formatCode="#,##0.000"/>
    <numFmt numFmtId="176" formatCode="d\.m\.yyyy;@"/>
    <numFmt numFmtId="177" formatCode="d\.m\.yyyy\ hh:mm:ss"/>
    <numFmt numFmtId="178" formatCode="0.000"/>
    <numFmt numFmtId="179" formatCode="0.0%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ED7D3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7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quotePrefix="1" applyNumberFormat="1" applyAlignment="1">
      <alignment horizontal="center"/>
    </xf>
    <xf numFmtId="178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0" applyNumberFormat="1"/>
    <xf numFmtId="179" fontId="0" fillId="0" borderId="0" xfId="0" applyNumberFormat="1"/>
    <xf numFmtId="178" fontId="0" fillId="0" borderId="0" xfId="0" applyNumberFormat="1"/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178" fontId="0" fillId="4" borderId="0" xfId="0" applyNumberFormat="1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178" fontId="0" fillId="4" borderId="5" xfId="0" applyNumberFormat="1" applyFill="1" applyBorder="1" applyAlignment="1">
      <alignment horizontal="center" vertical="center"/>
    </xf>
    <xf numFmtId="3" fontId="0" fillId="4" borderId="5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78" fontId="4" fillId="0" borderId="0" xfId="0" applyNumberFormat="1" applyFont="1"/>
    <xf numFmtId="9" fontId="4" fillId="0" borderId="0" xfId="0" applyNumberFormat="1" applyFont="1" applyAlignment="1">
      <alignment horizontal="center" vertical="center"/>
    </xf>
    <xf numFmtId="0" fontId="0" fillId="0" borderId="14" xfId="0" applyBorder="1" applyAlignment="1">
      <alignment horizontal="center"/>
    </xf>
    <xf numFmtId="3" fontId="0" fillId="0" borderId="14" xfId="0" applyNumberFormat="1" applyBorder="1" applyAlignment="1">
      <alignment horizontal="center"/>
    </xf>
    <xf numFmtId="178" fontId="0" fillId="0" borderId="14" xfId="0" quotePrefix="1" applyNumberForma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172" fontId="0" fillId="0" borderId="14" xfId="0" applyNumberFormat="1" applyBorder="1" applyAlignment="1">
      <alignment horizontal="center"/>
    </xf>
    <xf numFmtId="177" fontId="0" fillId="0" borderId="14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3" fontId="0" fillId="0" borderId="12" xfId="0" applyNumberFormat="1" applyBorder="1" applyAlignment="1">
      <alignment horizontal="center"/>
    </xf>
    <xf numFmtId="176" fontId="0" fillId="0" borderId="12" xfId="0" applyNumberFormat="1" applyBorder="1" applyAlignment="1">
      <alignment horizontal="center"/>
    </xf>
    <xf numFmtId="172" fontId="0" fillId="0" borderId="12" xfId="0" applyNumberFormat="1" applyBorder="1" applyAlignment="1">
      <alignment horizontal="center"/>
    </xf>
    <xf numFmtId="177" fontId="0" fillId="0" borderId="12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3" fontId="0" fillId="6" borderId="0" xfId="0" applyNumberFormat="1" applyFill="1" applyAlignment="1">
      <alignment horizontal="center"/>
    </xf>
    <xf numFmtId="178" fontId="0" fillId="0" borderId="12" xfId="0" quotePrefix="1" applyNumberFormat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178" fontId="0" fillId="4" borderId="17" xfId="0" applyNumberFormat="1" applyFill="1" applyBorder="1" applyAlignment="1">
      <alignment horizontal="center" vertical="center"/>
    </xf>
    <xf numFmtId="3" fontId="0" fillId="4" borderId="17" xfId="0" applyNumberFormat="1" applyFill="1" applyBorder="1" applyAlignment="1">
      <alignment horizontal="center" vertical="center"/>
    </xf>
    <xf numFmtId="3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77" fontId="0" fillId="0" borderId="0" xfId="0" quotePrefix="1" applyNumberFormat="1" applyAlignment="1">
      <alignment horizontal="center"/>
    </xf>
    <xf numFmtId="176" fontId="0" fillId="0" borderId="0" xfId="0" quotePrefix="1" applyNumberFormat="1" applyAlignment="1">
      <alignment horizontal="center"/>
    </xf>
    <xf numFmtId="172" fontId="0" fillId="0" borderId="0" xfId="0" quotePrefix="1" applyNumberFormat="1" applyAlignment="1">
      <alignment horizontal="center"/>
    </xf>
    <xf numFmtId="167" fontId="0" fillId="0" borderId="0" xfId="0" quotePrefix="1" applyNumberFormat="1" applyAlignment="1">
      <alignment horizontal="center"/>
    </xf>
    <xf numFmtId="10" fontId="0" fillId="0" borderId="0" xfId="0" quotePrefix="1" applyNumberFormat="1" applyAlignment="1">
      <alignment horizont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0" xfId="0" applyNumberFormat="1"/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78" fontId="0" fillId="0" borderId="0" xfId="0" applyNumberFormat="1" applyFill="1" applyAlignment="1">
      <alignment horizontal="center"/>
    </xf>
    <xf numFmtId="178" fontId="0" fillId="0" borderId="0" xfId="0" quotePrefix="1" applyNumberFormat="1" applyFill="1" applyAlignment="1">
      <alignment horizontal="center"/>
    </xf>
    <xf numFmtId="0" fontId="0" fillId="0" borderId="23" xfId="0" applyBorder="1" applyAlignment="1">
      <alignment horizontal="center" vertical="center"/>
    </xf>
  </cellXfs>
  <cellStyles count="1">
    <cellStyle name="Normal" xfId="0" builtinId="0"/>
  </cellStyles>
  <dxfs count="52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80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7" formatCode="hh:mm:ss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77" formatCode="d\.m\.yyyy\ hh:mm:ss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72" formatCode="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76" formatCode="d\.m\.yy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77" formatCode="d\.m\.yyyy\ hh:mm:ss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72" formatCode="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76" formatCode="d\.m\.yy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78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80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7" formatCode="hh:mm:ss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77" formatCode="d\.m\.yyyy\ hh:mm:ss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72" formatCode="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76" formatCode="d\.m\.yy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77" formatCode="d\.m\.yyyy\ hh:mm:ss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72" formatCode="h:mm:ss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76" formatCode="d\.m\.yy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78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colors>
    <mruColors>
      <color rgb="FF9553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A96281-F555-49A5-A097-51CDCA471F4D}" name="Table13" displayName="Table13" ref="T3:AQ123" totalsRowShown="0" headerRowDxfId="51" dataDxfId="50">
  <autoFilter ref="T3:AQ123" xr:uid="{CE8B4C59-32CE-41FA-88F9-C93789698F5C}"/>
  <sortState xmlns:xlrd2="http://schemas.microsoft.com/office/spreadsheetml/2017/richdata2" ref="T4:AK83">
    <sortCondition ref="U4:U83"/>
    <sortCondition ref="W4:W83"/>
    <sortCondition ref="X4:X83"/>
    <sortCondition ref="Y4:Y83"/>
  </sortState>
  <tableColumns count="24">
    <tableColumn id="1" xr3:uid="{28E16995-F102-4E16-BE6C-411C38EAE565}" name="#" dataDxfId="49"/>
    <tableColumn id="2" xr3:uid="{19E425C8-96D5-4C91-9FB5-657AF4C199D7}" name="Replica" dataDxfId="48"/>
    <tableColumn id="3" xr3:uid="{F15946D3-BD36-48C9-B349-B2E4C4206CAD}" name="Project_no" dataDxfId="47"/>
    <tableColumn id="4" xr3:uid="{A4C14AE4-3E4B-4BE8-B256-674848CE4B37}" name="Size multiplier" dataDxfId="46"/>
    <tableColumn id="5" xr3:uid="{FFB46A81-C1FF-4B5F-B37E-AA5A8C38BDBC}" name="Mesh/Primitive" dataDxfId="45"/>
    <tableColumn id="6" xr3:uid="{14408629-A9A2-4C54-9608-06EBB6C2068D}" name="Primitive transition ratio" dataDxfId="44"/>
    <tableColumn id="7" xr3:uid="{FF030796-294A-416E-BBC1-AD5D8E616222}" name="Job ID" dataDxfId="43"/>
    <tableColumn id="8" xr3:uid="{911CBB27-997C-4750-8143-90F6E40E3E10}" name="Number of steps in a second" dataDxfId="42">
      <calculatedColumnFormula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calculatedColumnFormula>
    </tableColumn>
    <tableColumn id="10" xr3:uid="{D5C47204-9440-4D3C-9FAB-7BCB409868C3}" name="Start date (dd.mm.yyyy)" dataDxfId="41"/>
    <tableColumn id="11" xr3:uid="{E3456496-1F66-4773-B635-D4754E37633B}" name="Start time (hh:mm:ss)" dataDxfId="40"/>
    <tableColumn id="12" xr3:uid="{DFCF088D-1016-4440-A01C-57A9B26ABB10}" name="Start date and time (dd.mm.yyyy hh:mm:ss)" dataDxfId="39">
      <calculatedColumnFormula>AB4+AC4</calculatedColumnFormula>
    </tableColumn>
    <tableColumn id="13" xr3:uid="{A5F13606-DD16-417E-BA13-473DA6ECB0B3}" name="Finish date (dd.mm.yyyy)" dataDxfId="38"/>
    <tableColumn id="14" xr3:uid="{850AE2FF-D800-4251-BC99-42EC79724C50}" name="Finish time (hh:mm:ss)" dataDxfId="37"/>
    <tableColumn id="15" xr3:uid="{8FB5E4C0-8057-454C-93D1-6160F7387F0D}" name="Finish date and time (dd.mm.yyyy hh:mm:ss)" dataDxfId="36">
      <calculatedColumnFormula>AE4+AF4</calculatedColumnFormula>
    </tableColumn>
    <tableColumn id="16" xr3:uid="{1C480704-B582-4A61-96F2-FA2B941C9A33}" name="Time Elapsed (d-hh:mm:ss)" dataDxfId="35">
      <calculatedColumnFormula>INT(AG4-AD4) &amp; "-"&amp; TEXT(AG4-AD4,"h"":""m"":""s""""")</calculatedColumnFormula>
    </tableColumn>
    <tableColumn id="17" xr3:uid="{A51F29B3-282A-49C9-B14F-9FE54A2757C2}" name="Time Elapsed (s)" dataDxfId="34">
      <calculatedColumnFormula>INT((AG4-AD4) * 86400)</calculatedColumnFormula>
    </tableColumn>
    <tableColumn id="18" xr3:uid="{149CF842-2A81-4472-A77B-F644D23905F5}" name="Number of Particles Conserved" dataDxfId="33"/>
    <tableColumn id="19" xr3:uid="{2DB39996-E218-4D25-B55B-8C2E345537FB}" name="% of Particles Conserved  " dataDxfId="32"/>
    <tableColumn id="21" xr3:uid="{3EDA258F-B337-4406-86A5-ED7643BD632D}" name="Deviation of time" dataDxfId="31"/>
    <tableColumn id="22" xr3:uid="{F561FB57-0ACA-4EAB-8A9F-A82A85B128F9}" name="Deviation of number of particles " dataDxfId="30"/>
    <tableColumn id="23" xr3:uid="{A64B3C1A-3F5C-4A4E-B83C-B321195424CF}" name="Time reduction with respect to conventional method" dataDxfId="29"/>
    <tableColumn id="24" xr3:uid="{BD363CD0-CD85-4200-882D-38C2BBA6DC9E}" name="% of particle loss with respect to conventional method" dataDxfId="28"/>
    <tableColumn id="9" xr3:uid="{2F020EF7-35EC-435A-B373-C837416C8DFC}" name="% Time reduction" dataDxfId="27"/>
    <tableColumn id="20" xr3:uid="{32E3D910-EE1A-4034-AD73-3C8130E34CC8}" name="% Particle conservation" dataDxfId="2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B4C59-32CE-41FA-88F9-C93789698F5C}" name="Table1" displayName="Table1" ref="T3:AQ123" totalsRowShown="0" headerRowDxfId="25" dataDxfId="24">
  <autoFilter ref="T3:AQ123" xr:uid="{CE8B4C59-32CE-41FA-88F9-C93789698F5C}"/>
  <sortState xmlns:xlrd2="http://schemas.microsoft.com/office/spreadsheetml/2017/richdata2" ref="T4:AK83">
    <sortCondition ref="U4:U83"/>
    <sortCondition ref="W4:W83"/>
    <sortCondition ref="X4:X83"/>
    <sortCondition ref="Y4:Y83"/>
  </sortState>
  <tableColumns count="24">
    <tableColumn id="1" xr3:uid="{564536A7-D588-45ED-82D4-C42C37EF89DB}" name="#" dataDxfId="23"/>
    <tableColumn id="2" xr3:uid="{72C9C573-8441-448C-91A6-1EF528CC24A1}" name="Replica" dataDxfId="22"/>
    <tableColumn id="3" xr3:uid="{8F8011A8-BED1-4C07-8CBC-9A296DAC8378}" name="Project_no" dataDxfId="21"/>
    <tableColumn id="4" xr3:uid="{885343D7-69E4-49CD-ACCE-5A7C7BB5C587}" name="Size multiplier" dataDxfId="20"/>
    <tableColumn id="5" xr3:uid="{3B3B7874-04E8-423E-9153-6501CBB9ED9D}" name="Mesh/Primitive" dataDxfId="19"/>
    <tableColumn id="6" xr3:uid="{5B7CB9C2-8CDA-44F5-A901-5E7A84338E93}" name="Primitive transition ratio" dataDxfId="18"/>
    <tableColumn id="7" xr3:uid="{DF685472-67A1-49D2-B3D8-2D325FF611BA}" name="Job ID" dataDxfId="17"/>
    <tableColumn id="8" xr3:uid="{68AF9524-94CC-4A3F-B33C-0E32B3EBAEE0}" name="Number of steps in a second" dataDxfId="16">
      <calculatedColumnFormula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calculatedColumnFormula>
    </tableColumn>
    <tableColumn id="10" xr3:uid="{2191517D-5EF9-41C8-BB8C-B7EDC62AC024}" name="Start date (dd.mm.yyyy)" dataDxfId="15"/>
    <tableColumn id="11" xr3:uid="{E1D0DD8E-E490-4A86-8D1C-431A1D3AAF2F}" name="Start time (hh:mm:ss)" dataDxfId="14"/>
    <tableColumn id="12" xr3:uid="{49F1929A-D949-450E-B3D9-BD25DD283E51}" name="Start date and time (dd.mm.yyyy hh:mm:ss)" dataDxfId="13">
      <calculatedColumnFormula>AB4+AC4</calculatedColumnFormula>
    </tableColumn>
    <tableColumn id="13" xr3:uid="{FB27D14A-53BE-4FBA-A808-E79136A73E9C}" name="Finish date (dd.mm.yyyy)" dataDxfId="12"/>
    <tableColumn id="14" xr3:uid="{E6372C4B-BD45-47F2-9B04-A83DBBB5CFBA}" name="Finish time (hh:mm:ss)" dataDxfId="11"/>
    <tableColumn id="15" xr3:uid="{DE193305-E3E3-4B75-9DB8-3CC5DD9B4B2B}" name="Finish date and time (dd.mm.yyyy hh:mm:ss)" dataDxfId="10">
      <calculatedColumnFormula>AE4+AF4</calculatedColumnFormula>
    </tableColumn>
    <tableColumn id="16" xr3:uid="{2C56C420-A07F-4B44-8D6D-D24C1B75E865}" name="Time Elapsed (d-hh:mm:ss)" dataDxfId="9">
      <calculatedColumnFormula>INT(AG4-AD4) &amp; "-"&amp; TEXT(AG4-AD4,"h"":""m"":""s""""")</calculatedColumnFormula>
    </tableColumn>
    <tableColumn id="17" xr3:uid="{5B7F3203-EAAA-40ED-B4ED-FA399EA427CA}" name="Time Elapsed (s)" dataDxfId="8">
      <calculatedColumnFormula>INT((AG4-AD4) * 86400)</calculatedColumnFormula>
    </tableColumn>
    <tableColumn id="18" xr3:uid="{6B06A741-7928-4866-91A9-E40BD83C047A}" name="Number of Particles Conserved" dataDxfId="7"/>
    <tableColumn id="19" xr3:uid="{1E23C343-6F7B-4339-9405-91AC3593323D}" name="% of Particles Conserved  " dataDxfId="6"/>
    <tableColumn id="21" xr3:uid="{B9213FC1-D31E-497F-B03C-C76DDE9ABED1}" name="Deviation of time" dataDxfId="5"/>
    <tableColumn id="22" xr3:uid="{60A1A5C0-F518-4F1D-8570-8D6B6E598A09}" name="Deviation of number of particles " dataDxfId="4"/>
    <tableColumn id="23" xr3:uid="{BDAB07CD-CE11-4FB0-86D3-BB58EC3B93A1}" name="Time reduction with respect to conventional method" dataDxfId="3"/>
    <tableColumn id="24" xr3:uid="{E5A57C83-0CF1-4097-A07D-044826AE95EE}" name="% of particle loss with respect to conventional method" dataDxfId="2"/>
    <tableColumn id="9" xr3:uid="{3DC15374-957D-4940-9438-E480C02B1134}" name="% Time reduction" dataDxfId="1"/>
    <tableColumn id="20" xr3:uid="{90056284-A8C8-481E-8979-92E53F6B47FF}" name="% Particle conservation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BB30-1549-410A-96AB-FF7B4CAD1CFC}">
  <dimension ref="A1:AQ192"/>
  <sheetViews>
    <sheetView topLeftCell="T99" zoomScale="81" zoomScaleNormal="81" workbookViewId="0">
      <selection sqref="A1:XFD2"/>
    </sheetView>
  </sheetViews>
  <sheetFormatPr defaultRowHeight="15" customHeight="1"/>
  <cols>
    <col min="1" max="1" width="16.28515625" hidden="1" customWidth="1"/>
    <col min="2" max="2" width="15.28515625" hidden="1" customWidth="1"/>
    <col min="3" max="3" width="20.5703125" hidden="1" customWidth="1"/>
    <col min="4" max="4" width="32.7109375" hidden="1" customWidth="1"/>
    <col min="5" max="5" width="25.42578125" hidden="1" customWidth="1"/>
    <col min="6" max="6" width="24" hidden="1" customWidth="1"/>
    <col min="7" max="7" width="26.85546875" hidden="1" customWidth="1"/>
    <col min="8" max="8" width="17.28515625" hidden="1" customWidth="1"/>
    <col min="9" max="9" width="13" hidden="1" customWidth="1"/>
    <col min="10" max="10" width="25.5703125" hidden="1" customWidth="1"/>
    <col min="11" max="11" width="13.7109375" hidden="1" customWidth="1"/>
    <col min="12" max="12" width="15" hidden="1" customWidth="1"/>
    <col min="13" max="13" width="9.85546875" hidden="1" customWidth="1"/>
    <col min="14" max="14" width="14.140625" hidden="1" customWidth="1"/>
    <col min="15" max="15" width="9.42578125" hidden="1" customWidth="1"/>
    <col min="16" max="16" width="9.85546875" hidden="1" customWidth="1"/>
    <col min="17" max="17" width="10" hidden="1" customWidth="1"/>
    <col min="18" max="19" width="10.85546875" hidden="1" customWidth="1"/>
    <col min="20" max="20" width="4" customWidth="1"/>
    <col min="21" max="21" width="5.140625" customWidth="1"/>
    <col min="22" max="22" width="17.85546875" customWidth="1"/>
    <col min="23" max="23" width="18.28515625" customWidth="1"/>
    <col min="24" max="24" width="20" customWidth="1"/>
    <col min="25" max="25" width="16.140625" style="9" customWidth="1"/>
    <col min="26" max="26" width="13.7109375" style="9" customWidth="1"/>
    <col min="27" max="27" width="15" style="92" customWidth="1"/>
    <col min="28" max="28" width="14.140625" hidden="1" customWidth="1"/>
    <col min="29" max="29" width="12.28515625" hidden="1" customWidth="1"/>
    <col min="30" max="30" width="24.42578125" customWidth="1"/>
    <col min="31" max="31" width="12.28515625" hidden="1" customWidth="1"/>
    <col min="32" max="32" width="9.7109375" hidden="1" customWidth="1"/>
    <col min="33" max="33" width="21.5703125" customWidth="1"/>
    <col min="34" max="34" width="12.140625" customWidth="1"/>
    <col min="35" max="35" width="11.28515625" customWidth="1"/>
    <col min="36" max="36" width="19.140625" customWidth="1"/>
    <col min="37" max="37" width="16.28515625" customWidth="1"/>
    <col min="38" max="38" width="11" customWidth="1"/>
    <col min="39" max="39" width="19.5703125" customWidth="1"/>
    <col min="40" max="40" width="25.7109375" customWidth="1"/>
    <col min="41" max="41" width="28.140625" customWidth="1"/>
    <col min="42" max="42" width="15.28515625" customWidth="1"/>
    <col min="43" max="43" width="22" customWidth="1"/>
  </cols>
  <sheetData>
    <row r="1" spans="1:43" ht="15" hidden="1" customHeight="1"/>
    <row r="2" spans="1:43" ht="15" hidden="1" customHeight="1"/>
    <row r="3" spans="1:43" s="4" customFormat="1" ht="38.25" customHeight="1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9</v>
      </c>
      <c r="K3" s="20" t="s">
        <v>10</v>
      </c>
      <c r="L3" s="20" t="s">
        <v>11</v>
      </c>
      <c r="M3" s="20" t="s">
        <v>12</v>
      </c>
      <c r="T3" s="4" t="s">
        <v>13</v>
      </c>
      <c r="U3" s="4" t="s">
        <v>14</v>
      </c>
      <c r="V3" s="4" t="s">
        <v>15</v>
      </c>
      <c r="W3" s="4" t="s">
        <v>1</v>
      </c>
      <c r="X3" s="4" t="s">
        <v>16</v>
      </c>
      <c r="Y3" s="4" t="s">
        <v>17</v>
      </c>
      <c r="Z3" s="4" t="s">
        <v>18</v>
      </c>
      <c r="AA3" s="88" t="s">
        <v>19</v>
      </c>
      <c r="AB3" s="4" t="s">
        <v>20</v>
      </c>
      <c r="AC3" s="4" t="s">
        <v>21</v>
      </c>
      <c r="AD3" s="4" t="s">
        <v>22</v>
      </c>
      <c r="AE3" s="4" t="s">
        <v>23</v>
      </c>
      <c r="AF3" s="4" t="s">
        <v>24</v>
      </c>
      <c r="AG3" s="4" t="s">
        <v>25</v>
      </c>
      <c r="AH3" s="4" t="s">
        <v>26</v>
      </c>
      <c r="AI3" s="4" t="s">
        <v>27</v>
      </c>
      <c r="AJ3" s="4" t="s">
        <v>28</v>
      </c>
      <c r="AK3" s="4" t="s">
        <v>29</v>
      </c>
      <c r="AL3" s="4" t="s">
        <v>30</v>
      </c>
      <c r="AM3" s="4" t="s">
        <v>31</v>
      </c>
      <c r="AN3" s="4" t="s">
        <v>32</v>
      </c>
      <c r="AO3" s="4" t="s">
        <v>33</v>
      </c>
      <c r="AP3" s="4" t="s">
        <v>34</v>
      </c>
      <c r="AQ3" s="4" t="s">
        <v>35</v>
      </c>
    </row>
    <row r="4" spans="1:43">
      <c r="A4" s="96">
        <v>14</v>
      </c>
      <c r="B4" s="1">
        <v>15</v>
      </c>
      <c r="C4" s="1">
        <f t="shared" ref="C4:C9" si="0">B4*$A$4</f>
        <v>210</v>
      </c>
      <c r="D4" s="1">
        <f>'Mesh quality'!$E$8</f>
        <v>6720</v>
      </c>
      <c r="E4" s="3">
        <f>'Mesh quality'!E10</f>
        <v>686940</v>
      </c>
      <c r="F4" s="3">
        <f>$D$4+E4</f>
        <v>693660</v>
      </c>
      <c r="G4" s="31">
        <f>'Mesh quality'!C10</f>
        <v>0.90859999999999996</v>
      </c>
      <c r="H4" s="2">
        <v>1.6197091218928899E-8</v>
      </c>
      <c r="I4" s="3">
        <v>61739481</v>
      </c>
      <c r="J4" s="3"/>
      <c r="K4" s="1">
        <v>36</v>
      </c>
      <c r="L4" s="1">
        <v>6</v>
      </c>
      <c r="M4" s="1">
        <v>35940</v>
      </c>
      <c r="N4" s="2"/>
      <c r="O4" s="2"/>
      <c r="P4" s="96"/>
      <c r="Q4" s="8"/>
      <c r="T4" s="9">
        <v>1</v>
      </c>
      <c r="U4" s="11">
        <v>1</v>
      </c>
      <c r="V4" s="70">
        <v>2005341</v>
      </c>
      <c r="W4" s="11">
        <v>30</v>
      </c>
      <c r="X4" s="11" t="s">
        <v>36</v>
      </c>
      <c r="Y4" s="15" t="s">
        <v>37</v>
      </c>
      <c r="Z4" s="11">
        <v>14337061</v>
      </c>
      <c r="AA4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30869751</v>
      </c>
      <c r="AB4" s="12">
        <f>DATE(2022,11,23)</f>
        <v>44888</v>
      </c>
      <c r="AC4" s="13">
        <f>TIME(14,41,6)</f>
        <v>0.61187500000000006</v>
      </c>
      <c r="AD4" s="14">
        <f t="shared" ref="AD4:AD67" si="1">AB4+AC4</f>
        <v>44888.611875000002</v>
      </c>
      <c r="AE4" s="12">
        <f>DATE(2022,11,30)</f>
        <v>44895</v>
      </c>
      <c r="AF4" s="13">
        <f>TIME(12,46,44)</f>
        <v>0.53245370370370371</v>
      </c>
      <c r="AG4" s="14">
        <f t="shared" ref="AG4:AG67" si="2">AE4+AF4</f>
        <v>44895.532453703701</v>
      </c>
      <c r="AH4" s="32" t="str">
        <f t="shared" ref="AH4:AH67" si="3">INT(AG4-AD4) &amp; "-"&amp; TEXT(AG4-AD4,"h"":""m"":""s""""")</f>
        <v>6-h:5:38</v>
      </c>
      <c r="AI4" s="11">
        <f t="shared" ref="AI4:AI67" si="4">INT((AG4-AD4) * 86400)</f>
        <v>597937</v>
      </c>
      <c r="AJ4" s="11">
        <v>4067</v>
      </c>
      <c r="AK4" s="18">
        <f>AJ4/$M$5</f>
        <v>0.9281150159744409</v>
      </c>
      <c r="AL4" s="9"/>
      <c r="AM4" s="9"/>
      <c r="AN4" s="9"/>
      <c r="AO4" s="9"/>
      <c r="AP4" s="9"/>
      <c r="AQ4" s="9"/>
    </row>
    <row r="5" spans="1:43">
      <c r="A5" s="96"/>
      <c r="B5" s="102">
        <v>30</v>
      </c>
      <c r="C5" s="102">
        <f t="shared" si="0"/>
        <v>420</v>
      </c>
      <c r="D5" s="102">
        <f>'Mesh quality'!$E$8</f>
        <v>6720</v>
      </c>
      <c r="E5" s="103">
        <f>'Mesh quality'!E11</f>
        <v>182784</v>
      </c>
      <c r="F5" s="3">
        <f t="shared" ref="F5:F9" si="5">$D$4+E5</f>
        <v>189504</v>
      </c>
      <c r="G5" s="31">
        <f>'Mesh quality'!C11</f>
        <v>0.9113</v>
      </c>
      <c r="H5" s="2">
        <v>3.2394171573719599E-8</v>
      </c>
      <c r="I5" s="3">
        <v>30869751</v>
      </c>
      <c r="J5" s="3">
        <v>30864102</v>
      </c>
      <c r="K5" s="1">
        <v>18</v>
      </c>
      <c r="L5" s="1">
        <v>3</v>
      </c>
      <c r="M5" s="1">
        <v>4382</v>
      </c>
      <c r="N5" s="2"/>
      <c r="O5" s="2"/>
      <c r="P5" s="96"/>
      <c r="Q5" s="8"/>
      <c r="T5" s="9">
        <v>2</v>
      </c>
      <c r="U5" s="11">
        <v>1</v>
      </c>
      <c r="V5" s="70">
        <v>2005341</v>
      </c>
      <c r="W5" s="11">
        <v>30</v>
      </c>
      <c r="X5" s="11" t="s">
        <v>38</v>
      </c>
      <c r="Y5" s="105">
        <v>1E-3</v>
      </c>
      <c r="Z5" s="11">
        <v>14676458</v>
      </c>
      <c r="AA5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5" s="12">
        <f>DATE(2022,12,21)</f>
        <v>44916</v>
      </c>
      <c r="AC5" s="13">
        <f>TIME(15,33,59)</f>
        <v>0.6485995370370371</v>
      </c>
      <c r="AD5" s="14">
        <f t="shared" si="1"/>
        <v>44916.648599537039</v>
      </c>
      <c r="AE5" s="12">
        <f>DATE(2022,12,25)</f>
        <v>44920</v>
      </c>
      <c r="AF5" s="13">
        <f>TIME(17,10,10)</f>
        <v>0.71539351851851851</v>
      </c>
      <c r="AG5" s="14">
        <f t="shared" si="2"/>
        <v>44920.71539351852</v>
      </c>
      <c r="AH5" s="32" t="str">
        <f t="shared" si="3"/>
        <v>4-h:36:11</v>
      </c>
      <c r="AI5" s="11">
        <f t="shared" si="4"/>
        <v>351370</v>
      </c>
      <c r="AJ5" s="11">
        <v>2149</v>
      </c>
      <c r="AK5" s="18">
        <f>AJ5/$M$5</f>
        <v>0.49041533546325877</v>
      </c>
      <c r="AL5" s="9"/>
      <c r="AM5" s="9"/>
      <c r="AN5" s="9"/>
      <c r="AO5" s="9"/>
      <c r="AP5" s="9"/>
      <c r="AQ5" s="9"/>
    </row>
    <row r="6" spans="1:43">
      <c r="A6" s="96"/>
      <c r="B6" s="102">
        <v>45</v>
      </c>
      <c r="C6" s="102">
        <f t="shared" si="0"/>
        <v>630</v>
      </c>
      <c r="D6" s="102">
        <f>'Mesh quality'!$E$8</f>
        <v>6720</v>
      </c>
      <c r="E6" s="103">
        <f>'Mesh quality'!E12</f>
        <v>84366</v>
      </c>
      <c r="F6" s="3">
        <f t="shared" si="5"/>
        <v>91086</v>
      </c>
      <c r="G6" s="31">
        <f>'Mesh quality'!C12</f>
        <v>0.91279999999999994</v>
      </c>
      <c r="H6" s="2">
        <v>4.8591256527376302E-8</v>
      </c>
      <c r="I6" s="3">
        <v>20579835</v>
      </c>
      <c r="J6" s="3">
        <v>20576132</v>
      </c>
      <c r="K6" s="1">
        <v>12</v>
      </c>
      <c r="L6" s="1">
        <v>2</v>
      </c>
      <c r="M6" s="1">
        <v>1331</v>
      </c>
      <c r="N6" s="2"/>
      <c r="O6" s="2"/>
      <c r="P6" s="96"/>
      <c r="Q6" s="8"/>
      <c r="T6" s="9">
        <v>3</v>
      </c>
      <c r="U6" s="11">
        <v>1</v>
      </c>
      <c r="V6" s="70">
        <v>2005341</v>
      </c>
      <c r="W6" s="11">
        <v>30</v>
      </c>
      <c r="X6" s="11" t="s">
        <v>38</v>
      </c>
      <c r="Y6" s="109">
        <v>5.0000000000000001E-3</v>
      </c>
      <c r="Z6" s="11">
        <v>14337854</v>
      </c>
      <c r="AA6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6" s="12">
        <f>DATE(2022,11,23)</f>
        <v>44888</v>
      </c>
      <c r="AC6" s="13">
        <f>TIME(17,23,33)</f>
        <v>0.72468749999999993</v>
      </c>
      <c r="AD6" s="14">
        <f t="shared" si="1"/>
        <v>44888.724687499998</v>
      </c>
      <c r="AE6" s="12">
        <f>DATE(2022,11,28)</f>
        <v>44893</v>
      </c>
      <c r="AF6" s="13">
        <f>TIME(2,57,15)</f>
        <v>0.12309027777777777</v>
      </c>
      <c r="AG6" s="14">
        <f t="shared" si="2"/>
        <v>44893.123090277775</v>
      </c>
      <c r="AH6" s="32" t="str">
        <f t="shared" si="3"/>
        <v>4-h:33:42</v>
      </c>
      <c r="AI6" s="11">
        <f t="shared" si="4"/>
        <v>380021</v>
      </c>
      <c r="AJ6" s="11">
        <v>1079</v>
      </c>
      <c r="AK6" s="18">
        <f>AJ6/$M$5</f>
        <v>0.24623459607485165</v>
      </c>
      <c r="AL6" s="9"/>
      <c r="AM6" s="9"/>
      <c r="AN6" s="9"/>
      <c r="AO6" s="9"/>
      <c r="AP6" s="9"/>
      <c r="AQ6" s="9"/>
    </row>
    <row r="7" spans="1:43">
      <c r="A7" s="96"/>
      <c r="B7" s="102">
        <v>60</v>
      </c>
      <c r="C7" s="102">
        <f t="shared" si="0"/>
        <v>840</v>
      </c>
      <c r="D7" s="102">
        <f>'Mesh quality'!$E$8</f>
        <v>6720</v>
      </c>
      <c r="E7" s="103">
        <f>'Mesh quality'!E13</f>
        <v>61704</v>
      </c>
      <c r="F7" s="3">
        <f t="shared" si="5"/>
        <v>68424</v>
      </c>
      <c r="G7" s="31">
        <f>'Mesh quality'!C13</f>
        <v>0.91349999999999998</v>
      </c>
      <c r="H7" s="2">
        <v>6.4788346482732304E-8</v>
      </c>
      <c r="I7" s="3">
        <v>15434875</v>
      </c>
      <c r="J7" s="3">
        <v>15432099</v>
      </c>
      <c r="K7" s="1">
        <v>9</v>
      </c>
      <c r="L7" s="1">
        <v>2</v>
      </c>
      <c r="M7" s="1">
        <v>522</v>
      </c>
      <c r="N7" s="2"/>
      <c r="O7" s="2"/>
      <c r="P7" s="96"/>
      <c r="Q7" s="8"/>
      <c r="T7" s="9">
        <v>4</v>
      </c>
      <c r="U7" s="11">
        <v>1</v>
      </c>
      <c r="V7" s="70">
        <v>2005341</v>
      </c>
      <c r="W7" s="11">
        <v>30</v>
      </c>
      <c r="X7" s="11" t="s">
        <v>38</v>
      </c>
      <c r="Y7" s="105">
        <v>2.5000000000000001E-2</v>
      </c>
      <c r="Z7" s="11">
        <v>14676680</v>
      </c>
      <c r="AA7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7" s="12">
        <f>DATE(2022,12,21)</f>
        <v>44916</v>
      </c>
      <c r="AC7" s="13">
        <f>TIME(15,33,59)</f>
        <v>0.6485995370370371</v>
      </c>
      <c r="AD7" s="14">
        <f t="shared" si="1"/>
        <v>44916.648599537039</v>
      </c>
      <c r="AE7" s="12">
        <f>DATE(2022,12,25)</f>
        <v>44920</v>
      </c>
      <c r="AF7" s="13">
        <f>TIME(23,12,19)</f>
        <v>0.96688657407407408</v>
      </c>
      <c r="AG7" s="14">
        <f t="shared" si="2"/>
        <v>44920.966886574075</v>
      </c>
      <c r="AH7" s="32" t="str">
        <f t="shared" si="3"/>
        <v>4-h:38:20</v>
      </c>
      <c r="AI7" s="11">
        <f t="shared" si="4"/>
        <v>373099</v>
      </c>
      <c r="AJ7" s="11">
        <v>500</v>
      </c>
      <c r="AK7" s="18">
        <f>AJ7/$M$5</f>
        <v>0.11410314924691921</v>
      </c>
      <c r="AL7" s="9"/>
      <c r="AM7" s="9"/>
      <c r="AN7" s="9"/>
      <c r="AO7" s="9"/>
      <c r="AP7" s="9"/>
      <c r="AQ7" s="9"/>
    </row>
    <row r="8" spans="1:43">
      <c r="A8" s="96"/>
      <c r="B8" s="102">
        <v>75</v>
      </c>
      <c r="C8" s="102">
        <f t="shared" si="0"/>
        <v>1050</v>
      </c>
      <c r="D8" s="102">
        <f>'Mesh quality'!$E$8</f>
        <v>6720</v>
      </c>
      <c r="E8" s="103">
        <f>'Mesh quality'!E14</f>
        <v>50954</v>
      </c>
      <c r="F8" s="3">
        <f t="shared" si="5"/>
        <v>57674</v>
      </c>
      <c r="G8" s="31">
        <f>'Mesh quality'!C14</f>
        <v>0.91769999999999996</v>
      </c>
      <c r="H8" s="2">
        <v>8.0985430215204806E-8</v>
      </c>
      <c r="I8" s="3">
        <v>12347901</v>
      </c>
      <c r="J8" s="3">
        <v>12345680</v>
      </c>
      <c r="K8" s="1">
        <v>8</v>
      </c>
      <c r="L8" s="1">
        <v>2</v>
      </c>
      <c r="M8" s="1">
        <v>305</v>
      </c>
      <c r="N8" s="2"/>
      <c r="O8" s="2"/>
      <c r="P8" s="96"/>
      <c r="Q8" s="8"/>
      <c r="T8" s="9">
        <v>5</v>
      </c>
      <c r="U8" s="11">
        <v>1</v>
      </c>
      <c r="V8" s="70">
        <v>2005341</v>
      </c>
      <c r="W8" s="11">
        <v>30</v>
      </c>
      <c r="X8" s="11" t="s">
        <v>38</v>
      </c>
      <c r="Y8" s="110">
        <v>0.05</v>
      </c>
      <c r="Z8" s="11">
        <v>14676705</v>
      </c>
      <c r="AA8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8" s="12">
        <f>DATE(2022,12,21)</f>
        <v>44916</v>
      </c>
      <c r="AC8" s="13">
        <f>TIME(15,34,18)</f>
        <v>0.6488194444444445</v>
      </c>
      <c r="AD8" s="14">
        <f t="shared" si="1"/>
        <v>44916.648819444446</v>
      </c>
      <c r="AE8" s="12">
        <f>DATE(2022,12,26)</f>
        <v>44921</v>
      </c>
      <c r="AF8" s="13">
        <f>TIME(0,1,3)</f>
        <v>7.291666666666667E-4</v>
      </c>
      <c r="AG8" s="14">
        <f t="shared" si="2"/>
        <v>44921.00072916667</v>
      </c>
      <c r="AH8" s="32" t="str">
        <f t="shared" si="3"/>
        <v>4-h:26:45</v>
      </c>
      <c r="AI8" s="11">
        <f t="shared" si="4"/>
        <v>376005</v>
      </c>
      <c r="AJ8" s="11">
        <v>296</v>
      </c>
      <c r="AK8" s="18">
        <f>AJ8/$M$5</f>
        <v>6.754906435417618E-2</v>
      </c>
      <c r="AL8" s="9"/>
      <c r="AM8" s="9"/>
      <c r="AN8" s="9"/>
      <c r="AO8" s="9"/>
      <c r="AP8" s="9"/>
      <c r="AQ8" s="9"/>
    </row>
    <row r="9" spans="1:43">
      <c r="A9" s="96"/>
      <c r="B9" s="1">
        <v>90</v>
      </c>
      <c r="C9" s="1">
        <f t="shared" si="0"/>
        <v>1260</v>
      </c>
      <c r="D9" s="1">
        <f>'Mesh quality'!$E$8</f>
        <v>6720</v>
      </c>
      <c r="E9" s="3">
        <f>'Mesh quality'!E15</f>
        <v>21344</v>
      </c>
      <c r="F9" s="3">
        <f t="shared" si="5"/>
        <v>28064</v>
      </c>
      <c r="G9" s="31">
        <f>'Mesh quality'!C15</f>
        <v>0.91490000000000005</v>
      </c>
      <c r="H9" s="2">
        <v>9.7182514750357399E-8</v>
      </c>
      <c r="I9" s="3">
        <v>10289917</v>
      </c>
      <c r="J9" s="3"/>
      <c r="K9" s="1">
        <v>6</v>
      </c>
      <c r="L9" s="1">
        <v>1</v>
      </c>
      <c r="M9" s="1">
        <v>173</v>
      </c>
      <c r="N9" s="2"/>
      <c r="O9" s="2"/>
      <c r="P9" s="96"/>
      <c r="Q9" s="8"/>
      <c r="R9" s="8"/>
      <c r="S9" s="8"/>
      <c r="T9" s="9">
        <v>6</v>
      </c>
      <c r="U9" s="11">
        <v>1</v>
      </c>
      <c r="V9" s="70">
        <v>2005341</v>
      </c>
      <c r="W9" s="11">
        <v>30</v>
      </c>
      <c r="X9" s="11" t="s">
        <v>38</v>
      </c>
      <c r="Y9" s="110">
        <v>7.4999999999999997E-2</v>
      </c>
      <c r="Z9" s="11">
        <v>14676708</v>
      </c>
      <c r="AA9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9" s="12">
        <f>DATE(2022,12,22)</f>
        <v>44917</v>
      </c>
      <c r="AC9" s="13">
        <f>TIME(21,2,49)</f>
        <v>0.87695601851851857</v>
      </c>
      <c r="AD9" s="14">
        <f t="shared" si="1"/>
        <v>44917.876956018517</v>
      </c>
      <c r="AE9" s="12">
        <f>DATE(2022,12,27)</f>
        <v>44922</v>
      </c>
      <c r="AF9" s="13">
        <f>TIME(3,56,4)</f>
        <v>0.16393518518518518</v>
      </c>
      <c r="AG9" s="14">
        <f t="shared" si="2"/>
        <v>44922.163935185185</v>
      </c>
      <c r="AH9" s="32" t="str">
        <f t="shared" si="3"/>
        <v>4-h:53:15</v>
      </c>
      <c r="AI9" s="11">
        <f t="shared" si="4"/>
        <v>370395</v>
      </c>
      <c r="AJ9" s="11">
        <v>342</v>
      </c>
      <c r="AK9" s="18">
        <f>AJ9/$M$5</f>
        <v>7.804655408489275E-2</v>
      </c>
      <c r="AL9" s="9"/>
      <c r="AM9" s="9"/>
      <c r="AN9" s="9"/>
      <c r="AO9" s="9"/>
      <c r="AP9" s="9"/>
      <c r="AQ9" s="9"/>
    </row>
    <row r="10" spans="1:43">
      <c r="T10" s="9">
        <v>7</v>
      </c>
      <c r="U10" s="11">
        <v>1</v>
      </c>
      <c r="V10" s="70">
        <v>2005341</v>
      </c>
      <c r="W10" s="11">
        <v>30</v>
      </c>
      <c r="X10" s="11" t="s">
        <v>38</v>
      </c>
      <c r="Y10" s="109">
        <v>0.1</v>
      </c>
      <c r="Z10" s="11">
        <v>14337851</v>
      </c>
      <c r="AA10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10" s="12">
        <f>DATE(2022,11,23)</f>
        <v>44888</v>
      </c>
      <c r="AC10" s="13">
        <f>TIME(17,3,36)</f>
        <v>0.71083333333333332</v>
      </c>
      <c r="AD10" s="14">
        <f t="shared" si="1"/>
        <v>44888.710833333331</v>
      </c>
      <c r="AE10" s="12">
        <f>DATE(2022,11,27)</f>
        <v>44892</v>
      </c>
      <c r="AF10" s="13">
        <f>TIME(18,19,24)</f>
        <v>0.76347222222222222</v>
      </c>
      <c r="AG10" s="14">
        <f t="shared" si="2"/>
        <v>44892.763472222221</v>
      </c>
      <c r="AH10" s="32" t="str">
        <f t="shared" si="3"/>
        <v>4-h:15:48</v>
      </c>
      <c r="AI10" s="11">
        <f t="shared" si="4"/>
        <v>350148</v>
      </c>
      <c r="AJ10" s="11">
        <v>312</v>
      </c>
      <c r="AK10" s="18">
        <f>AJ10/$M$5</f>
        <v>7.1200365130077589E-2</v>
      </c>
      <c r="AL10" s="9"/>
      <c r="AM10" s="9"/>
      <c r="AN10" s="9"/>
      <c r="AO10" s="9"/>
      <c r="AP10" s="9"/>
      <c r="AQ10" s="9"/>
    </row>
    <row r="11" spans="1:43">
      <c r="A11" s="1" t="s">
        <v>1</v>
      </c>
      <c r="B11" s="1" t="s">
        <v>39</v>
      </c>
      <c r="C11" s="1" t="s">
        <v>40</v>
      </c>
      <c r="D11" s="1" t="s">
        <v>41</v>
      </c>
      <c r="E11" s="1" t="s">
        <v>42</v>
      </c>
      <c r="T11" s="9">
        <v>8</v>
      </c>
      <c r="U11" s="11">
        <v>1</v>
      </c>
      <c r="V11" s="70">
        <v>2005341</v>
      </c>
      <c r="W11" s="11">
        <v>30</v>
      </c>
      <c r="X11" s="11" t="s">
        <v>38</v>
      </c>
      <c r="Y11" s="110">
        <v>0.15</v>
      </c>
      <c r="Z11" s="11">
        <v>14676713</v>
      </c>
      <c r="AA11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11" s="12">
        <f>DATE(2022,12,23)</f>
        <v>44918</v>
      </c>
      <c r="AC11" s="13">
        <f>TIME(19,23,12)</f>
        <v>0.80777777777777782</v>
      </c>
      <c r="AD11" s="14">
        <f t="shared" si="1"/>
        <v>44918.80777777778</v>
      </c>
      <c r="AE11" s="12">
        <f>DATE(2022,12,27)</f>
        <v>44922</v>
      </c>
      <c r="AF11" s="13">
        <f>TIME(20,27,23)</f>
        <v>0.85234953703703698</v>
      </c>
      <c r="AG11" s="14">
        <f t="shared" si="2"/>
        <v>44922.852349537039</v>
      </c>
      <c r="AH11" s="32" t="str">
        <f t="shared" si="3"/>
        <v>4-h:4:11</v>
      </c>
      <c r="AI11" s="11">
        <f t="shared" si="4"/>
        <v>349451</v>
      </c>
      <c r="AJ11" s="11">
        <v>251</v>
      </c>
      <c r="AK11" s="18">
        <f>AJ11/$M$5</f>
        <v>5.7279780921953447E-2</v>
      </c>
      <c r="AL11" s="9"/>
      <c r="AM11" s="9"/>
      <c r="AN11" s="9"/>
      <c r="AO11" s="9"/>
      <c r="AP11" s="9"/>
      <c r="AQ11" s="9"/>
    </row>
    <row r="12" spans="1:43">
      <c r="A12" s="1">
        <v>30</v>
      </c>
      <c r="B12" s="1">
        <v>189504</v>
      </c>
      <c r="C12" s="1">
        <v>4382</v>
      </c>
      <c r="D12" s="1">
        <f>B12+C12</f>
        <v>193886</v>
      </c>
      <c r="E12" s="3">
        <f>AVERAGE(AI4,AI44)</f>
        <v>601823.5</v>
      </c>
      <c r="F12" s="1"/>
      <c r="G12" s="1"/>
      <c r="H12" s="1"/>
      <c r="I12" s="1"/>
      <c r="J12" s="1"/>
      <c r="K12" s="1"/>
      <c r="L12" s="1"/>
      <c r="T12" s="9">
        <v>9</v>
      </c>
      <c r="U12" s="11">
        <v>1</v>
      </c>
      <c r="V12" s="70">
        <v>2005341</v>
      </c>
      <c r="W12" s="11">
        <v>30</v>
      </c>
      <c r="X12" s="11" t="s">
        <v>38</v>
      </c>
      <c r="Y12" s="15">
        <v>0.2</v>
      </c>
      <c r="Z12" s="11">
        <v>14676731</v>
      </c>
      <c r="AA12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12" s="12">
        <f>DATE(2022,12,23)</f>
        <v>44918</v>
      </c>
      <c r="AC12" s="13">
        <f>TIME(23,10,26)</f>
        <v>0.96557870370370369</v>
      </c>
      <c r="AD12" s="14">
        <f t="shared" si="1"/>
        <v>44918.965578703705</v>
      </c>
      <c r="AE12" s="12">
        <f>DATE(2022,12,27)</f>
        <v>44922</v>
      </c>
      <c r="AF12" s="13">
        <f>TIME(20,6,51)</f>
        <v>0.83809027777777778</v>
      </c>
      <c r="AG12" s="14">
        <f t="shared" si="2"/>
        <v>44922.838090277779</v>
      </c>
      <c r="AH12" s="32" t="str">
        <f t="shared" si="3"/>
        <v>3-h:56:25</v>
      </c>
      <c r="AI12" s="11">
        <f t="shared" si="4"/>
        <v>334585</v>
      </c>
      <c r="AJ12" s="11">
        <v>302</v>
      </c>
      <c r="AK12" s="18">
        <f>AJ12/$M$5</f>
        <v>6.8918302145139207E-2</v>
      </c>
      <c r="AL12" s="9"/>
      <c r="AM12" s="9"/>
      <c r="AN12" s="9"/>
      <c r="AO12" s="9"/>
      <c r="AP12" s="9"/>
      <c r="AQ12" s="9"/>
    </row>
    <row r="13" spans="1:43">
      <c r="A13" s="1">
        <v>45</v>
      </c>
      <c r="B13" s="1">
        <v>91086</v>
      </c>
      <c r="C13" s="1">
        <v>1331</v>
      </c>
      <c r="D13" s="1">
        <f t="shared" ref="D13:D15" si="6">B13+C13</f>
        <v>92417</v>
      </c>
      <c r="E13" s="3">
        <f>AVERAGE(AI14,AI54)</f>
        <v>315084</v>
      </c>
      <c r="F13" s="16"/>
      <c r="G13" s="16"/>
      <c r="H13" s="16"/>
      <c r="I13" s="16"/>
      <c r="J13" s="16"/>
      <c r="K13" s="16"/>
      <c r="L13" s="16"/>
      <c r="T13" s="9">
        <v>10</v>
      </c>
      <c r="U13" s="11">
        <v>1</v>
      </c>
      <c r="V13" s="70">
        <v>2005341</v>
      </c>
      <c r="W13" s="11">
        <v>30</v>
      </c>
      <c r="X13" s="11" t="s">
        <v>38</v>
      </c>
      <c r="Y13" s="16">
        <v>0.25</v>
      </c>
      <c r="Z13" s="11">
        <v>14676744</v>
      </c>
      <c r="AA13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13" s="12">
        <f>DATE(2022,12,24)</f>
        <v>44919</v>
      </c>
      <c r="AC13" s="13">
        <f>TIME(4,42,27)</f>
        <v>0.19614583333333332</v>
      </c>
      <c r="AD13" s="14">
        <f t="shared" si="1"/>
        <v>44919.196145833332</v>
      </c>
      <c r="AE13" s="12">
        <f>DATE(2022,12,27)</f>
        <v>44922</v>
      </c>
      <c r="AF13" s="13">
        <f>TIME(20,35,6)</f>
        <v>0.85770833333333341</v>
      </c>
      <c r="AG13" s="14">
        <f t="shared" si="2"/>
        <v>44922.857708333337</v>
      </c>
      <c r="AH13" s="32" t="str">
        <f t="shared" si="3"/>
        <v>3-h:52:39</v>
      </c>
      <c r="AI13" s="11">
        <f t="shared" si="4"/>
        <v>316359</v>
      </c>
      <c r="AJ13" s="11">
        <v>413</v>
      </c>
      <c r="AK13" s="18">
        <f>AJ13/$M$5</f>
        <v>9.4249201277955275E-2</v>
      </c>
      <c r="AL13" s="9"/>
      <c r="AM13" s="9"/>
      <c r="AN13" s="9"/>
      <c r="AO13" s="9"/>
      <c r="AP13" s="9"/>
      <c r="AQ13" s="9"/>
    </row>
    <row r="14" spans="1:43">
      <c r="A14" s="1">
        <v>60</v>
      </c>
      <c r="B14" s="1">
        <v>68424</v>
      </c>
      <c r="C14" s="1">
        <v>522</v>
      </c>
      <c r="D14" s="1">
        <f t="shared" si="6"/>
        <v>68946</v>
      </c>
      <c r="E14" s="3">
        <f>AVERAGE(AI24,AI64)</f>
        <v>214389.5</v>
      </c>
      <c r="F14" s="11"/>
      <c r="G14" s="11"/>
      <c r="H14" s="11"/>
      <c r="I14" s="11"/>
      <c r="J14" s="11"/>
      <c r="K14" s="11"/>
      <c r="L14" s="11"/>
      <c r="T14" s="9">
        <v>11</v>
      </c>
      <c r="U14" s="11">
        <v>1</v>
      </c>
      <c r="V14" s="70">
        <v>2005341</v>
      </c>
      <c r="W14" s="11">
        <v>45</v>
      </c>
      <c r="X14" s="11" t="s">
        <v>36</v>
      </c>
      <c r="Y14" s="15" t="s">
        <v>37</v>
      </c>
      <c r="Z14" s="11">
        <v>14337109</v>
      </c>
      <c r="AA14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20579835</v>
      </c>
      <c r="AB14" s="12">
        <f>DATE(2022,11,23)</f>
        <v>44888</v>
      </c>
      <c r="AC14" s="13">
        <f>TIME(14,54,44)</f>
        <v>0.62134259259259261</v>
      </c>
      <c r="AD14" s="14">
        <f t="shared" si="1"/>
        <v>44888.621342592596</v>
      </c>
      <c r="AE14" s="12">
        <f>DATE(2022,11,27)</f>
        <v>44892</v>
      </c>
      <c r="AF14" s="13">
        <f>TIME(6,23,48)</f>
        <v>0.26652777777777775</v>
      </c>
      <c r="AG14" s="14">
        <f t="shared" si="2"/>
        <v>44892.266527777778</v>
      </c>
      <c r="AH14" s="32" t="str">
        <f t="shared" si="3"/>
        <v>3-h:29:4</v>
      </c>
      <c r="AI14" s="11">
        <f t="shared" si="4"/>
        <v>314943</v>
      </c>
      <c r="AJ14" s="11">
        <v>1226</v>
      </c>
      <c r="AK14" s="18">
        <f>AJ14/$M$6</f>
        <v>0.9211119459053343</v>
      </c>
      <c r="AL14" s="9"/>
      <c r="AM14" s="9"/>
      <c r="AN14" s="9"/>
      <c r="AO14" s="9"/>
      <c r="AP14" s="9"/>
      <c r="AQ14" s="9"/>
    </row>
    <row r="15" spans="1:43">
      <c r="A15" s="1">
        <v>75</v>
      </c>
      <c r="B15" s="1">
        <v>57674</v>
      </c>
      <c r="C15" s="1">
        <v>305</v>
      </c>
      <c r="D15" s="1">
        <f t="shared" si="6"/>
        <v>57979</v>
      </c>
      <c r="E15" s="3">
        <f>AVERAGE(AI34,AI74)</f>
        <v>171250.5</v>
      </c>
      <c r="F15" s="11"/>
      <c r="G15" s="11"/>
      <c r="H15" s="11"/>
      <c r="I15" s="11"/>
      <c r="J15" s="11"/>
      <c r="K15" s="11"/>
      <c r="L15" s="11"/>
      <c r="T15" s="9">
        <v>12</v>
      </c>
      <c r="U15" s="11">
        <v>1</v>
      </c>
      <c r="V15" s="70">
        <v>2005341</v>
      </c>
      <c r="W15" s="11">
        <v>45</v>
      </c>
      <c r="X15" s="11" t="s">
        <v>38</v>
      </c>
      <c r="Y15" s="16">
        <v>1E-3</v>
      </c>
      <c r="Z15" s="11">
        <v>14676764</v>
      </c>
      <c r="AA15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15" s="12">
        <f>DATE(2022,12,24)</f>
        <v>44919</v>
      </c>
      <c r="AC15" s="13">
        <f>TIME(6,0,9)</f>
        <v>0.25010416666666668</v>
      </c>
      <c r="AD15" s="14">
        <f t="shared" si="1"/>
        <v>44919.250104166669</v>
      </c>
      <c r="AE15" s="12">
        <f>DATE(2022,12,26)</f>
        <v>44921</v>
      </c>
      <c r="AF15" s="13">
        <f>TIME(17,50,17)</f>
        <v>0.7432523148148148</v>
      </c>
      <c r="AG15" s="14">
        <f t="shared" si="2"/>
        <v>44921.743252314816</v>
      </c>
      <c r="AH15" s="32" t="str">
        <f t="shared" si="3"/>
        <v>2-h:50:8</v>
      </c>
      <c r="AI15" s="11">
        <f t="shared" si="4"/>
        <v>215407</v>
      </c>
      <c r="AJ15" s="11">
        <v>746</v>
      </c>
      <c r="AK15" s="18">
        <f>AJ15/$M$6</f>
        <v>0.56048084147257704</v>
      </c>
      <c r="AL15" s="9"/>
      <c r="AM15" s="9"/>
      <c r="AN15" s="9"/>
      <c r="AO15" s="9"/>
      <c r="AP15" s="9"/>
      <c r="AQ15" s="9"/>
    </row>
    <row r="16" spans="1:43">
      <c r="A16" s="9"/>
      <c r="B16" s="3"/>
      <c r="C16" s="11"/>
      <c r="D16" s="11"/>
      <c r="E16" s="11"/>
      <c r="F16" s="11"/>
      <c r="G16" s="11"/>
      <c r="H16" s="11"/>
      <c r="I16" s="11"/>
      <c r="J16" s="11"/>
      <c r="K16" s="11"/>
      <c r="L16" s="11"/>
      <c r="T16" s="9">
        <v>13</v>
      </c>
      <c r="U16" s="11">
        <v>1</v>
      </c>
      <c r="V16" s="70">
        <v>2005341</v>
      </c>
      <c r="W16" s="11">
        <v>45</v>
      </c>
      <c r="X16" s="11" t="s">
        <v>38</v>
      </c>
      <c r="Y16" s="16">
        <v>5.0000000000000001E-3</v>
      </c>
      <c r="Z16" s="11">
        <v>14676768</v>
      </c>
      <c r="AA16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16" s="12">
        <f>DATE(2022,12,24)</f>
        <v>44919</v>
      </c>
      <c r="AC16" s="13">
        <f>TIME(8,32,58)</f>
        <v>0.35622685185185188</v>
      </c>
      <c r="AD16" s="14">
        <f t="shared" si="1"/>
        <v>44919.356226851851</v>
      </c>
      <c r="AE16" s="12">
        <f>DATE(2022,12,26)</f>
        <v>44921</v>
      </c>
      <c r="AF16" s="13">
        <f>TIME(18,5,34)</f>
        <v>0.75386574074074064</v>
      </c>
      <c r="AG16" s="14">
        <f t="shared" si="2"/>
        <v>44921.753865740742</v>
      </c>
      <c r="AH16" s="32" t="str">
        <f t="shared" si="3"/>
        <v>2-h:32:36</v>
      </c>
      <c r="AI16" s="11">
        <f t="shared" si="4"/>
        <v>207156</v>
      </c>
      <c r="AJ16" s="11">
        <v>680</v>
      </c>
      <c r="AK16" s="18">
        <f>AJ16/$M$6</f>
        <v>0.51089406461307285</v>
      </c>
      <c r="AL16" s="9"/>
      <c r="AM16" s="9"/>
      <c r="AN16" s="9"/>
      <c r="AO16" s="9"/>
      <c r="AP16" s="9"/>
      <c r="AQ16" s="9"/>
    </row>
    <row r="17" spans="1:43">
      <c r="A17" s="9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T17" s="9">
        <v>14</v>
      </c>
      <c r="U17" s="11">
        <v>1</v>
      </c>
      <c r="V17" s="70">
        <v>2005341</v>
      </c>
      <c r="W17" s="11">
        <v>45</v>
      </c>
      <c r="X17" s="11" t="s">
        <v>38</v>
      </c>
      <c r="Y17" s="16">
        <v>2.5000000000000001E-2</v>
      </c>
      <c r="Z17" s="11">
        <v>14676776</v>
      </c>
      <c r="AA17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17" s="12">
        <f>DATE(2022,12,24)</f>
        <v>44919</v>
      </c>
      <c r="AC17" s="13">
        <f>TIME(20,33,29)</f>
        <v>0.85658564814814808</v>
      </c>
      <c r="AD17" s="14">
        <f t="shared" si="1"/>
        <v>44919.856585648151</v>
      </c>
      <c r="AE17" s="12">
        <f>DATE(2022,12,27)</f>
        <v>44922</v>
      </c>
      <c r="AF17" s="13">
        <f>TIME(5,47,9)</f>
        <v>0.24107638888888891</v>
      </c>
      <c r="AG17" s="14">
        <f t="shared" si="2"/>
        <v>44922.241076388891</v>
      </c>
      <c r="AH17" s="32" t="str">
        <f t="shared" si="3"/>
        <v>2-h:13:40</v>
      </c>
      <c r="AI17" s="11">
        <f t="shared" si="4"/>
        <v>206019</v>
      </c>
      <c r="AJ17" s="11">
        <v>542</v>
      </c>
      <c r="AK17" s="18">
        <f>AJ17/$M$6</f>
        <v>0.40721262208865516</v>
      </c>
      <c r="AL17" s="9"/>
      <c r="AM17" s="9"/>
      <c r="AN17" s="9"/>
      <c r="AO17" s="9"/>
      <c r="AP17" s="9"/>
      <c r="AQ17" s="9"/>
    </row>
    <row r="18" spans="1:43">
      <c r="T18" s="9">
        <v>15</v>
      </c>
      <c r="U18" s="11">
        <v>1</v>
      </c>
      <c r="V18" s="70">
        <v>2005341</v>
      </c>
      <c r="W18" s="11">
        <v>45</v>
      </c>
      <c r="X18" s="11" t="s">
        <v>38</v>
      </c>
      <c r="Y18" s="16">
        <v>0.05</v>
      </c>
      <c r="Z18" s="11">
        <v>14676788</v>
      </c>
      <c r="AA18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18" s="12">
        <f>DATE(2022,12,24)</f>
        <v>44919</v>
      </c>
      <c r="AC18" s="13">
        <f>TIME(20,33,29)</f>
        <v>0.85658564814814808</v>
      </c>
      <c r="AD18" s="14">
        <f t="shared" si="1"/>
        <v>44919.856585648151</v>
      </c>
      <c r="AE18" s="12">
        <f>DATE(2022,12,27)</f>
        <v>44922</v>
      </c>
      <c r="AF18" s="13">
        <f>TIME(8,23,49)</f>
        <v>0.34987268518518522</v>
      </c>
      <c r="AG18" s="14">
        <f t="shared" si="2"/>
        <v>44922.349872685183</v>
      </c>
      <c r="AH18" s="32" t="str">
        <f t="shared" si="3"/>
        <v>2-h:50:20</v>
      </c>
      <c r="AI18" s="11">
        <f t="shared" si="4"/>
        <v>215419</v>
      </c>
      <c r="AJ18" s="11">
        <v>430</v>
      </c>
      <c r="AK18" s="18">
        <f>AJ18/$M$6</f>
        <v>0.32306536438767841</v>
      </c>
      <c r="AL18" s="9"/>
      <c r="AM18" s="9"/>
      <c r="AN18" s="9"/>
      <c r="AO18" s="9"/>
      <c r="AP18" s="9"/>
      <c r="AQ18" s="9"/>
    </row>
    <row r="19" spans="1:43">
      <c r="T19" s="9">
        <v>16</v>
      </c>
      <c r="U19" s="11">
        <v>1</v>
      </c>
      <c r="V19" s="70">
        <v>2005341</v>
      </c>
      <c r="W19" s="11">
        <v>45</v>
      </c>
      <c r="X19" s="11" t="s">
        <v>38</v>
      </c>
      <c r="Y19" s="16">
        <v>7.4999999999999997E-2</v>
      </c>
      <c r="Z19" s="11">
        <v>14676796</v>
      </c>
      <c r="AA19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19" s="12">
        <f>DATE(2022,12,24)</f>
        <v>44919</v>
      </c>
      <c r="AC19" s="13">
        <f>TIME(20,33,29)</f>
        <v>0.85658564814814808</v>
      </c>
      <c r="AD19" s="14">
        <f t="shared" si="1"/>
        <v>44919.856585648151</v>
      </c>
      <c r="AE19" s="12">
        <f>DATE(2022,12,27)</f>
        <v>44922</v>
      </c>
      <c r="AF19" s="13">
        <f>TIME(7,34,37)</f>
        <v>0.31570601851851854</v>
      </c>
      <c r="AG19" s="14">
        <f t="shared" si="2"/>
        <v>44922.315706018519</v>
      </c>
      <c r="AH19" s="32" t="str">
        <f t="shared" si="3"/>
        <v>2-h:1:8</v>
      </c>
      <c r="AI19" s="11">
        <f t="shared" si="4"/>
        <v>212467</v>
      </c>
      <c r="AJ19" s="11">
        <v>318</v>
      </c>
      <c r="AK19" s="18">
        <f>AJ19/$M$6</f>
        <v>0.23891810668670171</v>
      </c>
      <c r="AL19" s="9"/>
      <c r="AM19" s="9"/>
      <c r="AN19" s="9"/>
      <c r="AO19" s="9"/>
      <c r="AP19" s="9"/>
      <c r="AQ19" s="9"/>
    </row>
    <row r="20" spans="1:43">
      <c r="T20" s="9">
        <v>17</v>
      </c>
      <c r="U20" s="11">
        <v>1</v>
      </c>
      <c r="V20" s="70">
        <v>2005341</v>
      </c>
      <c r="W20" s="11">
        <v>45</v>
      </c>
      <c r="X20" s="11" t="s">
        <v>38</v>
      </c>
      <c r="Y20" s="16">
        <v>0.1</v>
      </c>
      <c r="Z20" s="11">
        <v>14337856</v>
      </c>
      <c r="AA20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20" s="12">
        <f>DATE(2022,11,24)</f>
        <v>44889</v>
      </c>
      <c r="AC20" s="13">
        <f>TIME(2,9,33)</f>
        <v>8.9965277777777783E-2</v>
      </c>
      <c r="AD20" s="14">
        <f t="shared" si="1"/>
        <v>44889.089965277781</v>
      </c>
      <c r="AE20" s="12">
        <f>DATE(2022,11,26)</f>
        <v>44891</v>
      </c>
      <c r="AF20" s="13">
        <f>TIME(12,56,34)</f>
        <v>0.5392824074074074</v>
      </c>
      <c r="AG20" s="14">
        <f t="shared" si="2"/>
        <v>44891.539282407408</v>
      </c>
      <c r="AH20" s="32" t="str">
        <f t="shared" si="3"/>
        <v>2-h:47:1</v>
      </c>
      <c r="AI20" s="11">
        <f t="shared" si="4"/>
        <v>211620</v>
      </c>
      <c r="AJ20" s="11">
        <v>419</v>
      </c>
      <c r="AK20" s="18">
        <f>AJ20/$M$6</f>
        <v>0.31480090157776108</v>
      </c>
      <c r="AL20" s="9"/>
      <c r="AM20" s="9"/>
      <c r="AN20" s="9"/>
      <c r="AO20" s="9"/>
      <c r="AP20" s="9"/>
      <c r="AQ20" s="9"/>
    </row>
    <row r="21" spans="1:43">
      <c r="T21" s="9">
        <v>18</v>
      </c>
      <c r="U21" s="11">
        <v>1</v>
      </c>
      <c r="V21" s="70">
        <v>2005341</v>
      </c>
      <c r="W21" s="11">
        <v>45</v>
      </c>
      <c r="X21" s="11" t="s">
        <v>38</v>
      </c>
      <c r="Y21" s="15">
        <v>0.15</v>
      </c>
      <c r="Z21" s="11">
        <v>14676803</v>
      </c>
      <c r="AA21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21" s="12">
        <f>DATE(2022,12,25)</f>
        <v>44920</v>
      </c>
      <c r="AC21" s="13">
        <f>TIME(0,11,4)</f>
        <v>7.6851851851851847E-3</v>
      </c>
      <c r="AD21" s="14">
        <f t="shared" si="1"/>
        <v>44920.007685185185</v>
      </c>
      <c r="AE21" s="12">
        <f>DATE(2022,12,27)</f>
        <v>44922</v>
      </c>
      <c r="AF21" s="13">
        <f>TIME(9,37,2)</f>
        <v>0.4007175925925926</v>
      </c>
      <c r="AG21" s="14">
        <f t="shared" si="2"/>
        <v>44922.400717592594</v>
      </c>
      <c r="AH21" s="32" t="str">
        <f t="shared" si="3"/>
        <v>2-h:25:58</v>
      </c>
      <c r="AI21" s="11">
        <f t="shared" si="4"/>
        <v>206758</v>
      </c>
      <c r="AJ21" s="11">
        <v>496</v>
      </c>
      <c r="AK21" s="18">
        <f>AJ21/$M$6</f>
        <v>0.37265214124718254</v>
      </c>
      <c r="AL21" s="9"/>
      <c r="AM21" s="9"/>
      <c r="AN21" s="9"/>
      <c r="AO21" s="9"/>
      <c r="AP21" s="9"/>
      <c r="AQ21" s="9"/>
    </row>
    <row r="22" spans="1:43">
      <c r="T22" s="9">
        <v>19</v>
      </c>
      <c r="U22" s="11">
        <v>1</v>
      </c>
      <c r="V22" s="70">
        <v>2005341</v>
      </c>
      <c r="W22" s="11">
        <v>45</v>
      </c>
      <c r="X22" s="11" t="s">
        <v>38</v>
      </c>
      <c r="Y22" s="15">
        <v>0.2</v>
      </c>
      <c r="Z22" s="11">
        <v>14676806</v>
      </c>
      <c r="AA22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22" s="12">
        <f>DATE(2022,12,25)</f>
        <v>44920</v>
      </c>
      <c r="AC22" s="13">
        <f>TIME(2,1,48)</f>
        <v>8.458333333333333E-2</v>
      </c>
      <c r="AD22" s="14">
        <f t="shared" si="1"/>
        <v>44920.084583333337</v>
      </c>
      <c r="AE22" s="12">
        <f>DATE(2022,12,27)</f>
        <v>44922</v>
      </c>
      <c r="AF22" s="13">
        <f>TIME(11,30,0)</f>
        <v>0.47916666666666669</v>
      </c>
      <c r="AG22" s="14">
        <f t="shared" si="2"/>
        <v>44922.479166666664</v>
      </c>
      <c r="AH22" s="32" t="str">
        <f t="shared" si="3"/>
        <v>2-h:28:12</v>
      </c>
      <c r="AI22" s="11">
        <f t="shared" si="4"/>
        <v>206891</v>
      </c>
      <c r="AJ22" s="11">
        <v>236</v>
      </c>
      <c r="AK22" s="18">
        <f>AJ22/$M$6</f>
        <v>0.17731029301277235</v>
      </c>
      <c r="AL22" s="9"/>
      <c r="AM22" s="9"/>
      <c r="AN22" s="9"/>
      <c r="AO22" s="9"/>
      <c r="AP22" s="9"/>
      <c r="AQ22" s="9"/>
    </row>
    <row r="23" spans="1:43">
      <c r="T23" s="9">
        <v>20</v>
      </c>
      <c r="U23" s="11">
        <v>1</v>
      </c>
      <c r="V23" s="70">
        <v>2005341</v>
      </c>
      <c r="W23" s="11">
        <v>45</v>
      </c>
      <c r="X23" s="11" t="s">
        <v>38</v>
      </c>
      <c r="Y23" s="15">
        <v>0.25</v>
      </c>
      <c r="Z23" s="11">
        <v>14676807</v>
      </c>
      <c r="AA23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23" s="12">
        <f>DATE(2022,12,25)</f>
        <v>44920</v>
      </c>
      <c r="AC23" s="13">
        <f>TIME(3,43,12)</f>
        <v>0.155</v>
      </c>
      <c r="AD23" s="14">
        <f t="shared" si="1"/>
        <v>44920.154999999999</v>
      </c>
      <c r="AE23" s="12">
        <f>DATE(2022,12,27)</f>
        <v>44922</v>
      </c>
      <c r="AF23" s="13">
        <f>TIME(13,16,56)</f>
        <v>0.55342592592592588</v>
      </c>
      <c r="AG23" s="14">
        <f t="shared" si="2"/>
        <v>44922.553425925929</v>
      </c>
      <c r="AH23" s="32" t="str">
        <f t="shared" si="3"/>
        <v>2-h:33:44</v>
      </c>
      <c r="AI23" s="11">
        <f t="shared" si="4"/>
        <v>207224</v>
      </c>
      <c r="AJ23" s="11">
        <v>346</v>
      </c>
      <c r="AK23" s="18">
        <f>AJ23/$M$6</f>
        <v>0.2599549211119459</v>
      </c>
      <c r="AL23" s="9"/>
      <c r="AM23" s="9"/>
      <c r="AN23" s="9"/>
      <c r="AO23" s="9"/>
      <c r="AP23" s="9"/>
      <c r="AQ23" s="9"/>
    </row>
    <row r="24" spans="1:43">
      <c r="T24" s="9">
        <v>21</v>
      </c>
      <c r="U24" s="11">
        <v>1</v>
      </c>
      <c r="V24" s="70">
        <v>2005341</v>
      </c>
      <c r="W24" s="11">
        <v>60</v>
      </c>
      <c r="X24" s="11" t="s">
        <v>36</v>
      </c>
      <c r="Y24" s="15" t="s">
        <v>37</v>
      </c>
      <c r="Z24" s="11">
        <v>14337121</v>
      </c>
      <c r="AA24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15434875</v>
      </c>
      <c r="AB24" s="12">
        <f>DATE(2022,11,23)</f>
        <v>44888</v>
      </c>
      <c r="AC24" s="13">
        <f>TIME(14,59,47)</f>
        <v>0.62484953703703705</v>
      </c>
      <c r="AD24" s="14">
        <f t="shared" si="1"/>
        <v>44888.624849537038</v>
      </c>
      <c r="AE24" s="12">
        <f>DATE(2022,11,26)</f>
        <v>44891</v>
      </c>
      <c r="AF24" s="13">
        <f>TIME(4,14,23)</f>
        <v>0.1766550925925926</v>
      </c>
      <c r="AG24" s="14">
        <f t="shared" si="2"/>
        <v>44891.176655092589</v>
      </c>
      <c r="AH24" s="32" t="str">
        <f t="shared" si="3"/>
        <v>2-h:14:36</v>
      </c>
      <c r="AI24" s="11">
        <f t="shared" si="4"/>
        <v>220475</v>
      </c>
      <c r="AJ24" s="11">
        <v>495</v>
      </c>
      <c r="AK24" s="18">
        <f>AJ24/$M$7</f>
        <v>0.94827586206896552</v>
      </c>
      <c r="AL24" s="9"/>
      <c r="AM24" s="9"/>
      <c r="AN24" s="9"/>
      <c r="AO24" s="9"/>
      <c r="AP24" s="9"/>
      <c r="AQ24" s="9"/>
    </row>
    <row r="25" spans="1:43">
      <c r="T25" s="9">
        <v>22</v>
      </c>
      <c r="U25" s="11">
        <v>1</v>
      </c>
      <c r="V25" s="70">
        <v>2005341</v>
      </c>
      <c r="W25" s="11">
        <v>60</v>
      </c>
      <c r="X25" s="11" t="s">
        <v>38</v>
      </c>
      <c r="Y25" s="15">
        <v>1E-3</v>
      </c>
      <c r="Z25" s="11">
        <v>14676809</v>
      </c>
      <c r="AA25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25" s="12">
        <f>DATE(2022,12,25)</f>
        <v>44920</v>
      </c>
      <c r="AC25" s="13">
        <f>TIME(22,13,13)</f>
        <v>0.92584490740740744</v>
      </c>
      <c r="AD25" s="14">
        <f t="shared" si="1"/>
        <v>44920.925844907404</v>
      </c>
      <c r="AE25" s="12">
        <f>DATE(2022,12,27)</f>
        <v>44922</v>
      </c>
      <c r="AF25" s="13">
        <f>TIME(16,32,20)</f>
        <v>0.68912037037037033</v>
      </c>
      <c r="AG25" s="14">
        <f t="shared" si="2"/>
        <v>44922.689120370371</v>
      </c>
      <c r="AH25" s="32" t="str">
        <f t="shared" si="3"/>
        <v>1-h:19:7</v>
      </c>
      <c r="AI25" s="11">
        <f t="shared" si="4"/>
        <v>152347</v>
      </c>
      <c r="AJ25" s="11">
        <v>404</v>
      </c>
      <c r="AK25" s="18">
        <f>AJ25/$M$7</f>
        <v>0.77394636015325668</v>
      </c>
      <c r="AL25" s="9"/>
      <c r="AM25" s="9"/>
      <c r="AN25" s="9"/>
      <c r="AO25" s="9"/>
      <c r="AP25" s="9"/>
      <c r="AQ25" s="9"/>
    </row>
    <row r="26" spans="1:43">
      <c r="T26" s="9">
        <v>23</v>
      </c>
      <c r="U26" s="11">
        <v>1</v>
      </c>
      <c r="V26" s="70">
        <v>2005341</v>
      </c>
      <c r="W26" s="11">
        <v>60</v>
      </c>
      <c r="X26" s="11" t="s">
        <v>38</v>
      </c>
      <c r="Y26" s="16">
        <v>5.0000000000000001E-3</v>
      </c>
      <c r="Z26" s="11">
        <v>14801266</v>
      </c>
      <c r="AA26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26" s="12">
        <f>DATE(2022,12,30)</f>
        <v>44925</v>
      </c>
      <c r="AC26" s="13">
        <f>TIME(14,49,26)</f>
        <v>0.61766203703703704</v>
      </c>
      <c r="AD26" s="14">
        <f t="shared" si="1"/>
        <v>44925.617662037039</v>
      </c>
      <c r="AE26" s="12">
        <f>DATE(2023,1,1)</f>
        <v>44927</v>
      </c>
      <c r="AF26" s="13">
        <f>TIME(11,18,40)</f>
        <v>0.47129629629629632</v>
      </c>
      <c r="AG26" s="14">
        <f t="shared" si="2"/>
        <v>44927.471296296295</v>
      </c>
      <c r="AH26" s="32" t="str">
        <f t="shared" si="3"/>
        <v>1-h:29:14</v>
      </c>
      <c r="AI26" s="11">
        <f t="shared" si="4"/>
        <v>160153</v>
      </c>
      <c r="AJ26" s="11">
        <v>372</v>
      </c>
      <c r="AK26" s="18">
        <f>AJ26/$M$7</f>
        <v>0.71264367816091956</v>
      </c>
      <c r="AL26" s="9"/>
      <c r="AM26" s="9"/>
      <c r="AN26" s="9"/>
      <c r="AO26" s="9"/>
      <c r="AP26" s="9"/>
      <c r="AQ26" s="9"/>
    </row>
    <row r="27" spans="1:43">
      <c r="T27" s="9">
        <v>24</v>
      </c>
      <c r="U27" s="11">
        <v>1</v>
      </c>
      <c r="V27" s="70">
        <v>2005341</v>
      </c>
      <c r="W27" s="11">
        <v>60</v>
      </c>
      <c r="X27" s="11" t="s">
        <v>38</v>
      </c>
      <c r="Y27" s="16">
        <v>2.5000000000000001E-2</v>
      </c>
      <c r="Z27" s="11">
        <v>14814281</v>
      </c>
      <c r="AA27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27" s="12">
        <f>DATE(2023,1,2)</f>
        <v>44928</v>
      </c>
      <c r="AC27" s="13">
        <f>TIME(15,34,44)</f>
        <v>0.6491203703703704</v>
      </c>
      <c r="AD27" s="14">
        <f t="shared" si="1"/>
        <v>44928.64912037037</v>
      </c>
      <c r="AE27" s="12">
        <f>DATE(2023,1,4)</f>
        <v>44930</v>
      </c>
      <c r="AF27" s="13">
        <f>TIME(9,54,9)</f>
        <v>0.41260416666666666</v>
      </c>
      <c r="AG27" s="14">
        <f t="shared" si="2"/>
        <v>44930.412604166668</v>
      </c>
      <c r="AH27" s="32" t="str">
        <f t="shared" si="3"/>
        <v>1-h:19:25</v>
      </c>
      <c r="AI27" s="11">
        <f t="shared" si="4"/>
        <v>152365</v>
      </c>
      <c r="AJ27" s="11">
        <v>244</v>
      </c>
      <c r="AK27" s="18">
        <f>AJ27/$M$7</f>
        <v>0.46743295019157088</v>
      </c>
      <c r="AL27" s="9"/>
      <c r="AM27" s="9"/>
      <c r="AN27" s="9"/>
      <c r="AO27" s="9"/>
      <c r="AP27" s="9"/>
      <c r="AQ27" s="9"/>
    </row>
    <row r="28" spans="1:43">
      <c r="T28" s="9">
        <v>25</v>
      </c>
      <c r="U28" s="11">
        <v>1</v>
      </c>
      <c r="V28" s="70">
        <v>2005341</v>
      </c>
      <c r="W28" s="11">
        <v>60</v>
      </c>
      <c r="X28" s="11" t="s">
        <v>38</v>
      </c>
      <c r="Y28" s="16">
        <v>0.05</v>
      </c>
      <c r="Z28" s="11">
        <v>14814290</v>
      </c>
      <c r="AA28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28" s="12">
        <f>DATE(2023,1,2)</f>
        <v>44928</v>
      </c>
      <c r="AC28" s="13">
        <f>TIME(15,34,44)</f>
        <v>0.6491203703703704</v>
      </c>
      <c r="AD28" s="14">
        <f t="shared" si="1"/>
        <v>44928.64912037037</v>
      </c>
      <c r="AE28" s="12">
        <f>DATE(2023,1,4)</f>
        <v>44930</v>
      </c>
      <c r="AF28" s="13">
        <f>TIME(11,32,11)</f>
        <v>0.48068287037037033</v>
      </c>
      <c r="AG28" s="14">
        <f t="shared" si="2"/>
        <v>44930.480682870373</v>
      </c>
      <c r="AH28" s="32" t="str">
        <f t="shared" si="3"/>
        <v>1-h:57:27</v>
      </c>
      <c r="AI28" s="11">
        <f t="shared" si="4"/>
        <v>158247</v>
      </c>
      <c r="AJ28" s="11">
        <v>274</v>
      </c>
      <c r="AK28" s="18">
        <f>AJ28/$M$7</f>
        <v>0.52490421455938696</v>
      </c>
      <c r="AL28" s="9"/>
      <c r="AM28" s="9"/>
      <c r="AN28" s="9"/>
      <c r="AO28" s="9"/>
      <c r="AP28" s="9"/>
      <c r="AQ28" s="9"/>
    </row>
    <row r="29" spans="1:43">
      <c r="T29" s="9">
        <v>26</v>
      </c>
      <c r="U29" s="11">
        <v>1</v>
      </c>
      <c r="V29" s="70">
        <v>2005341</v>
      </c>
      <c r="W29" s="11">
        <v>60</v>
      </c>
      <c r="X29" s="11" t="s">
        <v>38</v>
      </c>
      <c r="Y29" s="16">
        <v>7.4999999999999997E-2</v>
      </c>
      <c r="Z29" s="11">
        <v>14814294</v>
      </c>
      <c r="AA29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29" s="12">
        <f>DATE(2023,1,2)</f>
        <v>44928</v>
      </c>
      <c r="AC29" s="13">
        <f>TIME(15,34,44)</f>
        <v>0.6491203703703704</v>
      </c>
      <c r="AD29" s="14">
        <f t="shared" si="1"/>
        <v>44928.64912037037</v>
      </c>
      <c r="AE29" s="12">
        <f>DATE(2023,1,4)</f>
        <v>44930</v>
      </c>
      <c r="AF29" s="13">
        <f>TIME(11,15,43)</f>
        <v>0.46924768518518517</v>
      </c>
      <c r="AG29" s="14">
        <f t="shared" si="2"/>
        <v>44930.469247685185</v>
      </c>
      <c r="AH29" s="32" t="str">
        <f t="shared" si="3"/>
        <v>1-h:40:59</v>
      </c>
      <c r="AI29" s="11">
        <f t="shared" si="4"/>
        <v>157259</v>
      </c>
      <c r="AJ29" s="11">
        <v>187</v>
      </c>
      <c r="AK29" s="18">
        <f>AJ29/$M$7</f>
        <v>0.35823754789272033</v>
      </c>
      <c r="AL29" s="9"/>
      <c r="AM29" s="9"/>
      <c r="AN29" s="9"/>
      <c r="AO29" s="9"/>
      <c r="AP29" s="9"/>
      <c r="AQ29" s="9"/>
    </row>
    <row r="30" spans="1:43">
      <c r="T30" s="9">
        <v>27</v>
      </c>
      <c r="U30" s="11">
        <v>1</v>
      </c>
      <c r="V30" s="70">
        <v>2005341</v>
      </c>
      <c r="W30" s="11">
        <v>60</v>
      </c>
      <c r="X30" s="11" t="s">
        <v>38</v>
      </c>
      <c r="Y30" s="16">
        <v>0.1</v>
      </c>
      <c r="Z30" s="11">
        <v>14337858</v>
      </c>
      <c r="AA30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30" s="12">
        <f>DATE(2022,11,24)</f>
        <v>44889</v>
      </c>
      <c r="AC30" s="13">
        <f>TIME(5,36,53)</f>
        <v>0.23394675925925926</v>
      </c>
      <c r="AD30" s="14">
        <f t="shared" si="1"/>
        <v>44889.233946759261</v>
      </c>
      <c r="AE30" s="12">
        <f>DATE(2022,11,26)</f>
        <v>44891</v>
      </c>
      <c r="AF30" s="13">
        <f>TIME(0,14,46)</f>
        <v>1.0254629629629629E-2</v>
      </c>
      <c r="AG30" s="14">
        <f t="shared" si="2"/>
        <v>44891.010254629633</v>
      </c>
      <c r="AH30" s="32" t="str">
        <f t="shared" si="3"/>
        <v>1-h:37:53</v>
      </c>
      <c r="AI30" s="11">
        <f t="shared" si="4"/>
        <v>153473</v>
      </c>
      <c r="AJ30" s="11">
        <v>299</v>
      </c>
      <c r="AK30" s="18">
        <f>AJ30/$M$7</f>
        <v>0.57279693486590033</v>
      </c>
      <c r="AL30" s="9"/>
      <c r="AM30" s="9"/>
      <c r="AN30" s="9"/>
      <c r="AO30" s="9"/>
      <c r="AP30" s="9"/>
      <c r="AQ30" s="9"/>
    </row>
    <row r="31" spans="1:43">
      <c r="T31" s="9">
        <v>28</v>
      </c>
      <c r="U31" s="1">
        <v>1</v>
      </c>
      <c r="V31" s="70">
        <v>2005341</v>
      </c>
      <c r="W31" s="11">
        <v>60</v>
      </c>
      <c r="X31" s="11" t="s">
        <v>38</v>
      </c>
      <c r="Y31" s="16">
        <v>0.15</v>
      </c>
      <c r="Z31" s="11">
        <v>14814295</v>
      </c>
      <c r="AA31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31" s="12">
        <f>DATE(2023,1,3)</f>
        <v>44929</v>
      </c>
      <c r="AC31" s="13">
        <f>TIME(14,49,48)</f>
        <v>0.61791666666666667</v>
      </c>
      <c r="AD31" s="14">
        <f t="shared" si="1"/>
        <v>44929.61791666667</v>
      </c>
      <c r="AE31" s="12">
        <f>DATE(2023,1,5)</f>
        <v>44931</v>
      </c>
      <c r="AF31" s="13">
        <f>TIME(10,49,21)</f>
        <v>0.45093749999999999</v>
      </c>
      <c r="AG31" s="14">
        <f t="shared" si="2"/>
        <v>44931.450937499998</v>
      </c>
      <c r="AH31" s="32" t="str">
        <f t="shared" si="3"/>
        <v>1-h:59:33</v>
      </c>
      <c r="AI31" s="11">
        <f t="shared" si="4"/>
        <v>158372</v>
      </c>
      <c r="AJ31" s="11">
        <v>172</v>
      </c>
      <c r="AK31" s="18">
        <f>AJ31/$M$7</f>
        <v>0.32950191570881227</v>
      </c>
      <c r="AL31" s="9"/>
      <c r="AM31" s="9"/>
      <c r="AN31" s="9"/>
      <c r="AO31" s="9"/>
      <c r="AP31" s="9"/>
      <c r="AQ31" s="9"/>
    </row>
    <row r="32" spans="1:43">
      <c r="T32" s="9">
        <v>29</v>
      </c>
      <c r="U32" s="1">
        <v>1</v>
      </c>
      <c r="V32" s="70">
        <v>2005341</v>
      </c>
      <c r="W32" s="11">
        <v>60</v>
      </c>
      <c r="X32" s="11" t="s">
        <v>38</v>
      </c>
      <c r="Y32" s="16">
        <v>0.2</v>
      </c>
      <c r="Z32" s="11">
        <v>14814297</v>
      </c>
      <c r="AA32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32" s="12">
        <f>DATE(2023,1,4)</f>
        <v>44930</v>
      </c>
      <c r="AC32" s="13">
        <f>TIME(0,11,54)</f>
        <v>8.2638888888888883E-3</v>
      </c>
      <c r="AD32" s="14">
        <f t="shared" si="1"/>
        <v>44930.008263888885</v>
      </c>
      <c r="AE32" s="12">
        <f>DATE(2023,1,5)</f>
        <v>44931</v>
      </c>
      <c r="AF32" s="13">
        <f>TIME(19,9,10)</f>
        <v>0.79803240740740744</v>
      </c>
      <c r="AG32" s="14">
        <f t="shared" si="2"/>
        <v>44931.798032407409</v>
      </c>
      <c r="AH32" s="32" t="str">
        <f t="shared" si="3"/>
        <v>1-h:57:16</v>
      </c>
      <c r="AI32" s="11">
        <f t="shared" si="4"/>
        <v>154636</v>
      </c>
      <c r="AJ32" s="11">
        <v>278</v>
      </c>
      <c r="AK32" s="18">
        <f>AJ32/$M$7</f>
        <v>0.53256704980842917</v>
      </c>
      <c r="AL32" s="9"/>
      <c r="AM32" s="9"/>
      <c r="AN32" s="9"/>
      <c r="AO32" s="9"/>
      <c r="AP32" s="9"/>
      <c r="AQ32" s="9"/>
    </row>
    <row r="33" spans="10:43">
      <c r="T33" s="9">
        <v>30</v>
      </c>
      <c r="U33" s="9">
        <v>1</v>
      </c>
      <c r="V33" s="70">
        <v>2005341</v>
      </c>
      <c r="W33" s="11">
        <v>60</v>
      </c>
      <c r="X33" s="11" t="s">
        <v>38</v>
      </c>
      <c r="Y33" s="16">
        <v>0.25</v>
      </c>
      <c r="Z33" s="11">
        <v>14814298</v>
      </c>
      <c r="AA33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33" s="12">
        <f>DATE(2023,1,6)</f>
        <v>44932</v>
      </c>
      <c r="AC33" s="13">
        <f>TIME(4,32,40)</f>
        <v>0.18935185185185185</v>
      </c>
      <c r="AD33" s="14">
        <f t="shared" si="1"/>
        <v>44932.189351851855</v>
      </c>
      <c r="AE33" s="12">
        <f>DATE(2023,1,7)</f>
        <v>44933</v>
      </c>
      <c r="AF33" s="13">
        <f>TIME(23,5,42)</f>
        <v>0.96229166666666666</v>
      </c>
      <c r="AG33" s="14">
        <f t="shared" si="2"/>
        <v>44933.962291666663</v>
      </c>
      <c r="AH33" s="32" t="str">
        <f t="shared" si="3"/>
        <v>1-h:33:2</v>
      </c>
      <c r="AI33" s="11">
        <f t="shared" si="4"/>
        <v>153181</v>
      </c>
      <c r="AJ33" s="11">
        <v>129</v>
      </c>
      <c r="AK33" s="18">
        <f>AJ33/$M$7</f>
        <v>0.2471264367816092</v>
      </c>
      <c r="AL33" s="9"/>
      <c r="AM33" s="9"/>
      <c r="AN33" s="9"/>
      <c r="AO33" s="9"/>
      <c r="AP33" s="9"/>
      <c r="AQ33" s="9"/>
    </row>
    <row r="34" spans="10:43">
      <c r="T34" s="9">
        <v>31</v>
      </c>
      <c r="U34" s="11">
        <v>1</v>
      </c>
      <c r="V34" s="70">
        <v>2005341</v>
      </c>
      <c r="W34" s="11">
        <v>75</v>
      </c>
      <c r="X34" s="11" t="s">
        <v>36</v>
      </c>
      <c r="Y34" s="15" t="s">
        <v>37</v>
      </c>
      <c r="Z34" s="11">
        <v>14337138</v>
      </c>
      <c r="AA34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12347901</v>
      </c>
      <c r="AB34" s="12">
        <f>DATE(2022,11,23)</f>
        <v>44888</v>
      </c>
      <c r="AC34" s="13">
        <f>TIME(15,5,57)</f>
        <v>0.62913194444444442</v>
      </c>
      <c r="AD34" s="14">
        <f t="shared" si="1"/>
        <v>44888.629131944443</v>
      </c>
      <c r="AE34" s="12">
        <f>DATE(2022,11,25)</f>
        <v>44890</v>
      </c>
      <c r="AF34" s="13">
        <f>TIME(14,18,16)</f>
        <v>0.5960185185185185</v>
      </c>
      <c r="AG34" s="14">
        <f t="shared" si="2"/>
        <v>44890.596018518518</v>
      </c>
      <c r="AH34" s="32" t="str">
        <f t="shared" si="3"/>
        <v>1-h:12:19</v>
      </c>
      <c r="AI34" s="11">
        <f t="shared" si="4"/>
        <v>169939</v>
      </c>
      <c r="AJ34" s="11">
        <v>282</v>
      </c>
      <c r="AK34" s="18">
        <f>AJ34/$M$8</f>
        <v>0.92459016393442628</v>
      </c>
      <c r="AL34" s="9"/>
      <c r="AM34" s="9"/>
      <c r="AN34" s="9"/>
      <c r="AO34" s="9"/>
      <c r="AP34" s="9"/>
      <c r="AQ34" s="9"/>
    </row>
    <row r="35" spans="10:43">
      <c r="T35" s="9">
        <v>32</v>
      </c>
      <c r="U35" s="9">
        <v>1</v>
      </c>
      <c r="V35" s="70">
        <v>2005341</v>
      </c>
      <c r="W35" s="11">
        <v>75</v>
      </c>
      <c r="X35" s="11" t="s">
        <v>38</v>
      </c>
      <c r="Y35" s="9">
        <v>1E-3</v>
      </c>
      <c r="Z35" s="11">
        <v>14814302</v>
      </c>
      <c r="AA35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35" s="12">
        <f>DATE(2023,1,6)</f>
        <v>44932</v>
      </c>
      <c r="AC35" s="13">
        <f>TIME(4,36,28)</f>
        <v>0.19199074074074074</v>
      </c>
      <c r="AD35" s="14">
        <f t="shared" si="1"/>
        <v>44932.191990740743</v>
      </c>
      <c r="AE35" s="12">
        <f>DATE(2023,1,7)</f>
        <v>44933</v>
      </c>
      <c r="AF35" s="13">
        <f>TIME(13,56,6)</f>
        <v>0.58062500000000006</v>
      </c>
      <c r="AG35" s="14">
        <f t="shared" si="2"/>
        <v>44933.580625000002</v>
      </c>
      <c r="AH35" s="32" t="str">
        <f t="shared" si="3"/>
        <v>1-h:19:38</v>
      </c>
      <c r="AI35" s="11">
        <f t="shared" si="4"/>
        <v>119978</v>
      </c>
      <c r="AJ35" s="11">
        <v>224</v>
      </c>
      <c r="AK35" s="18">
        <f>AJ35/$M$8</f>
        <v>0.73442622950819669</v>
      </c>
      <c r="AL35" s="9"/>
      <c r="AM35" s="9"/>
      <c r="AN35" s="9"/>
      <c r="AO35" s="9"/>
      <c r="AP35" s="9"/>
      <c r="AQ35" s="9"/>
    </row>
    <row r="36" spans="10:43">
      <c r="T36" s="9">
        <v>33</v>
      </c>
      <c r="U36" s="11">
        <v>1</v>
      </c>
      <c r="V36" s="70">
        <v>2005341</v>
      </c>
      <c r="W36" s="11">
        <v>75</v>
      </c>
      <c r="X36" s="11" t="s">
        <v>38</v>
      </c>
      <c r="Y36" s="16">
        <v>5.0000000000000001E-3</v>
      </c>
      <c r="Z36" s="11">
        <v>14337862</v>
      </c>
      <c r="AA36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36" s="12">
        <f>DATE(2022,11,24)</f>
        <v>44889</v>
      </c>
      <c r="AC36" s="13">
        <f>TIME(7,40,20)</f>
        <v>0.31967592592592592</v>
      </c>
      <c r="AD36" s="14">
        <f t="shared" si="1"/>
        <v>44889.319675925923</v>
      </c>
      <c r="AE36" s="12">
        <f>DATE(2022,11,25)</f>
        <v>44890</v>
      </c>
      <c r="AF36" s="13">
        <f>TIME(18,29,3)</f>
        <v>0.77017361111111116</v>
      </c>
      <c r="AG36" s="14">
        <f t="shared" si="2"/>
        <v>44890.770173611112</v>
      </c>
      <c r="AH36" s="32" t="str">
        <f t="shared" si="3"/>
        <v>1-h:48:43</v>
      </c>
      <c r="AI36" s="11">
        <f t="shared" si="4"/>
        <v>125323</v>
      </c>
      <c r="AJ36" s="11">
        <v>208</v>
      </c>
      <c r="AK36" s="18">
        <f>AJ36/$M$8</f>
        <v>0.68196721311475406</v>
      </c>
      <c r="AL36" s="9"/>
      <c r="AM36" s="9"/>
      <c r="AN36" s="9"/>
      <c r="AO36" s="9"/>
      <c r="AP36" s="9"/>
      <c r="AQ36" s="9"/>
    </row>
    <row r="37" spans="10:43">
      <c r="J37" s="29"/>
      <c r="K37" s="6"/>
      <c r="L37" s="6"/>
      <c r="T37" s="9">
        <v>34</v>
      </c>
      <c r="U37" s="9">
        <v>1</v>
      </c>
      <c r="V37" s="70">
        <v>2005341</v>
      </c>
      <c r="W37" s="11">
        <v>75</v>
      </c>
      <c r="X37" s="11" t="s">
        <v>38</v>
      </c>
      <c r="Y37" s="15">
        <v>2.5000000000000001E-2</v>
      </c>
      <c r="Z37" s="11">
        <v>14814305</v>
      </c>
      <c r="AA37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37" s="12">
        <f>DATE(2023,1,6)</f>
        <v>44932</v>
      </c>
      <c r="AC37" s="13">
        <f>TIME(4,42,13)</f>
        <v>0.19598379629629628</v>
      </c>
      <c r="AD37" s="14">
        <f t="shared" si="1"/>
        <v>44932.195983796293</v>
      </c>
      <c r="AE37" s="12">
        <f>DATE(2023,1,7)</f>
        <v>44933</v>
      </c>
      <c r="AF37" s="13">
        <f>TIME(16,44,32)</f>
        <v>0.69759259259259254</v>
      </c>
      <c r="AG37" s="14">
        <f t="shared" si="2"/>
        <v>44933.697592592594</v>
      </c>
      <c r="AH37" s="32" t="str">
        <f t="shared" si="3"/>
        <v>1-h:2:19</v>
      </c>
      <c r="AI37" s="11">
        <f t="shared" si="4"/>
        <v>129739</v>
      </c>
      <c r="AJ37" s="11">
        <v>158</v>
      </c>
      <c r="AK37" s="18">
        <f>AJ37/$M$8</f>
        <v>0.5180327868852459</v>
      </c>
      <c r="AL37" s="9"/>
      <c r="AM37" s="9"/>
      <c r="AN37" s="9"/>
      <c r="AO37" s="9"/>
      <c r="AP37" s="9"/>
      <c r="AQ37" s="9"/>
    </row>
    <row r="38" spans="10:43">
      <c r="J38" s="23"/>
      <c r="K38" s="25"/>
      <c r="L38" s="1"/>
      <c r="T38" s="9">
        <v>35</v>
      </c>
      <c r="U38" s="9">
        <v>1</v>
      </c>
      <c r="V38" s="70">
        <v>2005341</v>
      </c>
      <c r="W38" s="11">
        <v>75</v>
      </c>
      <c r="X38" s="11" t="s">
        <v>38</v>
      </c>
      <c r="Y38" s="15">
        <v>0.05</v>
      </c>
      <c r="Z38" s="11">
        <v>14814306</v>
      </c>
      <c r="AA38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38" s="12">
        <f>DATE(2023,1,6)</f>
        <v>44932</v>
      </c>
      <c r="AC38" s="13">
        <f>TIME(6,58,49)</f>
        <v>0.29084490740740737</v>
      </c>
      <c r="AD38" s="14">
        <f t="shared" si="1"/>
        <v>44932.290844907409</v>
      </c>
      <c r="AE38" s="12">
        <f>DATE(2023,1,7)</f>
        <v>44933</v>
      </c>
      <c r="AF38" s="13">
        <f>TIME(17,34,46)</f>
        <v>0.73247685185185185</v>
      </c>
      <c r="AG38" s="14">
        <f t="shared" si="2"/>
        <v>44933.732476851852</v>
      </c>
      <c r="AH38" s="32" t="str">
        <f t="shared" si="3"/>
        <v>1-h:35:57</v>
      </c>
      <c r="AI38" s="11">
        <f t="shared" si="4"/>
        <v>124556</v>
      </c>
      <c r="AJ38" s="11">
        <v>140</v>
      </c>
      <c r="AK38" s="18">
        <f>AJ38/$M$8</f>
        <v>0.45901639344262296</v>
      </c>
      <c r="AL38" s="9"/>
      <c r="AM38" s="9"/>
      <c r="AN38" s="9"/>
      <c r="AO38" s="9"/>
      <c r="AP38" s="9"/>
      <c r="AQ38" s="9"/>
    </row>
    <row r="39" spans="10:43">
      <c r="J39" s="23"/>
      <c r="K39" s="25"/>
      <c r="L39" s="1"/>
      <c r="T39" s="9">
        <v>36</v>
      </c>
      <c r="U39" s="9">
        <v>1</v>
      </c>
      <c r="V39" s="70">
        <v>2005341</v>
      </c>
      <c r="W39" s="11">
        <v>75</v>
      </c>
      <c r="X39" s="11" t="s">
        <v>38</v>
      </c>
      <c r="Y39" s="15">
        <v>7.4999999999999997E-2</v>
      </c>
      <c r="Z39" s="11">
        <v>14814307</v>
      </c>
      <c r="AA39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39" s="12">
        <f>DATE(2023,1,6)</f>
        <v>44932</v>
      </c>
      <c r="AC39" s="13">
        <f>TIME(7,0,35)</f>
        <v>0.29207175925925927</v>
      </c>
      <c r="AD39" s="14">
        <f t="shared" si="1"/>
        <v>44932.292071759257</v>
      </c>
      <c r="AE39" s="12">
        <f>DATE(2023,1,7)</f>
        <v>44933</v>
      </c>
      <c r="AF39" s="13">
        <f>TIME(18,9,30)</f>
        <v>0.75659722222222225</v>
      </c>
      <c r="AG39" s="14">
        <f t="shared" si="2"/>
        <v>44933.756597222222</v>
      </c>
      <c r="AH39" s="32" t="str">
        <f t="shared" si="3"/>
        <v>1-h:8:55</v>
      </c>
      <c r="AI39" s="11">
        <f t="shared" si="4"/>
        <v>126535</v>
      </c>
      <c r="AJ39" s="11">
        <v>103</v>
      </c>
      <c r="AK39" s="18">
        <f>AJ39/$M$8</f>
        <v>0.3377049180327869</v>
      </c>
      <c r="AL39" s="9"/>
      <c r="AM39" s="9"/>
      <c r="AN39" s="9"/>
      <c r="AO39" s="9"/>
      <c r="AP39" s="9"/>
      <c r="AQ39" s="9"/>
    </row>
    <row r="40" spans="10:43">
      <c r="J40" s="23"/>
      <c r="K40" s="25"/>
      <c r="L40" s="1"/>
      <c r="T40" s="9">
        <v>37</v>
      </c>
      <c r="U40" s="11">
        <v>1</v>
      </c>
      <c r="V40" s="70">
        <v>2005341</v>
      </c>
      <c r="W40" s="11">
        <v>75</v>
      </c>
      <c r="X40" s="11" t="s">
        <v>38</v>
      </c>
      <c r="Y40" s="16">
        <v>0.1</v>
      </c>
      <c r="Z40" s="11">
        <v>14337860</v>
      </c>
      <c r="AA40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40" s="12">
        <f>DATE(2022,11,24)</f>
        <v>44889</v>
      </c>
      <c r="AC40" s="13">
        <f>TIME(6,5,28)</f>
        <v>0.2537962962962963</v>
      </c>
      <c r="AD40" s="14">
        <f t="shared" si="1"/>
        <v>44889.253796296296</v>
      </c>
      <c r="AE40" s="12">
        <f>DATE(2022,11,25)</f>
        <v>44890</v>
      </c>
      <c r="AF40" s="13">
        <f>TIME(14,43,48)</f>
        <v>0.61375000000000002</v>
      </c>
      <c r="AG40" s="14">
        <f t="shared" si="2"/>
        <v>44890.613749999997</v>
      </c>
      <c r="AH40" s="32" t="str">
        <f t="shared" si="3"/>
        <v>1-h:38:20</v>
      </c>
      <c r="AI40" s="11">
        <f t="shared" si="4"/>
        <v>117499</v>
      </c>
      <c r="AJ40" s="11">
        <v>148</v>
      </c>
      <c r="AK40" s="18">
        <f>AJ40/$M$8</f>
        <v>0.48524590163934428</v>
      </c>
      <c r="AL40" s="9"/>
      <c r="AM40" s="9"/>
      <c r="AN40" s="9"/>
      <c r="AO40" s="9"/>
      <c r="AP40" s="9"/>
      <c r="AQ40" s="9"/>
    </row>
    <row r="41" spans="10:43">
      <c r="J41" s="23"/>
      <c r="K41" s="26"/>
      <c r="L41" s="1"/>
      <c r="T41" s="9">
        <v>38</v>
      </c>
      <c r="U41" s="9">
        <v>1</v>
      </c>
      <c r="V41" s="70">
        <v>2005341</v>
      </c>
      <c r="W41" s="11">
        <v>75</v>
      </c>
      <c r="X41" s="11" t="s">
        <v>38</v>
      </c>
      <c r="Y41" s="15">
        <v>0.15</v>
      </c>
      <c r="Z41" s="11">
        <v>14814396</v>
      </c>
      <c r="AA41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41" s="12">
        <f>DATE(2023,1,6)</f>
        <v>44932</v>
      </c>
      <c r="AC41" s="13">
        <f>TIME(7,50,17)</f>
        <v>0.32658564814814817</v>
      </c>
      <c r="AD41" s="14">
        <f t="shared" si="1"/>
        <v>44932.326585648145</v>
      </c>
      <c r="AE41" s="12">
        <f>DATE(2023,1,7)</f>
        <v>44933</v>
      </c>
      <c r="AF41" s="13">
        <f>TIME(18,44,56)</f>
        <v>0.78120370370370373</v>
      </c>
      <c r="AG41" s="14">
        <f t="shared" si="2"/>
        <v>44933.7812037037</v>
      </c>
      <c r="AH41" s="32" t="str">
        <f t="shared" si="3"/>
        <v>1-h:54:39</v>
      </c>
      <c r="AI41" s="11">
        <f t="shared" si="4"/>
        <v>125678</v>
      </c>
      <c r="AJ41" s="11">
        <v>111</v>
      </c>
      <c r="AK41" s="18">
        <f>AJ41/$M$8</f>
        <v>0.36393442622950822</v>
      </c>
      <c r="AL41" s="9"/>
      <c r="AM41" s="9"/>
      <c r="AN41" s="9"/>
      <c r="AO41" s="9"/>
      <c r="AP41" s="9"/>
      <c r="AQ41" s="9"/>
    </row>
    <row r="42" spans="10:43">
      <c r="J42" s="23"/>
      <c r="K42" s="25"/>
      <c r="L42" s="1"/>
      <c r="M42" s="22"/>
      <c r="P42" s="21"/>
      <c r="R42" s="17"/>
      <c r="S42" s="21"/>
      <c r="T42" s="9">
        <v>39</v>
      </c>
      <c r="U42" s="9">
        <v>1</v>
      </c>
      <c r="V42" s="70">
        <v>2005341</v>
      </c>
      <c r="W42" s="11">
        <v>75</v>
      </c>
      <c r="X42" s="11" t="s">
        <v>38</v>
      </c>
      <c r="Y42" s="16">
        <v>0.2</v>
      </c>
      <c r="Z42" s="11">
        <v>14814400</v>
      </c>
      <c r="AA42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42" s="12">
        <f>DATE(2023,1,6)</f>
        <v>44932</v>
      </c>
      <c r="AC42" s="13">
        <f>TIME(11,53,13)</f>
        <v>0.4952893518518518</v>
      </c>
      <c r="AD42" s="14">
        <f t="shared" si="1"/>
        <v>44932.495289351849</v>
      </c>
      <c r="AE42" s="12">
        <f>DATE(2023,1,7)</f>
        <v>44933</v>
      </c>
      <c r="AF42" s="13">
        <f>TIME(22,22,31)</f>
        <v>0.93230324074074078</v>
      </c>
      <c r="AG42" s="14">
        <f t="shared" si="2"/>
        <v>44933.932303240741</v>
      </c>
      <c r="AH42" s="32" t="str">
        <f t="shared" si="3"/>
        <v>1-h:29:18</v>
      </c>
      <c r="AI42" s="11">
        <f t="shared" si="4"/>
        <v>124158</v>
      </c>
      <c r="AJ42" s="11">
        <v>80</v>
      </c>
      <c r="AK42" s="18">
        <f>AJ42/$M$8</f>
        <v>0.26229508196721313</v>
      </c>
      <c r="AL42" s="9"/>
      <c r="AM42" s="9"/>
      <c r="AN42" s="9"/>
      <c r="AO42" s="9"/>
      <c r="AP42" s="9"/>
      <c r="AQ42" s="9"/>
    </row>
    <row r="43" spans="10:43">
      <c r="J43" s="23"/>
      <c r="K43" s="26"/>
      <c r="L43" s="1"/>
      <c r="M43" s="21"/>
      <c r="P43" s="22"/>
      <c r="R43" s="17"/>
      <c r="S43" s="21"/>
      <c r="T43" s="9">
        <v>40</v>
      </c>
      <c r="U43" s="9">
        <v>1</v>
      </c>
      <c r="V43" s="70">
        <v>2005341</v>
      </c>
      <c r="W43" s="11">
        <v>75</v>
      </c>
      <c r="X43" s="11" t="s">
        <v>38</v>
      </c>
      <c r="Y43" s="16">
        <v>0.25</v>
      </c>
      <c r="Z43" s="11">
        <v>14814402</v>
      </c>
      <c r="AA43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43" s="12">
        <f>DATE(2023,1,6)</f>
        <v>44932</v>
      </c>
      <c r="AC43" s="13">
        <f>TIME(12,44,43)</f>
        <v>0.53105324074074078</v>
      </c>
      <c r="AD43" s="14">
        <f t="shared" si="1"/>
        <v>44932.531053240738</v>
      </c>
      <c r="AE43" s="12">
        <f>DATE(2023,1,7)</f>
        <v>44933</v>
      </c>
      <c r="AF43" s="13">
        <f>TIME(23,26,3)</f>
        <v>0.97642361111111109</v>
      </c>
      <c r="AG43" s="14">
        <f t="shared" si="2"/>
        <v>44933.976423611108</v>
      </c>
      <c r="AH43" s="32" t="str">
        <f t="shared" si="3"/>
        <v>1-h:41:20</v>
      </c>
      <c r="AI43" s="11">
        <f t="shared" si="4"/>
        <v>124879</v>
      </c>
      <c r="AJ43" s="11">
        <v>76</v>
      </c>
      <c r="AK43" s="18">
        <f>AJ43/$M$8</f>
        <v>0.24918032786885247</v>
      </c>
      <c r="AL43" s="9"/>
      <c r="AM43" s="9"/>
      <c r="AN43" s="9"/>
      <c r="AO43" s="9"/>
      <c r="AP43" s="9"/>
      <c r="AQ43" s="9"/>
    </row>
    <row r="44" spans="10:43">
      <c r="J44" s="23"/>
      <c r="K44" s="26"/>
      <c r="L44" s="1"/>
      <c r="M44" s="21"/>
      <c r="P44" s="22"/>
      <c r="R44" s="17"/>
      <c r="S44" s="21"/>
      <c r="T44" s="55">
        <v>41</v>
      </c>
      <c r="U44" s="56">
        <v>2</v>
      </c>
      <c r="V44" s="56">
        <v>2006017</v>
      </c>
      <c r="W44" s="56">
        <v>30</v>
      </c>
      <c r="X44" s="56" t="s">
        <v>36</v>
      </c>
      <c r="Y44" s="57" t="s">
        <v>37</v>
      </c>
      <c r="Z44" s="56">
        <v>14337280</v>
      </c>
      <c r="AA44" s="90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30869751</v>
      </c>
      <c r="AB44" s="58">
        <f>DATE(2022,11,25)</f>
        <v>44890</v>
      </c>
      <c r="AC44" s="59">
        <f>TIME(7,42,9)</f>
        <v>0.32093749999999999</v>
      </c>
      <c r="AD44" s="60">
        <f t="shared" si="1"/>
        <v>44890.320937500001</v>
      </c>
      <c r="AE44" s="58">
        <f>DATE(2022,12,2)</f>
        <v>44897</v>
      </c>
      <c r="AF44" s="59">
        <f>TIME(7,57,19)</f>
        <v>0.33146990740740739</v>
      </c>
      <c r="AG44" s="60">
        <f t="shared" si="2"/>
        <v>44897.331469907411</v>
      </c>
      <c r="AH44" s="61" t="str">
        <f t="shared" si="3"/>
        <v>7-h:15:10</v>
      </c>
      <c r="AI44" s="56">
        <f t="shared" si="4"/>
        <v>605710</v>
      </c>
      <c r="AJ44" s="56">
        <v>4067</v>
      </c>
      <c r="AK44" s="62">
        <f>AJ44/$M$5</f>
        <v>0.9281150159744409</v>
      </c>
      <c r="AL44" s="9"/>
      <c r="AM44" s="9"/>
      <c r="AN44" s="9"/>
      <c r="AO44" s="9"/>
      <c r="AP44" s="9"/>
      <c r="AQ44" s="9"/>
    </row>
    <row r="45" spans="10:43">
      <c r="J45" s="23"/>
      <c r="K45" s="26"/>
      <c r="L45" s="1"/>
      <c r="M45" s="21"/>
      <c r="P45" s="22"/>
      <c r="R45" s="21"/>
      <c r="S45" s="21"/>
      <c r="T45" s="9">
        <v>42</v>
      </c>
      <c r="U45" s="9">
        <v>2</v>
      </c>
      <c r="V45" s="11">
        <v>2006017</v>
      </c>
      <c r="W45" s="11">
        <v>30</v>
      </c>
      <c r="X45" s="11" t="s">
        <v>38</v>
      </c>
      <c r="Y45" s="16">
        <v>1E-3</v>
      </c>
      <c r="Z45" s="11">
        <v>14706084</v>
      </c>
      <c r="AA45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45" s="12">
        <f>DATE(2022,12,27)</f>
        <v>44922</v>
      </c>
      <c r="AC45" s="13">
        <f>TIME(15,34,29)</f>
        <v>0.64894675925925926</v>
      </c>
      <c r="AD45" s="14">
        <f t="shared" si="1"/>
        <v>44922.648946759262</v>
      </c>
      <c r="AE45" s="12">
        <f>DATE(2022,12,31)</f>
        <v>44926</v>
      </c>
      <c r="AF45" s="13">
        <f>TIME(18,30,17)</f>
        <v>0.7710300925925927</v>
      </c>
      <c r="AG45" s="14">
        <f t="shared" si="2"/>
        <v>44926.77103009259</v>
      </c>
      <c r="AH45" s="32" t="str">
        <f t="shared" si="3"/>
        <v>4-h:55:48</v>
      </c>
      <c r="AI45" s="11">
        <f t="shared" si="4"/>
        <v>356147</v>
      </c>
      <c r="AJ45" s="11">
        <v>2149</v>
      </c>
      <c r="AK45" s="18">
        <f>AJ45/$M$5</f>
        <v>0.49041533546325877</v>
      </c>
      <c r="AL45" s="9"/>
      <c r="AM45" s="9"/>
      <c r="AN45" s="9"/>
      <c r="AO45" s="9"/>
      <c r="AP45" s="9"/>
      <c r="AQ45" s="9"/>
    </row>
    <row r="46" spans="10:43">
      <c r="J46" s="23"/>
      <c r="K46" s="26"/>
      <c r="L46" s="1"/>
      <c r="M46" s="21"/>
      <c r="P46" s="17"/>
      <c r="R46" s="17"/>
      <c r="S46" s="21"/>
      <c r="T46" s="9">
        <v>43</v>
      </c>
      <c r="U46" s="11">
        <v>2</v>
      </c>
      <c r="V46" s="11">
        <v>2006017</v>
      </c>
      <c r="W46" s="11">
        <v>30</v>
      </c>
      <c r="X46" s="11" t="s">
        <v>38</v>
      </c>
      <c r="Y46" s="16">
        <v>5.0000000000000001E-3</v>
      </c>
      <c r="Z46" s="11">
        <v>14337635</v>
      </c>
      <c r="AA46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46" s="12">
        <f>DATE(2022,11,27)</f>
        <v>44892</v>
      </c>
      <c r="AC46" s="13">
        <f>TIME(5,6,17)</f>
        <v>0.21269675925925927</v>
      </c>
      <c r="AD46" s="14">
        <f t="shared" si="1"/>
        <v>44892.212696759256</v>
      </c>
      <c r="AE46" s="12">
        <f>DATE(2022,12,1)</f>
        <v>44896</v>
      </c>
      <c r="AF46" s="13">
        <f>TIME(12,39,50)</f>
        <v>0.52766203703703707</v>
      </c>
      <c r="AG46" s="14">
        <f t="shared" si="2"/>
        <v>44896.527662037035</v>
      </c>
      <c r="AH46" s="32" t="str">
        <f t="shared" si="3"/>
        <v>4-h:33:33</v>
      </c>
      <c r="AI46" s="11">
        <f t="shared" si="4"/>
        <v>372813</v>
      </c>
      <c r="AJ46" s="11">
        <v>1079</v>
      </c>
      <c r="AK46" s="18">
        <f>AJ46/$M$5</f>
        <v>0.24623459607485165</v>
      </c>
      <c r="AL46" s="9"/>
      <c r="AM46" s="9"/>
      <c r="AN46" s="9"/>
      <c r="AO46" s="9"/>
      <c r="AP46" s="9"/>
      <c r="AQ46" s="9"/>
    </row>
    <row r="47" spans="10:43">
      <c r="J47" s="53"/>
      <c r="K47" s="54"/>
      <c r="L47" s="27"/>
      <c r="T47" s="9">
        <v>44</v>
      </c>
      <c r="U47" s="9">
        <v>2</v>
      </c>
      <c r="V47" s="11">
        <v>2006017</v>
      </c>
      <c r="W47" s="11">
        <v>30</v>
      </c>
      <c r="X47" s="11" t="s">
        <v>38</v>
      </c>
      <c r="Y47" s="16">
        <v>2.5000000000000001E-2</v>
      </c>
      <c r="Z47" s="11">
        <v>14706088</v>
      </c>
      <c r="AA47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47" s="12">
        <f>DATE(2022,12,27)</f>
        <v>44922</v>
      </c>
      <c r="AC47" s="13">
        <f>TIME(15,34,29)</f>
        <v>0.64894675925925926</v>
      </c>
      <c r="AD47" s="14">
        <f t="shared" si="1"/>
        <v>44922.648946759262</v>
      </c>
      <c r="AE47" s="12">
        <f>DATE(2022,12,31)</f>
        <v>44926</v>
      </c>
      <c r="AF47" s="13">
        <f>TIME(23,17,10)</f>
        <v>0.97025462962962961</v>
      </c>
      <c r="AG47" s="14">
        <f t="shared" si="2"/>
        <v>44926.970254629632</v>
      </c>
      <c r="AH47" s="32" t="str">
        <f t="shared" si="3"/>
        <v>4-h:42:41</v>
      </c>
      <c r="AI47" s="11">
        <f t="shared" si="4"/>
        <v>373360</v>
      </c>
      <c r="AJ47" s="11">
        <v>500</v>
      </c>
      <c r="AK47" s="18">
        <f>AJ47/$M$5</f>
        <v>0.11410314924691921</v>
      </c>
      <c r="AL47" s="9"/>
      <c r="AM47" s="9"/>
      <c r="AN47" s="9"/>
      <c r="AO47" s="9"/>
      <c r="AP47" s="9"/>
      <c r="AQ47" s="9"/>
    </row>
    <row r="48" spans="10:43">
      <c r="K48" s="1"/>
      <c r="L48" s="30"/>
      <c r="M48" s="6"/>
      <c r="N48" s="6"/>
      <c r="O48" s="6"/>
      <c r="P48" s="6"/>
      <c r="Q48" s="6"/>
      <c r="R48" s="6"/>
      <c r="S48" s="6"/>
      <c r="T48" s="9">
        <v>45</v>
      </c>
      <c r="U48" s="9">
        <v>2</v>
      </c>
      <c r="V48" s="11">
        <v>2006017</v>
      </c>
      <c r="W48" s="11">
        <v>30</v>
      </c>
      <c r="X48" s="11" t="s">
        <v>38</v>
      </c>
      <c r="Y48" s="16">
        <v>0.05</v>
      </c>
      <c r="Z48" s="11">
        <v>14706094</v>
      </c>
      <c r="AA48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48" s="12">
        <f>DATE(2022,12,27)</f>
        <v>44922</v>
      </c>
      <c r="AC48" s="13">
        <f>TIME(15,34,29)</f>
        <v>0.64894675925925926</v>
      </c>
      <c r="AD48" s="14">
        <f t="shared" si="1"/>
        <v>44922.648946759262</v>
      </c>
      <c r="AE48" s="12">
        <f>DATE(2023,1,1)</f>
        <v>44927</v>
      </c>
      <c r="AF48" s="13">
        <f>TIME(0,1,45)</f>
        <v>1.2152777777777778E-3</v>
      </c>
      <c r="AG48" s="14">
        <f t="shared" si="2"/>
        <v>44927.001215277778</v>
      </c>
      <c r="AH48" s="32" t="str">
        <f t="shared" si="3"/>
        <v>4-h:27:16</v>
      </c>
      <c r="AI48" s="11">
        <f t="shared" si="4"/>
        <v>376035</v>
      </c>
      <c r="AJ48" s="11">
        <v>296</v>
      </c>
      <c r="AK48" s="18">
        <f>AJ48/$M$5</f>
        <v>6.754906435417618E-2</v>
      </c>
      <c r="AL48" s="9"/>
      <c r="AM48" s="9"/>
      <c r="AN48" s="9"/>
      <c r="AO48" s="9"/>
      <c r="AP48" s="9"/>
      <c r="AQ48" s="9"/>
    </row>
    <row r="49" spans="11:43">
      <c r="K49" s="9"/>
      <c r="L49" s="6"/>
      <c r="M49" s="1"/>
      <c r="N49" s="1"/>
      <c r="O49" s="1"/>
      <c r="P49" s="1"/>
      <c r="Q49" s="1"/>
      <c r="R49" s="1"/>
      <c r="S49" s="1"/>
      <c r="T49" s="9">
        <v>46</v>
      </c>
      <c r="U49" s="9">
        <v>2</v>
      </c>
      <c r="V49" s="11">
        <v>2006017</v>
      </c>
      <c r="W49" s="11">
        <v>30</v>
      </c>
      <c r="X49" s="11" t="s">
        <v>38</v>
      </c>
      <c r="Y49" s="16">
        <v>7.4999999999999997E-2</v>
      </c>
      <c r="Z49" s="11">
        <v>14706096</v>
      </c>
      <c r="AA49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49" s="12">
        <f>DATE(2022,12,28)</f>
        <v>44923</v>
      </c>
      <c r="AC49" s="13">
        <f>TIME(6,0,26)</f>
        <v>0.25030092592592595</v>
      </c>
      <c r="AD49" s="14">
        <f t="shared" si="1"/>
        <v>44923.250300925924</v>
      </c>
      <c r="AE49" s="12">
        <f>DATE(2023,1,1)</f>
        <v>44927</v>
      </c>
      <c r="AF49" s="13">
        <f>TIME(12,56,20)</f>
        <v>0.53912037037037031</v>
      </c>
      <c r="AG49" s="14">
        <f t="shared" si="2"/>
        <v>44927.539120370369</v>
      </c>
      <c r="AH49" s="32" t="str">
        <f t="shared" si="3"/>
        <v>4-h:55:54</v>
      </c>
      <c r="AI49" s="11">
        <f t="shared" si="4"/>
        <v>370554</v>
      </c>
      <c r="AJ49" s="11">
        <v>342</v>
      </c>
      <c r="AK49" s="18">
        <f>AJ49/$M$5</f>
        <v>7.804655408489275E-2</v>
      </c>
      <c r="AL49" s="9"/>
      <c r="AM49" s="9"/>
      <c r="AN49" s="9"/>
      <c r="AO49" s="9"/>
      <c r="AP49" s="9"/>
      <c r="AQ49" s="9"/>
    </row>
    <row r="50" spans="11:43">
      <c r="K50" s="9"/>
      <c r="L50" s="28"/>
      <c r="M50" s="9"/>
      <c r="N50" s="9"/>
      <c r="O50" s="9"/>
      <c r="P50" s="9"/>
      <c r="Q50" s="9"/>
      <c r="R50" s="9"/>
      <c r="S50" s="9"/>
      <c r="T50" s="9">
        <v>47</v>
      </c>
      <c r="U50" s="11">
        <v>2</v>
      </c>
      <c r="V50" s="11">
        <v>2006017</v>
      </c>
      <c r="W50" s="11">
        <v>30</v>
      </c>
      <c r="X50" s="11" t="s">
        <v>38</v>
      </c>
      <c r="Y50" s="16">
        <v>0.1</v>
      </c>
      <c r="Z50" s="11">
        <v>14337624</v>
      </c>
      <c r="AA50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50" s="12">
        <f>DATE(2022,11,27)</f>
        <v>44892</v>
      </c>
      <c r="AC50" s="13">
        <f>TIME(2,48,16)</f>
        <v>0.11685185185185186</v>
      </c>
      <c r="AD50" s="14">
        <f t="shared" si="1"/>
        <v>44892.116851851853</v>
      </c>
      <c r="AE50" s="12">
        <f>DATE(2022,12,1)</f>
        <v>44896</v>
      </c>
      <c r="AF50" s="13">
        <f>TIME(3,27,50)</f>
        <v>0.14432870370370371</v>
      </c>
      <c r="AG50" s="14">
        <f t="shared" si="2"/>
        <v>44896.144328703704</v>
      </c>
      <c r="AH50" s="32" t="str">
        <f t="shared" si="3"/>
        <v>4-h:39:34</v>
      </c>
      <c r="AI50" s="11">
        <f t="shared" si="4"/>
        <v>347973</v>
      </c>
      <c r="AJ50" s="11">
        <v>312</v>
      </c>
      <c r="AK50" s="18">
        <f>AJ50/$M$5</f>
        <v>7.1200365130077589E-2</v>
      </c>
      <c r="AL50" s="9"/>
      <c r="AM50" s="9"/>
      <c r="AN50" s="9"/>
      <c r="AO50" s="9"/>
      <c r="AP50" s="9"/>
      <c r="AQ50" s="9"/>
    </row>
    <row r="51" spans="11:43">
      <c r="K51" s="9"/>
      <c r="L51" s="28"/>
      <c r="M51" s="9"/>
      <c r="N51" s="24"/>
      <c r="O51" s="9"/>
      <c r="P51" s="9"/>
      <c r="Q51" s="9"/>
      <c r="R51" s="9"/>
      <c r="S51" s="9"/>
      <c r="T51" s="9">
        <v>48</v>
      </c>
      <c r="U51" s="9">
        <v>2</v>
      </c>
      <c r="V51" s="11">
        <v>2006017</v>
      </c>
      <c r="W51" s="11">
        <v>30</v>
      </c>
      <c r="X51" s="11" t="s">
        <v>38</v>
      </c>
      <c r="Y51" s="15">
        <v>0.15</v>
      </c>
      <c r="Z51" s="11">
        <v>14706098</v>
      </c>
      <c r="AA51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51" s="12">
        <f>DATE(2022,12,28)</f>
        <v>44923</v>
      </c>
      <c r="AC51" s="13">
        <f>TIME(8,33,29)</f>
        <v>0.35658564814814814</v>
      </c>
      <c r="AD51" s="14">
        <f t="shared" si="1"/>
        <v>44923.356585648151</v>
      </c>
      <c r="AE51" s="12">
        <f>DATE(2023,1,1)</f>
        <v>44927</v>
      </c>
      <c r="AF51" s="13">
        <f>TIME(9,5,47)</f>
        <v>0.3790162037037037</v>
      </c>
      <c r="AG51" s="14">
        <f t="shared" si="2"/>
        <v>44927.379016203704</v>
      </c>
      <c r="AH51" s="32" t="str">
        <f t="shared" si="3"/>
        <v>4-h:32:18</v>
      </c>
      <c r="AI51" s="11">
        <f t="shared" si="4"/>
        <v>347537</v>
      </c>
      <c r="AJ51" s="11">
        <v>251</v>
      </c>
      <c r="AK51" s="18">
        <f>AJ51/$M$5</f>
        <v>5.7279780921953447E-2</v>
      </c>
      <c r="AL51" s="9"/>
      <c r="AM51" s="9"/>
      <c r="AN51" s="9"/>
      <c r="AO51" s="9"/>
      <c r="AP51" s="9"/>
      <c r="AQ51" s="9"/>
    </row>
    <row r="52" spans="11:43">
      <c r="K52" s="9"/>
      <c r="L52" s="9"/>
      <c r="M52" s="9"/>
      <c r="N52" s="9"/>
      <c r="O52" s="9"/>
      <c r="P52" s="9"/>
      <c r="Q52" s="9"/>
      <c r="R52" s="9"/>
      <c r="T52" s="9">
        <v>49</v>
      </c>
      <c r="U52" s="9">
        <v>2</v>
      </c>
      <c r="V52" s="11">
        <v>2006017</v>
      </c>
      <c r="W52" s="11">
        <v>30</v>
      </c>
      <c r="X52" s="11" t="s">
        <v>38</v>
      </c>
      <c r="Y52" s="15">
        <v>0.2</v>
      </c>
      <c r="Z52" s="11">
        <v>14706100</v>
      </c>
      <c r="AA52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52" s="12">
        <f>DATE(2022,12,28)</f>
        <v>44923</v>
      </c>
      <c r="AC52" s="13">
        <f>TIME(21,3,5)</f>
        <v>0.87714120370370363</v>
      </c>
      <c r="AD52" s="14">
        <f t="shared" si="1"/>
        <v>44923.877141203702</v>
      </c>
      <c r="AE52" s="12">
        <f>DATE(2023,1,1)</f>
        <v>44927</v>
      </c>
      <c r="AF52" s="13">
        <f>TIME(20,33,15)</f>
        <v>0.85642361111111109</v>
      </c>
      <c r="AG52" s="14">
        <f t="shared" si="2"/>
        <v>44927.856423611112</v>
      </c>
      <c r="AH52" s="32" t="str">
        <f t="shared" si="3"/>
        <v>3-h:30:10</v>
      </c>
      <c r="AI52" s="11">
        <f t="shared" si="4"/>
        <v>343810</v>
      </c>
      <c r="AJ52" s="11">
        <v>302</v>
      </c>
      <c r="AK52" s="18">
        <f>AJ52/$M$5</f>
        <v>6.8918302145139207E-2</v>
      </c>
      <c r="AL52" s="9"/>
      <c r="AM52" s="9"/>
      <c r="AN52" s="9"/>
      <c r="AO52" s="9"/>
      <c r="AP52" s="9"/>
      <c r="AQ52" s="9"/>
    </row>
    <row r="53" spans="11:43">
      <c r="K53" s="9"/>
      <c r="L53" s="9"/>
      <c r="M53" s="9"/>
      <c r="N53" s="9"/>
      <c r="O53" s="9"/>
      <c r="P53" s="9"/>
      <c r="Q53" s="9"/>
      <c r="R53" s="9"/>
      <c r="T53" s="9">
        <v>50</v>
      </c>
      <c r="U53" s="9">
        <v>2</v>
      </c>
      <c r="V53" s="11">
        <v>2006017</v>
      </c>
      <c r="W53" s="11">
        <v>30</v>
      </c>
      <c r="X53" s="11" t="s">
        <v>38</v>
      </c>
      <c r="Y53" s="15">
        <v>0.25</v>
      </c>
      <c r="Z53" s="11">
        <v>14706102</v>
      </c>
      <c r="AA53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53" s="12">
        <f>DATE(2022,12,29)</f>
        <v>44924</v>
      </c>
      <c r="AC53" s="13">
        <f>TIME(0,11,12)</f>
        <v>7.7777777777777767E-3</v>
      </c>
      <c r="AD53" s="14">
        <f t="shared" si="1"/>
        <v>44924.007777777777</v>
      </c>
      <c r="AE53" s="12">
        <f>DATE(2023,1,1)</f>
        <v>44927</v>
      </c>
      <c r="AF53" s="13">
        <f>TIME(18,9,24)</f>
        <v>0.7565277777777778</v>
      </c>
      <c r="AG53" s="14">
        <f t="shared" si="2"/>
        <v>44927.756527777776</v>
      </c>
      <c r="AH53" s="32" t="str">
        <f t="shared" si="3"/>
        <v>3-h:58:12</v>
      </c>
      <c r="AI53" s="11">
        <f t="shared" si="4"/>
        <v>323891</v>
      </c>
      <c r="AJ53" s="11">
        <v>413</v>
      </c>
      <c r="AK53" s="18">
        <f>AJ53/$M$5</f>
        <v>9.4249201277955275E-2</v>
      </c>
      <c r="AL53" s="9"/>
      <c r="AM53" s="9"/>
      <c r="AN53" s="9"/>
      <c r="AO53" s="9"/>
      <c r="AP53" s="9"/>
      <c r="AQ53" s="9"/>
    </row>
    <row r="54" spans="11:43">
      <c r="K54" s="9"/>
      <c r="T54" s="9">
        <v>51</v>
      </c>
      <c r="U54" s="11">
        <v>2</v>
      </c>
      <c r="V54" s="11">
        <v>2006017</v>
      </c>
      <c r="W54" s="11">
        <v>45</v>
      </c>
      <c r="X54" s="11" t="s">
        <v>36</v>
      </c>
      <c r="Y54" s="15" t="s">
        <v>37</v>
      </c>
      <c r="Z54" s="11">
        <v>14337343</v>
      </c>
      <c r="AA54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20579835</v>
      </c>
      <c r="AB54" s="12">
        <f>DATE(2022,11,25)</f>
        <v>44890</v>
      </c>
      <c r="AC54" s="13">
        <f>TIME(11,3,38)</f>
        <v>0.46085648148148151</v>
      </c>
      <c r="AD54" s="14">
        <f t="shared" si="1"/>
        <v>44890.460856481484</v>
      </c>
      <c r="AE54" s="12">
        <f>DATE(2022,11,29)</f>
        <v>44894</v>
      </c>
      <c r="AF54" s="13">
        <f>TIME(2,37,23)</f>
        <v>0.10929398148148149</v>
      </c>
      <c r="AG54" s="14">
        <f t="shared" si="2"/>
        <v>44894.109293981484</v>
      </c>
      <c r="AH54" s="32" t="str">
        <f t="shared" si="3"/>
        <v>3-h:33:45</v>
      </c>
      <c r="AI54" s="11">
        <f t="shared" si="4"/>
        <v>315225</v>
      </c>
      <c r="AJ54" s="11">
        <v>1226</v>
      </c>
      <c r="AK54" s="18">
        <f>AJ54/$M$6</f>
        <v>0.9211119459053343</v>
      </c>
      <c r="AL54" s="9"/>
      <c r="AM54" s="9"/>
      <c r="AN54" s="9"/>
      <c r="AO54" s="9"/>
      <c r="AP54" s="9"/>
      <c r="AQ54" s="9"/>
    </row>
    <row r="55" spans="11:43">
      <c r="T55" s="9">
        <v>52</v>
      </c>
      <c r="U55" s="9">
        <v>2</v>
      </c>
      <c r="V55" s="11">
        <v>2006017</v>
      </c>
      <c r="W55" s="11">
        <v>45</v>
      </c>
      <c r="X55" s="11" t="s">
        <v>38</v>
      </c>
      <c r="Y55" s="15">
        <v>1E-3</v>
      </c>
      <c r="Z55" s="11">
        <v>14706124</v>
      </c>
      <c r="AA55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55" s="12">
        <f>DATE(2022,12,29)</f>
        <v>44924</v>
      </c>
      <c r="AC55" s="13">
        <f>TIME(2,3,19)</f>
        <v>8.5636574074074087E-2</v>
      </c>
      <c r="AD55" s="14">
        <f t="shared" si="1"/>
        <v>44924.085636574076</v>
      </c>
      <c r="AE55" s="12">
        <f>DATE(2022,12,31)</f>
        <v>44926</v>
      </c>
      <c r="AF55" s="13">
        <f>TIME(11,58,30)</f>
        <v>0.49895833333333334</v>
      </c>
      <c r="AG55" s="14">
        <f t="shared" si="2"/>
        <v>44926.49895833333</v>
      </c>
      <c r="AH55" s="32" t="str">
        <f t="shared" si="3"/>
        <v>2-h:55:11</v>
      </c>
      <c r="AI55" s="11">
        <f t="shared" si="4"/>
        <v>208510</v>
      </c>
      <c r="AJ55" s="11">
        <v>746</v>
      </c>
      <c r="AK55" s="18">
        <f>AJ55/$M$6</f>
        <v>0.56048084147257704</v>
      </c>
      <c r="AL55" s="9"/>
      <c r="AM55" s="9"/>
      <c r="AN55" s="9"/>
      <c r="AO55" s="9"/>
      <c r="AP55" s="9"/>
      <c r="AQ55" s="9"/>
    </row>
    <row r="56" spans="11:43">
      <c r="T56" s="9">
        <v>53</v>
      </c>
      <c r="U56" s="9">
        <v>2</v>
      </c>
      <c r="V56" s="11">
        <v>2006017</v>
      </c>
      <c r="W56" s="11">
        <v>45</v>
      </c>
      <c r="X56" s="11" t="s">
        <v>38</v>
      </c>
      <c r="Y56" s="16">
        <v>5.0000000000000001E-3</v>
      </c>
      <c r="Z56" s="11">
        <v>14706127</v>
      </c>
      <c r="AA56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56" s="12">
        <f>DATE(2022,12,29)</f>
        <v>44924</v>
      </c>
      <c r="AC56" s="13">
        <f>TIME(3,43,37)</f>
        <v>0.15528935185185186</v>
      </c>
      <c r="AD56" s="14">
        <f t="shared" si="1"/>
        <v>44924.155289351853</v>
      </c>
      <c r="AE56" s="12">
        <f>DATE(2022,12,31)</f>
        <v>44926</v>
      </c>
      <c r="AF56" s="13">
        <f>TIME(14,9,38)</f>
        <v>0.59002314814814816</v>
      </c>
      <c r="AG56" s="14">
        <f t="shared" si="2"/>
        <v>44926.59002314815</v>
      </c>
      <c r="AH56" s="32" t="str">
        <f t="shared" si="3"/>
        <v>2-h:26:1</v>
      </c>
      <c r="AI56" s="11">
        <f t="shared" si="4"/>
        <v>210361</v>
      </c>
      <c r="AJ56" s="11">
        <v>680</v>
      </c>
      <c r="AK56" s="18">
        <f>AJ56/$M$6</f>
        <v>0.51089406461307285</v>
      </c>
      <c r="AL56" s="9"/>
      <c r="AM56" s="9"/>
      <c r="AN56" s="9"/>
      <c r="AO56" s="9"/>
      <c r="AP56" s="9"/>
      <c r="AQ56" s="9"/>
    </row>
    <row r="57" spans="11:43">
      <c r="T57" s="9">
        <v>54</v>
      </c>
      <c r="U57" s="9">
        <v>2</v>
      </c>
      <c r="V57" s="11">
        <v>2006017</v>
      </c>
      <c r="W57" s="11">
        <v>45</v>
      </c>
      <c r="X57" s="11" t="s">
        <v>38</v>
      </c>
      <c r="Y57" s="16">
        <v>2.5000000000000001E-2</v>
      </c>
      <c r="Z57" s="11">
        <v>14706131</v>
      </c>
      <c r="AA57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57" s="12">
        <f>DATE(2022,12,29)</f>
        <v>44924</v>
      </c>
      <c r="AC57" s="13">
        <f>TIME(23,10,51)</f>
        <v>0.96586805555555555</v>
      </c>
      <c r="AD57" s="14">
        <f t="shared" si="1"/>
        <v>44924.965868055559</v>
      </c>
      <c r="AE57" s="12">
        <f>DATE(2023,1,1)</f>
        <v>44927</v>
      </c>
      <c r="AF57" s="13">
        <f>TIME(9,2,8)</f>
        <v>0.37648148148148147</v>
      </c>
      <c r="AG57" s="14">
        <f t="shared" si="2"/>
        <v>44927.376481481479</v>
      </c>
      <c r="AH57" s="32" t="str">
        <f t="shared" si="3"/>
        <v>2-h:51:17</v>
      </c>
      <c r="AI57" s="11">
        <f t="shared" si="4"/>
        <v>208276</v>
      </c>
      <c r="AJ57" s="11">
        <v>542</v>
      </c>
      <c r="AK57" s="18">
        <f>AJ57/$M$6</f>
        <v>0.40721262208865516</v>
      </c>
      <c r="AL57" s="9"/>
      <c r="AM57" s="9"/>
      <c r="AN57" s="9"/>
      <c r="AO57" s="9"/>
      <c r="AP57" s="9"/>
      <c r="AQ57" s="9"/>
    </row>
    <row r="58" spans="11:43">
      <c r="T58" s="9">
        <v>55</v>
      </c>
      <c r="U58" s="9">
        <v>2</v>
      </c>
      <c r="V58" s="11">
        <v>2006017</v>
      </c>
      <c r="W58" s="11">
        <v>45</v>
      </c>
      <c r="X58" s="11" t="s">
        <v>38</v>
      </c>
      <c r="Y58" s="16">
        <v>0.05</v>
      </c>
      <c r="Z58" s="11">
        <v>14801265</v>
      </c>
      <c r="AA58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58" s="12">
        <f>DATE(2022,12,30)</f>
        <v>44925</v>
      </c>
      <c r="AC58" s="13">
        <f>TIME(14,49,26)</f>
        <v>0.61766203703703704</v>
      </c>
      <c r="AD58" s="14">
        <f t="shared" si="1"/>
        <v>44925.617662037039</v>
      </c>
      <c r="AE58" s="12">
        <f>DATE(2023,1,2)</f>
        <v>44928</v>
      </c>
      <c r="AF58" s="13">
        <f>TIME(2,3,16)</f>
        <v>8.560185185185186E-2</v>
      </c>
      <c r="AG58" s="14">
        <f t="shared" si="2"/>
        <v>44928.085601851853</v>
      </c>
      <c r="AH58" s="32" t="str">
        <f t="shared" si="3"/>
        <v>2-h:13:50</v>
      </c>
      <c r="AI58" s="11">
        <f t="shared" si="4"/>
        <v>213229</v>
      </c>
      <c r="AJ58" s="11">
        <v>430</v>
      </c>
      <c r="AK58" s="18">
        <f>AJ58/$M$6</f>
        <v>0.32306536438767841</v>
      </c>
      <c r="AL58" s="9"/>
      <c r="AM58" s="9"/>
      <c r="AN58" s="9"/>
      <c r="AO58" s="9"/>
      <c r="AP58" s="9"/>
      <c r="AQ58" s="9"/>
    </row>
    <row r="59" spans="11:43">
      <c r="T59" s="9">
        <v>56</v>
      </c>
      <c r="U59" s="9">
        <v>2</v>
      </c>
      <c r="V59" s="11">
        <v>2006017</v>
      </c>
      <c r="W59" s="11">
        <v>45</v>
      </c>
      <c r="X59" s="11" t="s">
        <v>38</v>
      </c>
      <c r="Y59" s="16">
        <v>7.4999999999999997E-2</v>
      </c>
      <c r="Z59" s="11">
        <v>14814220</v>
      </c>
      <c r="AA59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59" s="12">
        <f>DATE(2023,1,2)</f>
        <v>44928</v>
      </c>
      <c r="AC59" s="13">
        <f>TIME(13,0,6)</f>
        <v>0.54173611111111108</v>
      </c>
      <c r="AD59" s="14">
        <f t="shared" si="1"/>
        <v>44928.54173611111</v>
      </c>
      <c r="AE59" s="12">
        <f>DATE(2023,1,4)</f>
        <v>44930</v>
      </c>
      <c r="AF59" s="13">
        <f>TIME(23,32,16)</f>
        <v>0.98074074074074069</v>
      </c>
      <c r="AG59" s="14">
        <f t="shared" si="2"/>
        <v>44930.980740740742</v>
      </c>
      <c r="AH59" s="32" t="str">
        <f t="shared" si="3"/>
        <v>2-h:32:10</v>
      </c>
      <c r="AI59" s="11">
        <f t="shared" si="4"/>
        <v>210730</v>
      </c>
      <c r="AJ59" s="11">
        <v>318</v>
      </c>
      <c r="AK59" s="18">
        <f>AJ59/$M$6</f>
        <v>0.23891810668670171</v>
      </c>
      <c r="AL59" s="9"/>
      <c r="AM59" s="9"/>
      <c r="AN59" s="9"/>
      <c r="AO59" s="9"/>
      <c r="AP59" s="9"/>
      <c r="AQ59" s="9"/>
    </row>
    <row r="60" spans="11:43">
      <c r="O60" s="21"/>
      <c r="T60" s="9">
        <v>57</v>
      </c>
      <c r="U60" s="11">
        <v>2</v>
      </c>
      <c r="V60" s="11">
        <v>2006017</v>
      </c>
      <c r="W60" s="11">
        <v>45</v>
      </c>
      <c r="X60" s="11" t="s">
        <v>38</v>
      </c>
      <c r="Y60" s="16">
        <v>0.1</v>
      </c>
      <c r="Z60" s="11">
        <v>14337679</v>
      </c>
      <c r="AA60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60" s="12">
        <f>DATE(2022,11,27)</f>
        <v>44892</v>
      </c>
      <c r="AC60" s="13">
        <f>TIME(15,42,37)</f>
        <v>0.65459490740740744</v>
      </c>
      <c r="AD60" s="14">
        <f t="shared" si="1"/>
        <v>44892.654594907406</v>
      </c>
      <c r="AE60" s="12">
        <f>DATE(2022,11,30)</f>
        <v>44895</v>
      </c>
      <c r="AF60" s="13">
        <f>TIME(2,8,51)</f>
        <v>8.9479166666666665E-2</v>
      </c>
      <c r="AG60" s="14">
        <f t="shared" si="2"/>
        <v>44895.089479166665</v>
      </c>
      <c r="AH60" s="32" t="str">
        <f t="shared" si="3"/>
        <v>2-h:26:14</v>
      </c>
      <c r="AI60" s="11">
        <f t="shared" si="4"/>
        <v>210373</v>
      </c>
      <c r="AJ60" s="11">
        <v>419</v>
      </c>
      <c r="AK60" s="18">
        <f>AJ60/$M$6</f>
        <v>0.31480090157776108</v>
      </c>
      <c r="AL60" s="9"/>
      <c r="AM60" s="9"/>
      <c r="AN60" s="9"/>
      <c r="AO60" s="9"/>
      <c r="AP60" s="9"/>
      <c r="AQ60" s="9"/>
    </row>
    <row r="61" spans="11:43">
      <c r="T61" s="9">
        <v>58</v>
      </c>
      <c r="U61" s="9">
        <v>2</v>
      </c>
      <c r="V61" s="11">
        <v>2006017</v>
      </c>
      <c r="W61" s="11">
        <v>45</v>
      </c>
      <c r="X61" s="11" t="s">
        <v>38</v>
      </c>
      <c r="Y61" s="16">
        <v>0.15</v>
      </c>
      <c r="Z61" s="11">
        <v>14814222</v>
      </c>
      <c r="AA61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61" s="12">
        <f>DATE(2023,1,2)</f>
        <v>44928</v>
      </c>
      <c r="AC61" s="13">
        <f>TIME(13,1,27)</f>
        <v>0.54267361111111112</v>
      </c>
      <c r="AD61" s="14">
        <f t="shared" si="1"/>
        <v>44928.542673611111</v>
      </c>
      <c r="AE61" s="12">
        <f>DATE(2023,1,4)</f>
        <v>44930</v>
      </c>
      <c r="AF61" s="13">
        <f>TIME(23,11,22)</f>
        <v>0.96622685185185186</v>
      </c>
      <c r="AG61" s="14">
        <f t="shared" si="2"/>
        <v>44930.966226851851</v>
      </c>
      <c r="AH61" s="32" t="str">
        <f t="shared" si="3"/>
        <v>2-h:9:55</v>
      </c>
      <c r="AI61" s="11">
        <f t="shared" si="4"/>
        <v>209394</v>
      </c>
      <c r="AJ61" s="11">
        <v>496</v>
      </c>
      <c r="AK61" s="18">
        <f>AJ61/$M$6</f>
        <v>0.37265214124718254</v>
      </c>
      <c r="AL61" s="9"/>
      <c r="AM61" s="9"/>
      <c r="AN61" s="9"/>
      <c r="AO61" s="9"/>
      <c r="AP61" s="9"/>
      <c r="AQ61" s="9"/>
    </row>
    <row r="62" spans="11:43">
      <c r="T62" s="9">
        <v>59</v>
      </c>
      <c r="U62" s="9">
        <v>2</v>
      </c>
      <c r="V62" s="11">
        <v>2006017</v>
      </c>
      <c r="W62" s="11">
        <v>45</v>
      </c>
      <c r="X62" s="11" t="s">
        <v>38</v>
      </c>
      <c r="Y62" s="16">
        <v>0.2</v>
      </c>
      <c r="Z62" s="11">
        <v>14814227</v>
      </c>
      <c r="AA62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62" s="12">
        <f>DATE(2023,1,2)</f>
        <v>44928</v>
      </c>
      <c r="AC62" s="13">
        <f>TIME(13,2,24)</f>
        <v>0.54333333333333333</v>
      </c>
      <c r="AD62" s="14">
        <f t="shared" si="1"/>
        <v>44928.543333333335</v>
      </c>
      <c r="AE62" s="12">
        <f>DATE(2023,1,4)</f>
        <v>44930</v>
      </c>
      <c r="AF62" s="13">
        <f>TIME(23,41,12)</f>
        <v>0.98694444444444451</v>
      </c>
      <c r="AG62" s="14">
        <f t="shared" si="2"/>
        <v>44930.986944444441</v>
      </c>
      <c r="AH62" s="32" t="str">
        <f t="shared" si="3"/>
        <v>2-h:38:48</v>
      </c>
      <c r="AI62" s="11">
        <f t="shared" si="4"/>
        <v>211127</v>
      </c>
      <c r="AJ62" s="11">
        <v>236</v>
      </c>
      <c r="AK62" s="18">
        <f>AJ62/$M$6</f>
        <v>0.17731029301277235</v>
      </c>
      <c r="AL62" s="9"/>
      <c r="AM62" s="9"/>
      <c r="AN62" s="9"/>
      <c r="AO62" s="9"/>
      <c r="AP62" s="9"/>
      <c r="AQ62" s="9"/>
    </row>
    <row r="63" spans="11:43" ht="16.149999999999999" customHeight="1">
      <c r="T63" s="9">
        <v>60</v>
      </c>
      <c r="U63" s="9">
        <v>2</v>
      </c>
      <c r="V63" s="11">
        <v>2006017</v>
      </c>
      <c r="W63" s="11">
        <v>45</v>
      </c>
      <c r="X63" s="11" t="s">
        <v>38</v>
      </c>
      <c r="Y63" s="16">
        <v>0.25</v>
      </c>
      <c r="Z63" s="11">
        <v>14814230</v>
      </c>
      <c r="AA63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63" s="12">
        <f>DATE(2023,1,2)</f>
        <v>44928</v>
      </c>
      <c r="AC63" s="13">
        <f>TIME(13,3,14)</f>
        <v>0.54391203703703705</v>
      </c>
      <c r="AD63" s="14">
        <f t="shared" si="1"/>
        <v>44928.543912037036</v>
      </c>
      <c r="AE63" s="12">
        <f>DATE(2023,1,4)</f>
        <v>44930</v>
      </c>
      <c r="AF63" s="13">
        <f>TIME(20,53,2)</f>
        <v>0.87016203703703709</v>
      </c>
      <c r="AG63" s="14">
        <f t="shared" si="2"/>
        <v>44930.870162037034</v>
      </c>
      <c r="AH63" s="32" t="str">
        <f t="shared" si="3"/>
        <v>2-h:49:48</v>
      </c>
      <c r="AI63" s="11">
        <f t="shared" si="4"/>
        <v>200987</v>
      </c>
      <c r="AJ63" s="11">
        <v>346</v>
      </c>
      <c r="AK63" s="18">
        <f>AJ63/$M$6</f>
        <v>0.2599549211119459</v>
      </c>
      <c r="AL63" s="9"/>
      <c r="AM63" s="9"/>
      <c r="AN63" s="9"/>
      <c r="AO63" s="9"/>
      <c r="AP63" s="9"/>
      <c r="AQ63" s="9"/>
    </row>
    <row r="64" spans="11:43" ht="14.45" customHeight="1">
      <c r="T64" s="9">
        <v>61</v>
      </c>
      <c r="U64" s="11">
        <v>2</v>
      </c>
      <c r="V64" s="11">
        <v>2006017</v>
      </c>
      <c r="W64" s="11">
        <v>60</v>
      </c>
      <c r="X64" s="11" t="s">
        <v>36</v>
      </c>
      <c r="Y64" s="15" t="s">
        <v>37</v>
      </c>
      <c r="Z64" s="11">
        <v>14337344</v>
      </c>
      <c r="AA64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15434875</v>
      </c>
      <c r="AB64" s="12">
        <f>DATE(2022,11,26)</f>
        <v>44891</v>
      </c>
      <c r="AC64" s="13">
        <f>TIME(23,17,28)</f>
        <v>0.97046296296296297</v>
      </c>
      <c r="AD64" s="14">
        <f t="shared" si="1"/>
        <v>44891.970462962963</v>
      </c>
      <c r="AE64" s="12">
        <f>DATE(2022,11,29)</f>
        <v>44894</v>
      </c>
      <c r="AF64" s="13">
        <f>TIME(9,9,13)</f>
        <v>0.38140046296296298</v>
      </c>
      <c r="AG64" s="14">
        <f t="shared" si="2"/>
        <v>44894.38140046296</v>
      </c>
      <c r="AH64" s="32" t="str">
        <f t="shared" si="3"/>
        <v>2-h:51:45</v>
      </c>
      <c r="AI64" s="11">
        <f t="shared" si="4"/>
        <v>208304</v>
      </c>
      <c r="AJ64" s="11">
        <v>495</v>
      </c>
      <c r="AK64" s="18">
        <f>AJ64/$M$7</f>
        <v>0.94827586206896552</v>
      </c>
      <c r="AL64" s="9"/>
      <c r="AM64" s="9"/>
      <c r="AN64" s="9"/>
      <c r="AO64" s="9"/>
      <c r="AP64" s="9"/>
      <c r="AQ64" s="9"/>
    </row>
    <row r="65" spans="1:43">
      <c r="T65" s="9">
        <v>62</v>
      </c>
      <c r="U65" s="9">
        <v>2</v>
      </c>
      <c r="V65" s="11">
        <v>2006017</v>
      </c>
      <c r="W65" s="11">
        <v>60</v>
      </c>
      <c r="X65" s="11" t="s">
        <v>38</v>
      </c>
      <c r="Y65" s="16">
        <v>1E-3</v>
      </c>
      <c r="Z65" s="11">
        <v>14814233</v>
      </c>
      <c r="AA65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65" s="12">
        <f>DATE(2023,1,2)</f>
        <v>44928</v>
      </c>
      <c r="AC65" s="13">
        <f>TIME(13,4,0)</f>
        <v>0.5444444444444444</v>
      </c>
      <c r="AD65" s="14">
        <f t="shared" si="1"/>
        <v>44928.544444444444</v>
      </c>
      <c r="AE65" s="12">
        <f>DATE(2023,1,4)</f>
        <v>44930</v>
      </c>
      <c r="AF65" s="13">
        <f>TIME(8,40,38)</f>
        <v>0.36155092592592591</v>
      </c>
      <c r="AG65" s="14">
        <f t="shared" si="2"/>
        <v>44930.361550925925</v>
      </c>
      <c r="AH65" s="32" t="str">
        <f t="shared" si="3"/>
        <v>1-h:36:38</v>
      </c>
      <c r="AI65" s="11">
        <f t="shared" si="4"/>
        <v>156997</v>
      </c>
      <c r="AJ65" s="11">
        <v>404</v>
      </c>
      <c r="AK65" s="18">
        <f>AJ65/$M$7</f>
        <v>0.77394636015325668</v>
      </c>
      <c r="AL65" s="9"/>
      <c r="AM65" s="9"/>
      <c r="AN65" s="9"/>
      <c r="AO65" s="9"/>
      <c r="AP65" s="9"/>
      <c r="AQ65" s="9"/>
    </row>
    <row r="66" spans="1:43">
      <c r="T66" s="9">
        <v>63</v>
      </c>
      <c r="U66" s="9">
        <v>2</v>
      </c>
      <c r="V66" s="11">
        <v>2006017</v>
      </c>
      <c r="W66" s="11">
        <v>60</v>
      </c>
      <c r="X66" s="11" t="s">
        <v>38</v>
      </c>
      <c r="Y66" s="15">
        <v>5.0000000000000001E-3</v>
      </c>
      <c r="Z66" s="11">
        <v>14814238</v>
      </c>
      <c r="AA66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66" s="12">
        <f>DATE(2023,1,2)</f>
        <v>44928</v>
      </c>
      <c r="AC66" s="13">
        <f>TIME(13,4,48)</f>
        <v>0.54500000000000004</v>
      </c>
      <c r="AD66" s="14">
        <f t="shared" si="1"/>
        <v>44928.544999999998</v>
      </c>
      <c r="AE66" s="12">
        <f>DATE(2023,1,4)</f>
        <v>44930</v>
      </c>
      <c r="AF66" s="13">
        <f>TIME(8,57,12)</f>
        <v>0.37305555555555553</v>
      </c>
      <c r="AG66" s="14">
        <f t="shared" si="2"/>
        <v>44930.373055555552</v>
      </c>
      <c r="AH66" s="32" t="str">
        <f t="shared" si="3"/>
        <v>1-h:52:24</v>
      </c>
      <c r="AI66" s="11">
        <f t="shared" si="4"/>
        <v>157943</v>
      </c>
      <c r="AJ66" s="11">
        <v>372</v>
      </c>
      <c r="AK66" s="18">
        <f>AJ66/$M$7</f>
        <v>0.71264367816091956</v>
      </c>
      <c r="AL66" s="9"/>
      <c r="AM66" s="9"/>
      <c r="AN66" s="9"/>
      <c r="AO66" s="9"/>
      <c r="AP66" s="9"/>
      <c r="AQ66" s="9"/>
    </row>
    <row r="67" spans="1:43">
      <c r="C67" s="9"/>
      <c r="D67" s="20"/>
      <c r="T67" s="9">
        <v>64</v>
      </c>
      <c r="U67" s="9">
        <v>2</v>
      </c>
      <c r="V67" s="11">
        <v>2006017</v>
      </c>
      <c r="W67" s="11">
        <v>60</v>
      </c>
      <c r="X67" s="11" t="s">
        <v>38</v>
      </c>
      <c r="Y67" s="15">
        <v>2.5000000000000001E-2</v>
      </c>
      <c r="Z67" s="11">
        <v>14814240</v>
      </c>
      <c r="AA67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67" s="12">
        <f>DATE(2023,1,2)</f>
        <v>44928</v>
      </c>
      <c r="AC67" s="13">
        <f>TIME(21,1,7)</f>
        <v>0.87577546296296294</v>
      </c>
      <c r="AD67" s="14">
        <f t="shared" si="1"/>
        <v>44928.875775462962</v>
      </c>
      <c r="AE67" s="12">
        <f>DATE(2023,1,4)</f>
        <v>44930</v>
      </c>
      <c r="AF67" s="13">
        <f>TIME(16,48,50)</f>
        <v>0.70057870370370379</v>
      </c>
      <c r="AG67" s="14">
        <f t="shared" si="2"/>
        <v>44930.700578703705</v>
      </c>
      <c r="AH67" s="32" t="str">
        <f t="shared" si="3"/>
        <v>1-h:47:43</v>
      </c>
      <c r="AI67" s="11">
        <f t="shared" si="4"/>
        <v>157663</v>
      </c>
      <c r="AJ67" s="11">
        <v>244</v>
      </c>
      <c r="AK67" s="18">
        <f>AJ67/$M$7</f>
        <v>0.46743295019157088</v>
      </c>
      <c r="AL67" s="9"/>
      <c r="AM67" s="9"/>
      <c r="AN67" s="9"/>
      <c r="AO67" s="9"/>
      <c r="AP67" s="9"/>
      <c r="AQ67" s="9"/>
    </row>
    <row r="68" spans="1:43" ht="16.149999999999999" customHeight="1">
      <c r="A68" s="4"/>
      <c r="B68" s="4"/>
      <c r="C68" s="4"/>
      <c r="D68" s="4"/>
      <c r="E68" s="4"/>
      <c r="F68" s="4"/>
      <c r="G68" s="4"/>
      <c r="H68" s="4"/>
      <c r="T68" s="9">
        <v>65</v>
      </c>
      <c r="U68" s="9">
        <v>2</v>
      </c>
      <c r="V68" s="11">
        <v>2006017</v>
      </c>
      <c r="W68" s="11">
        <v>60</v>
      </c>
      <c r="X68" s="11" t="s">
        <v>38</v>
      </c>
      <c r="Y68" s="15">
        <v>0.05</v>
      </c>
      <c r="Z68" s="11">
        <v>14814242</v>
      </c>
      <c r="AA68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68" s="12">
        <f>DATE(2023,1,2)</f>
        <v>44928</v>
      </c>
      <c r="AC68" s="13">
        <f>TIME(21,1,7)</f>
        <v>0.87577546296296294</v>
      </c>
      <c r="AD68" s="14">
        <f t="shared" ref="AD68:AD83" si="7">AB68+AC68</f>
        <v>44928.875775462962</v>
      </c>
      <c r="AE68" s="12">
        <f>DATE(2023,1,4)</f>
        <v>44930</v>
      </c>
      <c r="AF68" s="13">
        <f>TIME(16,20,20)</f>
        <v>0.68078703703703702</v>
      </c>
      <c r="AG68" s="14">
        <f t="shared" ref="AG68:AG83" si="8">AE68+AF68</f>
        <v>44930.680787037039</v>
      </c>
      <c r="AH68" s="32" t="str">
        <f t="shared" ref="AH68:AH83" si="9">INT(AG68-AD68) &amp; "-"&amp; TEXT(AG68-AD68,"h"":""m"":""s""""")</f>
        <v>1-h:19:13</v>
      </c>
      <c r="AI68" s="11">
        <f t="shared" ref="AI68:AI83" si="10">INT((AG68-AD68) * 86400)</f>
        <v>155953</v>
      </c>
      <c r="AJ68" s="11">
        <v>274</v>
      </c>
      <c r="AK68" s="18">
        <f>AJ68/$M$7</f>
        <v>0.52490421455938696</v>
      </c>
      <c r="AL68" s="9"/>
      <c r="AM68" s="9"/>
      <c r="AN68" s="9"/>
      <c r="AO68" s="9"/>
      <c r="AP68" s="9"/>
      <c r="AQ68" s="9"/>
    </row>
    <row r="69" spans="1:43">
      <c r="A69" s="11"/>
      <c r="B69" s="11"/>
      <c r="C69" s="15"/>
      <c r="D69" s="9"/>
      <c r="F69" s="17"/>
      <c r="G69" s="17"/>
      <c r="H69" s="17"/>
      <c r="T69" s="9">
        <v>66</v>
      </c>
      <c r="U69" s="9">
        <v>2</v>
      </c>
      <c r="V69" s="11">
        <v>2006017</v>
      </c>
      <c r="W69" s="11">
        <v>60</v>
      </c>
      <c r="X69" s="11" t="s">
        <v>38</v>
      </c>
      <c r="Y69" s="15">
        <v>7.4999999999999997E-2</v>
      </c>
      <c r="Z69" s="11">
        <v>14814246</v>
      </c>
      <c r="AA69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69" s="12">
        <f>DATE(2023,1,2)</f>
        <v>44928</v>
      </c>
      <c r="AC69" s="13">
        <f>TIME(23,11,15)</f>
        <v>0.96614583333333337</v>
      </c>
      <c r="AD69" s="14">
        <f t="shared" si="7"/>
        <v>44928.966145833336</v>
      </c>
      <c r="AE69" s="12">
        <f>DATE(2023,1,4)</f>
        <v>44930</v>
      </c>
      <c r="AF69" s="13">
        <f>TIME(17,30,23)</f>
        <v>0.72943287037037041</v>
      </c>
      <c r="AG69" s="14">
        <f t="shared" si="8"/>
        <v>44930.729432870372</v>
      </c>
      <c r="AH69" s="32" t="str">
        <f t="shared" si="9"/>
        <v>1-h:19:8</v>
      </c>
      <c r="AI69" s="11">
        <f t="shared" si="10"/>
        <v>152347</v>
      </c>
      <c r="AJ69" s="11">
        <v>187</v>
      </c>
      <c r="AK69" s="18">
        <f>AJ69/$M$7</f>
        <v>0.35823754789272033</v>
      </c>
      <c r="AL69" s="9"/>
      <c r="AM69" s="9"/>
      <c r="AN69" s="9"/>
      <c r="AO69" s="9"/>
      <c r="AP69" s="9"/>
      <c r="AQ69" s="9"/>
    </row>
    <row r="70" spans="1:43">
      <c r="A70" s="11"/>
      <c r="B70" s="11"/>
      <c r="C70" s="15"/>
      <c r="D70" s="9"/>
      <c r="F70" s="17"/>
      <c r="G70" s="17"/>
      <c r="H70" s="17"/>
      <c r="T70" s="9">
        <v>67</v>
      </c>
      <c r="U70" s="11">
        <v>2</v>
      </c>
      <c r="V70" s="11">
        <v>2006017</v>
      </c>
      <c r="W70" s="11">
        <v>60</v>
      </c>
      <c r="X70" s="11" t="s">
        <v>38</v>
      </c>
      <c r="Y70" s="16">
        <v>0.1</v>
      </c>
      <c r="Z70" s="11">
        <v>14337696</v>
      </c>
      <c r="AA70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70" s="12">
        <f>DATE(2022,11,27)</f>
        <v>44892</v>
      </c>
      <c r="AC70" s="13">
        <f>TIME(18,27,34)</f>
        <v>0.76914351851851848</v>
      </c>
      <c r="AD70" s="14">
        <f t="shared" si="7"/>
        <v>44892.769143518519</v>
      </c>
      <c r="AE70" s="12">
        <f>DATE(2022,11,29)</f>
        <v>44894</v>
      </c>
      <c r="AF70" s="13">
        <f>TIME(12,49,34)</f>
        <v>0.53442129629629631</v>
      </c>
      <c r="AG70" s="14">
        <f t="shared" si="8"/>
        <v>44894.534421296295</v>
      </c>
      <c r="AH70" s="32" t="str">
        <f t="shared" si="9"/>
        <v>1-h:22:0</v>
      </c>
      <c r="AI70" s="11">
        <f t="shared" si="10"/>
        <v>152519</v>
      </c>
      <c r="AJ70" s="11">
        <v>299</v>
      </c>
      <c r="AK70" s="18">
        <f>AJ70/$M$7</f>
        <v>0.57279693486590033</v>
      </c>
      <c r="AL70" s="9"/>
      <c r="AM70" s="9"/>
      <c r="AN70" s="9"/>
      <c r="AO70" s="9"/>
      <c r="AP70" s="9"/>
      <c r="AQ70" s="9"/>
    </row>
    <row r="71" spans="1:43">
      <c r="A71" s="11"/>
      <c r="B71" s="11"/>
      <c r="C71" s="15"/>
      <c r="D71" s="9"/>
      <c r="F71" s="17"/>
      <c r="G71" s="17"/>
      <c r="H71" s="17"/>
      <c r="T71" s="9">
        <v>68</v>
      </c>
      <c r="U71" s="9">
        <v>2</v>
      </c>
      <c r="V71" s="11">
        <v>2006017</v>
      </c>
      <c r="W71" s="11">
        <v>60</v>
      </c>
      <c r="X71" s="11" t="s">
        <v>38</v>
      </c>
      <c r="Y71" s="16">
        <v>0.15</v>
      </c>
      <c r="Z71" s="11">
        <v>14814249</v>
      </c>
      <c r="AA71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71" s="12">
        <f>DATE(2023,1,3)</f>
        <v>44929</v>
      </c>
      <c r="AC71" s="13">
        <f>TIME(2,43,55)</f>
        <v>0.11383101851851851</v>
      </c>
      <c r="AD71" s="14">
        <f t="shared" si="7"/>
        <v>44929.11383101852</v>
      </c>
      <c r="AE71" s="12">
        <f>DATE(2023,1,4)</f>
        <v>44930</v>
      </c>
      <c r="AF71" s="13">
        <f>TIME(21,39,18)</f>
        <v>0.90229166666666671</v>
      </c>
      <c r="AG71" s="14">
        <f t="shared" si="8"/>
        <v>44930.902291666665</v>
      </c>
      <c r="AH71" s="32" t="str">
        <f t="shared" si="9"/>
        <v>1-h:55:23</v>
      </c>
      <c r="AI71" s="11">
        <f t="shared" si="10"/>
        <v>154522</v>
      </c>
      <c r="AJ71" s="11">
        <v>172</v>
      </c>
      <c r="AK71" s="18">
        <f>AJ71/$M$7</f>
        <v>0.32950191570881227</v>
      </c>
      <c r="AL71" s="9"/>
      <c r="AM71" s="9"/>
      <c r="AN71" s="9"/>
      <c r="AO71" s="9"/>
      <c r="AP71" s="9"/>
      <c r="AQ71" s="9"/>
    </row>
    <row r="72" spans="1:43">
      <c r="A72" s="11"/>
      <c r="B72" s="11"/>
      <c r="C72" s="15"/>
      <c r="D72" s="9"/>
      <c r="F72" s="17"/>
      <c r="G72" s="17"/>
      <c r="H72" s="17"/>
      <c r="T72" s="9">
        <v>69</v>
      </c>
      <c r="U72" s="9">
        <v>2</v>
      </c>
      <c r="V72" s="11">
        <v>2006017</v>
      </c>
      <c r="W72" s="11">
        <v>60</v>
      </c>
      <c r="X72" s="11" t="s">
        <v>38</v>
      </c>
      <c r="Y72" s="16">
        <v>0.2</v>
      </c>
      <c r="Z72" s="11">
        <v>14814250</v>
      </c>
      <c r="AA72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72" s="12">
        <f>DATE(2023,1,3)</f>
        <v>44929</v>
      </c>
      <c r="AC72" s="13">
        <f>TIME(2,51,37)</f>
        <v>0.11917824074074074</v>
      </c>
      <c r="AD72" s="14">
        <f t="shared" si="7"/>
        <v>44929.11917824074</v>
      </c>
      <c r="AE72" s="12">
        <f>DATE(2023,1,4)</f>
        <v>44930</v>
      </c>
      <c r="AF72" s="13">
        <f>TIME(20,51,13)</f>
        <v>0.86890046296296297</v>
      </c>
      <c r="AG72" s="14">
        <f t="shared" si="8"/>
        <v>44930.868900462963</v>
      </c>
      <c r="AH72" s="32" t="str">
        <f t="shared" si="9"/>
        <v>1-h:59:36</v>
      </c>
      <c r="AI72" s="11">
        <f t="shared" si="10"/>
        <v>151176</v>
      </c>
      <c r="AJ72" s="11">
        <v>278</v>
      </c>
      <c r="AK72" s="18">
        <f>AJ72/$M$7</f>
        <v>0.53256704980842917</v>
      </c>
      <c r="AL72" s="9"/>
      <c r="AM72" s="9"/>
      <c r="AN72" s="9"/>
      <c r="AO72" s="9"/>
      <c r="AP72" s="9"/>
      <c r="AQ72" s="9"/>
    </row>
    <row r="73" spans="1:43">
      <c r="A73" s="11"/>
      <c r="B73" s="11"/>
      <c r="C73" s="19"/>
      <c r="D73" s="11"/>
      <c r="E73" s="10"/>
      <c r="F73" s="17"/>
      <c r="G73" s="17"/>
      <c r="H73" s="17"/>
      <c r="T73" s="9">
        <v>70</v>
      </c>
      <c r="U73" s="9">
        <v>2</v>
      </c>
      <c r="V73" s="11">
        <v>2006017</v>
      </c>
      <c r="W73" s="11">
        <v>60</v>
      </c>
      <c r="X73" s="11" t="s">
        <v>38</v>
      </c>
      <c r="Y73" s="16">
        <v>0.25</v>
      </c>
      <c r="Z73" s="11">
        <v>14814252</v>
      </c>
      <c r="AA73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73" s="12">
        <f>DATE(2023,1,3)</f>
        <v>44929</v>
      </c>
      <c r="AC73" s="13">
        <f>TIME(6,1,3)</f>
        <v>0.25072916666666667</v>
      </c>
      <c r="AD73" s="14">
        <f t="shared" si="7"/>
        <v>44929.25072916667</v>
      </c>
      <c r="AE73" s="12">
        <f>DATE(2023,1,4)</f>
        <v>44930</v>
      </c>
      <c r="AF73" s="13">
        <f>TIME(23,56,46)</f>
        <v>0.99775462962962969</v>
      </c>
      <c r="AG73" s="14">
        <f t="shared" si="8"/>
        <v>44930.997754629629</v>
      </c>
      <c r="AH73" s="32" t="str">
        <f t="shared" si="9"/>
        <v>1-h:55:43</v>
      </c>
      <c r="AI73" s="11">
        <f t="shared" si="10"/>
        <v>150942</v>
      </c>
      <c r="AJ73" s="11">
        <v>129</v>
      </c>
      <c r="AK73" s="18">
        <f>AJ73/$M$7</f>
        <v>0.2471264367816092</v>
      </c>
      <c r="AL73" s="9"/>
      <c r="AM73" s="9"/>
      <c r="AN73" s="9"/>
      <c r="AO73" s="9"/>
      <c r="AP73" s="9"/>
      <c r="AQ73" s="9"/>
    </row>
    <row r="74" spans="1:43">
      <c r="A74" s="11"/>
      <c r="B74" s="11"/>
      <c r="C74" s="19"/>
      <c r="D74" s="11"/>
      <c r="E74" s="10"/>
      <c r="F74" s="17"/>
      <c r="G74" s="17"/>
      <c r="H74" s="17"/>
      <c r="T74" s="9">
        <v>71</v>
      </c>
      <c r="U74" s="11">
        <v>2</v>
      </c>
      <c r="V74" s="70">
        <v>2005341</v>
      </c>
      <c r="W74" s="11">
        <v>75</v>
      </c>
      <c r="X74" s="11" t="s">
        <v>36</v>
      </c>
      <c r="Y74" s="15" t="s">
        <v>37</v>
      </c>
      <c r="Z74" s="11">
        <v>14337488</v>
      </c>
      <c r="AA74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12347901</v>
      </c>
      <c r="AB74" s="12">
        <f>DATE(2022,11,23)</f>
        <v>44888</v>
      </c>
      <c r="AC74" s="13">
        <f>TIME(15,26,46)</f>
        <v>0.64358796296296295</v>
      </c>
      <c r="AD74" s="14">
        <f t="shared" si="7"/>
        <v>44888.643587962964</v>
      </c>
      <c r="AE74" s="12">
        <f>DATE(2022,11,25)</f>
        <v>44890</v>
      </c>
      <c r="AF74" s="13">
        <f>TIME(15,22,49)</f>
        <v>0.6408449074074074</v>
      </c>
      <c r="AG74" s="14">
        <f t="shared" si="8"/>
        <v>44890.640844907408</v>
      </c>
      <c r="AH74" s="32" t="str">
        <f t="shared" si="9"/>
        <v>1-h:56:3</v>
      </c>
      <c r="AI74" s="11">
        <f t="shared" si="10"/>
        <v>172562</v>
      </c>
      <c r="AJ74" s="11">
        <v>282</v>
      </c>
      <c r="AK74" s="18">
        <f>AJ74/$M$8</f>
        <v>0.92459016393442628</v>
      </c>
      <c r="AL74" s="9"/>
      <c r="AM74" s="9"/>
      <c r="AN74" s="9"/>
      <c r="AO74" s="9"/>
      <c r="AP74" s="9"/>
      <c r="AQ74" s="9"/>
    </row>
    <row r="75" spans="1:43">
      <c r="A75" s="11"/>
      <c r="B75" s="11"/>
      <c r="C75" s="19"/>
      <c r="D75" s="11"/>
      <c r="E75" s="10"/>
      <c r="F75" s="17"/>
      <c r="G75" s="17"/>
      <c r="H75" s="17"/>
      <c r="T75" s="9">
        <v>72</v>
      </c>
      <c r="U75" s="9">
        <v>2</v>
      </c>
      <c r="V75" s="11">
        <v>2006017</v>
      </c>
      <c r="W75" s="11">
        <v>75</v>
      </c>
      <c r="X75" s="11" t="s">
        <v>38</v>
      </c>
      <c r="Y75" s="16">
        <v>1E-3</v>
      </c>
      <c r="Z75" s="11">
        <v>14814253</v>
      </c>
      <c r="AA75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75" s="12">
        <f>DATE(2023,1,3)</f>
        <v>44929</v>
      </c>
      <c r="AC75" s="13">
        <f>TIME(7,1,35)</f>
        <v>0.29276620370370371</v>
      </c>
      <c r="AD75" s="14">
        <f t="shared" si="7"/>
        <v>44929.292766203704</v>
      </c>
      <c r="AE75" s="12">
        <f>DATE(2023,1,4)</f>
        <v>44930</v>
      </c>
      <c r="AF75" s="13">
        <f>TIME(17,39,18)</f>
        <v>0.73562500000000008</v>
      </c>
      <c r="AG75" s="14">
        <f t="shared" si="8"/>
        <v>44930.735625000001</v>
      </c>
      <c r="AH75" s="32" t="str">
        <f t="shared" si="9"/>
        <v>1-h:37:43</v>
      </c>
      <c r="AI75" s="11">
        <f t="shared" si="10"/>
        <v>124663</v>
      </c>
      <c r="AJ75" s="11">
        <v>224</v>
      </c>
      <c r="AK75" s="18">
        <f>AJ75/$M$8</f>
        <v>0.73442622950819669</v>
      </c>
      <c r="AL75" s="9"/>
      <c r="AM75" s="9"/>
      <c r="AN75" s="9"/>
      <c r="AO75" s="9"/>
      <c r="AP75" s="9"/>
      <c r="AQ75" s="9"/>
    </row>
    <row r="76" spans="1:43">
      <c r="A76" s="11"/>
      <c r="B76" s="11"/>
      <c r="C76" s="19"/>
      <c r="D76" s="11"/>
      <c r="E76" s="10"/>
      <c r="F76" s="17"/>
      <c r="G76" s="17"/>
      <c r="H76" s="17"/>
      <c r="T76" s="9">
        <v>73</v>
      </c>
      <c r="U76" s="11">
        <v>2</v>
      </c>
      <c r="V76" s="70">
        <v>2005341</v>
      </c>
      <c r="W76" s="11">
        <v>75</v>
      </c>
      <c r="X76" s="11" t="s">
        <v>38</v>
      </c>
      <c r="Y76" s="16">
        <v>5.0000000000000001E-3</v>
      </c>
      <c r="Z76" s="11">
        <v>14337874</v>
      </c>
      <c r="AA76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76" s="12">
        <f>DATE(2022,11,27)</f>
        <v>44892</v>
      </c>
      <c r="AC76" s="13">
        <f>TIME(18,34,40)</f>
        <v>0.77407407407407414</v>
      </c>
      <c r="AD76" s="14">
        <f t="shared" si="7"/>
        <v>44892.774074074077</v>
      </c>
      <c r="AE76" s="12">
        <f>DATE(2022,11,29)</f>
        <v>44894</v>
      </c>
      <c r="AF76" s="13">
        <f>TIME(4,14,33)</f>
        <v>0.17677083333333332</v>
      </c>
      <c r="AG76" s="14">
        <f t="shared" si="8"/>
        <v>44894.176770833335</v>
      </c>
      <c r="AH76" s="32" t="str">
        <f t="shared" si="9"/>
        <v>1-h:39:53</v>
      </c>
      <c r="AI76" s="11">
        <f t="shared" si="10"/>
        <v>121192</v>
      </c>
      <c r="AJ76" s="11">
        <v>208</v>
      </c>
      <c r="AK76" s="18">
        <f>AJ76/$M$8</f>
        <v>0.68196721311475406</v>
      </c>
      <c r="AL76" s="9"/>
      <c r="AM76" s="9"/>
      <c r="AN76" s="9"/>
      <c r="AO76" s="9"/>
      <c r="AP76" s="9"/>
      <c r="AQ76" s="9"/>
    </row>
    <row r="77" spans="1:43">
      <c r="A77" s="11"/>
      <c r="B77" s="11"/>
      <c r="C77" s="19"/>
      <c r="D77" s="11"/>
      <c r="E77" s="10"/>
      <c r="F77" s="17"/>
      <c r="G77" s="17"/>
      <c r="H77" s="17"/>
      <c r="T77" s="9">
        <v>74</v>
      </c>
      <c r="U77" s="9">
        <v>2</v>
      </c>
      <c r="V77" s="11">
        <v>2006017</v>
      </c>
      <c r="W77" s="11">
        <v>75</v>
      </c>
      <c r="X77" s="11" t="s">
        <v>38</v>
      </c>
      <c r="Y77" s="16">
        <v>2.5000000000000001E-2</v>
      </c>
      <c r="Z77" s="11">
        <v>14814254</v>
      </c>
      <c r="AA77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77" s="12">
        <f>DATE(2023,1,3)</f>
        <v>44929</v>
      </c>
      <c r="AC77" s="13">
        <f>TIME(8,33,58)</f>
        <v>0.35692129629629626</v>
      </c>
      <c r="AD77" s="14">
        <f t="shared" si="7"/>
        <v>44929.356921296298</v>
      </c>
      <c r="AE77" s="12">
        <f>DATE(2023,1,4)</f>
        <v>44930</v>
      </c>
      <c r="AF77" s="13">
        <f>TIME(20,0,30)</f>
        <v>0.83368055555555554</v>
      </c>
      <c r="AG77" s="14">
        <f t="shared" si="8"/>
        <v>44930.833680555559</v>
      </c>
      <c r="AH77" s="32" t="str">
        <f t="shared" si="9"/>
        <v>1-h:26:32</v>
      </c>
      <c r="AI77" s="11">
        <f t="shared" si="10"/>
        <v>127592</v>
      </c>
      <c r="AJ77" s="11">
        <v>158</v>
      </c>
      <c r="AK77" s="18">
        <f>AJ77/$M$8</f>
        <v>0.5180327868852459</v>
      </c>
      <c r="AL77" s="9"/>
      <c r="AM77" s="9"/>
      <c r="AN77" s="9"/>
      <c r="AO77" s="9"/>
      <c r="AP77" s="9"/>
      <c r="AQ77" s="9"/>
    </row>
    <row r="78" spans="1:43">
      <c r="A78" s="11"/>
      <c r="B78" s="11"/>
      <c r="C78" s="19"/>
      <c r="D78" s="11"/>
      <c r="E78" s="10"/>
      <c r="F78" s="17"/>
      <c r="G78" s="17"/>
      <c r="H78" s="17"/>
      <c r="T78" s="9">
        <v>75</v>
      </c>
      <c r="U78" s="9">
        <v>2</v>
      </c>
      <c r="V78" s="11">
        <v>2006017</v>
      </c>
      <c r="W78" s="11">
        <v>75</v>
      </c>
      <c r="X78" s="11" t="s">
        <v>38</v>
      </c>
      <c r="Y78" s="16">
        <v>0.05</v>
      </c>
      <c r="Z78" s="11">
        <v>14814259</v>
      </c>
      <c r="AA78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78" s="12">
        <f>DATE(2023,1,4)</f>
        <v>44930</v>
      </c>
      <c r="AC78" s="13">
        <f>TIME(4,39,10)</f>
        <v>0.19386574074074073</v>
      </c>
      <c r="AD78" s="14">
        <f t="shared" si="7"/>
        <v>44930.193865740737</v>
      </c>
      <c r="AE78" s="12">
        <f>DATE(2023,1,5)</f>
        <v>44931</v>
      </c>
      <c r="AF78" s="13">
        <f>TIME(15,58,35)</f>
        <v>0.66568287037037044</v>
      </c>
      <c r="AG78" s="14">
        <f t="shared" si="8"/>
        <v>44931.665682870371</v>
      </c>
      <c r="AH78" s="32" t="str">
        <f t="shared" si="9"/>
        <v>1-h:19:25</v>
      </c>
      <c r="AI78" s="11">
        <f t="shared" si="10"/>
        <v>127165</v>
      </c>
      <c r="AJ78" s="11">
        <v>140</v>
      </c>
      <c r="AK78" s="18">
        <f>AJ78/$M$8</f>
        <v>0.45901639344262296</v>
      </c>
      <c r="AL78" s="9"/>
      <c r="AM78" s="9"/>
      <c r="AN78" s="9"/>
      <c r="AO78" s="9"/>
      <c r="AP78" s="9"/>
      <c r="AQ78" s="9"/>
    </row>
    <row r="79" spans="1:43">
      <c r="A79" s="11"/>
      <c r="B79" s="11"/>
      <c r="C79" s="19"/>
      <c r="D79" s="11"/>
      <c r="E79" s="10"/>
      <c r="F79" s="17"/>
      <c r="G79" s="17"/>
      <c r="H79" s="17"/>
      <c r="T79" s="9">
        <v>76</v>
      </c>
      <c r="U79" s="9">
        <v>2</v>
      </c>
      <c r="V79" s="11">
        <v>2006017</v>
      </c>
      <c r="W79" s="11">
        <v>75</v>
      </c>
      <c r="X79" s="11" t="s">
        <v>38</v>
      </c>
      <c r="Y79" s="15">
        <v>7.4999999999999997E-2</v>
      </c>
      <c r="Z79" s="11">
        <v>14814264</v>
      </c>
      <c r="AA79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79" s="12">
        <f>DATE(2023,1,6)</f>
        <v>44932</v>
      </c>
      <c r="AC79" s="13">
        <f>TIME(4,51,49)</f>
        <v>0.20265046296296296</v>
      </c>
      <c r="AD79" s="14">
        <f t="shared" si="7"/>
        <v>44932.202650462961</v>
      </c>
      <c r="AE79" s="12">
        <f>DATE(2023,1,7)</f>
        <v>44933</v>
      </c>
      <c r="AF79" s="13">
        <f>TIME(14,35,34)</f>
        <v>0.60803240740740738</v>
      </c>
      <c r="AG79" s="14">
        <f t="shared" si="8"/>
        <v>44933.608032407406</v>
      </c>
      <c r="AH79" s="32" t="str">
        <f t="shared" si="9"/>
        <v>1-h:43:45</v>
      </c>
      <c r="AI79" s="11">
        <f t="shared" si="10"/>
        <v>121425</v>
      </c>
      <c r="AJ79" s="11">
        <v>103</v>
      </c>
      <c r="AK79" s="18">
        <f>AJ79/$M$8</f>
        <v>0.3377049180327869</v>
      </c>
      <c r="AL79" s="9"/>
      <c r="AM79" s="9"/>
      <c r="AN79" s="9"/>
      <c r="AO79" s="9"/>
      <c r="AP79" s="9"/>
      <c r="AQ79" s="9"/>
    </row>
    <row r="80" spans="1:43">
      <c r="A80" s="11"/>
      <c r="B80" s="11"/>
      <c r="C80" s="19"/>
      <c r="D80" s="11"/>
      <c r="E80" s="10"/>
      <c r="F80" s="17"/>
      <c r="G80" s="17"/>
      <c r="H80" s="17"/>
      <c r="T80" s="9">
        <v>77</v>
      </c>
      <c r="U80" s="11">
        <v>2</v>
      </c>
      <c r="V80" s="70">
        <v>2005341</v>
      </c>
      <c r="W80" s="11">
        <v>75</v>
      </c>
      <c r="X80" s="11" t="s">
        <v>38</v>
      </c>
      <c r="Y80" s="16">
        <v>0.1</v>
      </c>
      <c r="Z80" s="11">
        <v>14337869</v>
      </c>
      <c r="AA80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80" s="12">
        <f>DATE(2022,11,24)</f>
        <v>44889</v>
      </c>
      <c r="AC80" s="13">
        <f>TIME(22,51,13)</f>
        <v>0.95223379629629623</v>
      </c>
      <c r="AD80" s="14">
        <f t="shared" si="7"/>
        <v>44889.952233796299</v>
      </c>
      <c r="AE80" s="12">
        <f>DATE(2022,11,26)</f>
        <v>44891</v>
      </c>
      <c r="AF80" s="13">
        <f>TIME(8,49,1)</f>
        <v>0.36737268518518523</v>
      </c>
      <c r="AG80" s="14">
        <f t="shared" si="8"/>
        <v>44891.367372685185</v>
      </c>
      <c r="AH80" s="32" t="str">
        <f t="shared" si="9"/>
        <v>1-h:57:48</v>
      </c>
      <c r="AI80" s="11">
        <f t="shared" si="10"/>
        <v>122267</v>
      </c>
      <c r="AJ80" s="11">
        <v>148</v>
      </c>
      <c r="AK80" s="18">
        <f>AJ80/$M$8</f>
        <v>0.48524590163934428</v>
      </c>
      <c r="AL80" s="9"/>
      <c r="AM80" s="9"/>
      <c r="AN80" s="9"/>
      <c r="AO80" s="9"/>
      <c r="AP80" s="9"/>
      <c r="AQ80" s="9"/>
    </row>
    <row r="81" spans="19:43">
      <c r="T81" s="9">
        <v>78</v>
      </c>
      <c r="U81" s="9">
        <v>2</v>
      </c>
      <c r="V81" s="11">
        <v>2006017</v>
      </c>
      <c r="W81" s="11">
        <v>75</v>
      </c>
      <c r="X81" s="11" t="s">
        <v>38</v>
      </c>
      <c r="Y81" s="15">
        <v>0.15</v>
      </c>
      <c r="Z81" s="11">
        <v>14814268</v>
      </c>
      <c r="AA81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81" s="12">
        <f>DATE(2023,1,6)</f>
        <v>44932</v>
      </c>
      <c r="AC81" s="13">
        <f>TIME(12,4,52)</f>
        <v>0.50337962962962968</v>
      </c>
      <c r="AD81" s="14">
        <f t="shared" si="7"/>
        <v>44932.503379629627</v>
      </c>
      <c r="AE81" s="12">
        <f>DATE(2023,1,7)</f>
        <v>44933</v>
      </c>
      <c r="AF81" s="13">
        <f>TIME(22,16,9)</f>
        <v>0.9278819444444445</v>
      </c>
      <c r="AG81" s="14">
        <f t="shared" si="8"/>
        <v>44933.927881944444</v>
      </c>
      <c r="AH81" s="32" t="str">
        <f t="shared" si="9"/>
        <v>1-h:11:17</v>
      </c>
      <c r="AI81" s="11">
        <f t="shared" si="10"/>
        <v>123077</v>
      </c>
      <c r="AJ81" s="11">
        <v>111</v>
      </c>
      <c r="AK81" s="18">
        <f>AJ81/$M$8</f>
        <v>0.36393442622950822</v>
      </c>
      <c r="AL81" s="9"/>
      <c r="AM81" s="9"/>
      <c r="AN81" s="9"/>
      <c r="AO81" s="9"/>
      <c r="AP81" s="9"/>
      <c r="AQ81" s="9"/>
    </row>
    <row r="82" spans="19:43">
      <c r="T82" s="9">
        <v>79</v>
      </c>
      <c r="U82" s="9">
        <v>2</v>
      </c>
      <c r="V82" s="11">
        <v>2006017</v>
      </c>
      <c r="W82" s="11">
        <v>75</v>
      </c>
      <c r="X82" s="11" t="s">
        <v>38</v>
      </c>
      <c r="Y82" s="15">
        <v>0.2</v>
      </c>
      <c r="Z82" s="11">
        <v>14814270</v>
      </c>
      <c r="AA82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82" s="12">
        <f>DATE(2023,1,6)</f>
        <v>44932</v>
      </c>
      <c r="AC82" s="13">
        <f>TIME(13,1,2)</f>
        <v>0.54238425925925926</v>
      </c>
      <c r="AD82" s="14">
        <f t="shared" si="7"/>
        <v>44932.542384259257</v>
      </c>
      <c r="AE82" s="12">
        <f>DATE(2023,1,7)</f>
        <v>44933</v>
      </c>
      <c r="AF82" s="13">
        <f>TIME(22,31,41)</f>
        <v>0.93866898148148159</v>
      </c>
      <c r="AG82" s="14">
        <f t="shared" si="8"/>
        <v>44933.938668981478</v>
      </c>
      <c r="AH82" s="32" t="str">
        <f t="shared" si="9"/>
        <v>1-h:30:39</v>
      </c>
      <c r="AI82" s="11">
        <f t="shared" si="10"/>
        <v>120638</v>
      </c>
      <c r="AJ82" s="11">
        <v>80</v>
      </c>
      <c r="AK82" s="18">
        <f>AJ82/$M$8</f>
        <v>0.26229508196721313</v>
      </c>
      <c r="AL82" s="9"/>
      <c r="AM82" s="9"/>
      <c r="AN82" s="9"/>
      <c r="AO82" s="9"/>
      <c r="AP82" s="106"/>
      <c r="AQ82" s="9"/>
    </row>
    <row r="83" spans="19:43">
      <c r="T83" s="63">
        <v>80</v>
      </c>
      <c r="U83" s="63">
        <v>2</v>
      </c>
      <c r="V83" s="64">
        <v>2006017</v>
      </c>
      <c r="W83" s="64">
        <v>75</v>
      </c>
      <c r="X83" s="64" t="s">
        <v>38</v>
      </c>
      <c r="Y83" s="71">
        <v>0.25</v>
      </c>
      <c r="Z83" s="64">
        <v>14814274</v>
      </c>
      <c r="AA83" s="91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83" s="65">
        <f>DATE(2023,1,6)</f>
        <v>44932</v>
      </c>
      <c r="AC83" s="66">
        <f>TIME(13,2,2)</f>
        <v>0.5430787037037037</v>
      </c>
      <c r="AD83" s="67">
        <f t="shared" si="7"/>
        <v>44932.543078703704</v>
      </c>
      <c r="AE83" s="65">
        <f>DATE(2023,1,7)</f>
        <v>44933</v>
      </c>
      <c r="AF83" s="66">
        <f>TIME(23,19,38)</f>
        <v>0.97196759259259258</v>
      </c>
      <c r="AG83" s="67">
        <f t="shared" si="8"/>
        <v>44933.971967592595</v>
      </c>
      <c r="AH83" s="68" t="str">
        <f t="shared" si="9"/>
        <v>1-h:17:36</v>
      </c>
      <c r="AI83" s="64">
        <f t="shared" si="10"/>
        <v>123456</v>
      </c>
      <c r="AJ83" s="64">
        <v>76</v>
      </c>
      <c r="AK83" s="69">
        <f>AJ83/$M$8</f>
        <v>0.24918032786885247</v>
      </c>
      <c r="AL83" s="9"/>
      <c r="AM83" s="9"/>
      <c r="AN83" s="9"/>
      <c r="AO83" s="9"/>
      <c r="AP83" s="107" t="s">
        <v>43</v>
      </c>
      <c r="AQ83" s="108"/>
    </row>
    <row r="84" spans="19:43" ht="15" customHeight="1">
      <c r="S84" s="95" t="s">
        <v>44</v>
      </c>
      <c r="T84" s="82" t="s">
        <v>37</v>
      </c>
      <c r="U84" s="82" t="s">
        <v>37</v>
      </c>
      <c r="V84" s="81" t="s">
        <v>37</v>
      </c>
      <c r="W84" s="56">
        <v>30</v>
      </c>
      <c r="X84" s="56" t="s">
        <v>45</v>
      </c>
      <c r="Y84" s="57">
        <v>0</v>
      </c>
      <c r="Z84" s="81" t="s">
        <v>37</v>
      </c>
      <c r="AA84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84" s="84" t="s">
        <v>37</v>
      </c>
      <c r="AC84" s="85" t="s">
        <v>37</v>
      </c>
      <c r="AD84" s="83" t="s">
        <v>37</v>
      </c>
      <c r="AE84" s="84" t="s">
        <v>37</v>
      </c>
      <c r="AF84" s="85" t="s">
        <v>37</v>
      </c>
      <c r="AG84" s="83" t="s">
        <v>37</v>
      </c>
      <c r="AH84" s="86" t="s">
        <v>37</v>
      </c>
      <c r="AI84" s="11">
        <f>AVERAGE(AI4,AI44)</f>
        <v>601823.5</v>
      </c>
      <c r="AJ84" s="11">
        <f>AVERAGE(AJ4,AJ44)</f>
        <v>4067</v>
      </c>
      <c r="AK84" s="18">
        <f>AJ84/$M$5</f>
        <v>0.9281150159744409</v>
      </c>
      <c r="AL84" s="18">
        <f>((ABS(AI4-AI44)/2)/Table13[[#This Row],[Time Elapsed (s)]])</f>
        <v>6.4578734462845001E-3</v>
      </c>
      <c r="AM84" s="18">
        <f>(ABS(AJ4-AJ44)/2)/Table13[[#This Row],[Number of Particles Conserved]]</f>
        <v>0</v>
      </c>
      <c r="AN84" s="87" t="s">
        <v>37</v>
      </c>
      <c r="AO84" s="87" t="s">
        <v>37</v>
      </c>
      <c r="AP84" s="104">
        <f>(AI84-(AVERAGE(AI85:AI93)))/AI84*100</f>
        <v>40.795183305404322</v>
      </c>
      <c r="AQ84" s="18">
        <f>AK85/Table13[[#This Row],[% of Particles Conserved  ]]</f>
        <v>0.52839931153184161</v>
      </c>
    </row>
    <row r="85" spans="19:43">
      <c r="S85" s="95"/>
      <c r="T85" s="82" t="s">
        <v>37</v>
      </c>
      <c r="U85" s="82" t="s">
        <v>37</v>
      </c>
      <c r="V85" s="81" t="s">
        <v>37</v>
      </c>
      <c r="W85" s="11">
        <v>30</v>
      </c>
      <c r="X85" s="11" t="s">
        <v>46</v>
      </c>
      <c r="Y85" s="16">
        <v>1E-3</v>
      </c>
      <c r="Z85" s="81" t="s">
        <v>37</v>
      </c>
      <c r="AA85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85" s="84" t="s">
        <v>37</v>
      </c>
      <c r="AC85" s="85" t="s">
        <v>37</v>
      </c>
      <c r="AD85" s="83" t="s">
        <v>37</v>
      </c>
      <c r="AE85" s="84" t="s">
        <v>37</v>
      </c>
      <c r="AF85" s="85" t="s">
        <v>37</v>
      </c>
      <c r="AG85" s="83" t="s">
        <v>37</v>
      </c>
      <c r="AH85" s="86" t="s">
        <v>37</v>
      </c>
      <c r="AI85" s="11">
        <f t="shared" ref="AI85:AJ100" si="11">AVERAGE(AI5,AI45)</f>
        <v>353758.5</v>
      </c>
      <c r="AJ85" s="11">
        <f t="shared" si="11"/>
        <v>2149</v>
      </c>
      <c r="AK85" s="18">
        <f>AJ85/$M$5</f>
        <v>0.49041533546325877</v>
      </c>
      <c r="AL85" s="18">
        <f>((ABS(AI5-AI45)/2)/Table13[[#This Row],[Time Elapsed (s)]])</f>
        <v>6.7517812292849496E-3</v>
      </c>
      <c r="AM85" s="18">
        <f>(ABS(AJ5-AJ45)/2)/Table13[[#This Row],[Number of Particles Conserved]]</f>
        <v>0</v>
      </c>
      <c r="AN85" s="18">
        <f>($AI$84-Table13[[#This Row],[Time Elapsed (s)]])/$AI$84</f>
        <v>0.41218895573203773</v>
      </c>
      <c r="AO85" s="18">
        <f>($AJ$84-Table13[[#This Row],[Number of Particles Conserved]])/$AJ$84</f>
        <v>0.47160068846815834</v>
      </c>
      <c r="AP85" s="11"/>
      <c r="AQ85" s="9"/>
    </row>
    <row r="86" spans="19:43">
      <c r="S86" s="95"/>
      <c r="T86" s="82" t="s">
        <v>37</v>
      </c>
      <c r="U86" s="82" t="s">
        <v>37</v>
      </c>
      <c r="V86" s="81" t="s">
        <v>37</v>
      </c>
      <c r="W86" s="11">
        <v>30</v>
      </c>
      <c r="X86" s="11" t="s">
        <v>46</v>
      </c>
      <c r="Y86" s="16">
        <v>5.0000000000000001E-3</v>
      </c>
      <c r="Z86" s="81" t="s">
        <v>37</v>
      </c>
      <c r="AA86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86" s="84" t="s">
        <v>37</v>
      </c>
      <c r="AC86" s="85" t="s">
        <v>37</v>
      </c>
      <c r="AD86" s="83" t="s">
        <v>37</v>
      </c>
      <c r="AE86" s="84" t="s">
        <v>37</v>
      </c>
      <c r="AF86" s="85" t="s">
        <v>37</v>
      </c>
      <c r="AG86" s="83" t="s">
        <v>37</v>
      </c>
      <c r="AH86" s="86" t="s">
        <v>37</v>
      </c>
      <c r="AI86" s="11">
        <f t="shared" si="11"/>
        <v>376417</v>
      </c>
      <c r="AJ86" s="11">
        <f t="shared" si="11"/>
        <v>1079</v>
      </c>
      <c r="AK86" s="18">
        <f>AJ86/$M$5</f>
        <v>0.24623459607485165</v>
      </c>
      <c r="AL86" s="18">
        <f>((ABS(AI6-AI46)/2)/Table13[[#This Row],[Time Elapsed (s)]])</f>
        <v>9.5744878685075328E-3</v>
      </c>
      <c r="AM86" s="18">
        <f>(ABS(AJ6-AJ46)/2)/Table13[[#This Row],[Number of Particles Conserved]]</f>
        <v>0</v>
      </c>
      <c r="AN86" s="18">
        <f>($AI$84-Table13[[#This Row],[Time Elapsed (s)]])/$AI$84</f>
        <v>0.37453921290876813</v>
      </c>
      <c r="AO86" s="18">
        <f>($AJ$84-Table13[[#This Row],[Number of Particles Conserved]])/$AJ$84</f>
        <v>0.73469387755102045</v>
      </c>
      <c r="AP86" s="105"/>
      <c r="AQ86" s="9"/>
    </row>
    <row r="87" spans="19:43">
      <c r="S87" s="95"/>
      <c r="T87" s="82" t="s">
        <v>37</v>
      </c>
      <c r="U87" s="82" t="s">
        <v>37</v>
      </c>
      <c r="V87" s="81" t="s">
        <v>37</v>
      </c>
      <c r="W87" s="11">
        <v>30</v>
      </c>
      <c r="X87" s="11" t="s">
        <v>46</v>
      </c>
      <c r="Y87" s="16">
        <v>2.5000000000000001E-2</v>
      </c>
      <c r="Z87" s="81" t="s">
        <v>37</v>
      </c>
      <c r="AA87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87" s="84" t="s">
        <v>37</v>
      </c>
      <c r="AC87" s="85" t="s">
        <v>37</v>
      </c>
      <c r="AD87" s="83" t="s">
        <v>37</v>
      </c>
      <c r="AE87" s="84" t="s">
        <v>37</v>
      </c>
      <c r="AF87" s="85" t="s">
        <v>37</v>
      </c>
      <c r="AG87" s="83" t="s">
        <v>37</v>
      </c>
      <c r="AH87" s="86" t="s">
        <v>37</v>
      </c>
      <c r="AI87" s="11">
        <f t="shared" si="11"/>
        <v>373229.5</v>
      </c>
      <c r="AJ87" s="11">
        <f t="shared" si="11"/>
        <v>500</v>
      </c>
      <c r="AK87" s="18">
        <f>AJ87/$M$5</f>
        <v>0.11410314924691921</v>
      </c>
      <c r="AL87" s="18">
        <f>((ABS(AI7-AI47)/2)/Table13[[#This Row],[Time Elapsed (s)]])</f>
        <v>3.4965081806234504E-4</v>
      </c>
      <c r="AM87" s="18">
        <f>(ABS(AJ7-AJ47)/2)/Table13[[#This Row],[Number of Particles Conserved]]</f>
        <v>0</v>
      </c>
      <c r="AN87" s="18">
        <f>($AI$84-Table13[[#This Row],[Time Elapsed (s)]])/$AI$84</f>
        <v>0.37983561625626117</v>
      </c>
      <c r="AO87" s="18">
        <f>($AJ$84-Table13[[#This Row],[Number of Particles Conserved]])/$AJ$84</f>
        <v>0.87705925743791491</v>
      </c>
      <c r="AP87" s="9"/>
      <c r="AQ87" s="9"/>
    </row>
    <row r="88" spans="19:43">
      <c r="S88" s="95"/>
      <c r="T88" s="82" t="s">
        <v>37</v>
      </c>
      <c r="U88" s="82" t="s">
        <v>37</v>
      </c>
      <c r="V88" s="81" t="s">
        <v>37</v>
      </c>
      <c r="W88" s="11">
        <v>30</v>
      </c>
      <c r="X88" s="11" t="s">
        <v>46</v>
      </c>
      <c r="Y88" s="16">
        <v>0.05</v>
      </c>
      <c r="Z88" s="81" t="s">
        <v>37</v>
      </c>
      <c r="AA88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88" s="84" t="s">
        <v>37</v>
      </c>
      <c r="AC88" s="85" t="s">
        <v>37</v>
      </c>
      <c r="AD88" s="83" t="s">
        <v>37</v>
      </c>
      <c r="AE88" s="84" t="s">
        <v>37</v>
      </c>
      <c r="AF88" s="85" t="s">
        <v>37</v>
      </c>
      <c r="AG88" s="83" t="s">
        <v>37</v>
      </c>
      <c r="AH88" s="86" t="s">
        <v>37</v>
      </c>
      <c r="AI88" s="11">
        <f t="shared" si="11"/>
        <v>376020</v>
      </c>
      <c r="AJ88" s="11">
        <f t="shared" si="11"/>
        <v>296</v>
      </c>
      <c r="AK88" s="18">
        <f>AJ88/$M$5</f>
        <v>6.754906435417618E-2</v>
      </c>
      <c r="AL88" s="18">
        <f>((ABS(AI8-AI48)/2)/Table13[[#This Row],[Time Elapsed (s)]])</f>
        <v>3.9891495133237594E-5</v>
      </c>
      <c r="AM88" s="18">
        <f>(ABS(AJ8-AJ48)/2)/Table13[[#This Row],[Number of Particles Conserved]]</f>
        <v>0</v>
      </c>
      <c r="AN88" s="18">
        <f>($AI$84-Table13[[#This Row],[Time Elapsed (s)]])/$AI$84</f>
        <v>0.37519887475314606</v>
      </c>
      <c r="AO88" s="18">
        <f>($AJ$84-Table13[[#This Row],[Number of Particles Conserved]])/$AJ$84</f>
        <v>0.92721908040324563</v>
      </c>
      <c r="AP88" s="9"/>
      <c r="AQ88" s="9"/>
    </row>
    <row r="89" spans="19:43">
      <c r="S89" s="95"/>
      <c r="T89" s="82" t="s">
        <v>37</v>
      </c>
      <c r="U89" s="82" t="s">
        <v>37</v>
      </c>
      <c r="V89" s="81" t="s">
        <v>37</v>
      </c>
      <c r="W89" s="11">
        <v>30</v>
      </c>
      <c r="X89" s="11" t="s">
        <v>46</v>
      </c>
      <c r="Y89" s="16">
        <v>7.4999999999999997E-2</v>
      </c>
      <c r="Z89" s="81" t="s">
        <v>37</v>
      </c>
      <c r="AA89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89" s="84" t="s">
        <v>37</v>
      </c>
      <c r="AC89" s="85" t="s">
        <v>37</v>
      </c>
      <c r="AD89" s="83" t="s">
        <v>37</v>
      </c>
      <c r="AE89" s="84" t="s">
        <v>37</v>
      </c>
      <c r="AF89" s="85" t="s">
        <v>37</v>
      </c>
      <c r="AG89" s="83" t="s">
        <v>37</v>
      </c>
      <c r="AH89" s="86" t="s">
        <v>37</v>
      </c>
      <c r="AI89" s="11">
        <f t="shared" si="11"/>
        <v>370474.5</v>
      </c>
      <c r="AJ89" s="11">
        <f t="shared" si="11"/>
        <v>342</v>
      </c>
      <c r="AK89" s="18">
        <f>AJ89/$M$5</f>
        <v>7.804655408489275E-2</v>
      </c>
      <c r="AL89" s="18">
        <f>((ABS(AI9-AI49)/2)/Table13[[#This Row],[Time Elapsed (s)]])</f>
        <v>2.1458966811480952E-4</v>
      </c>
      <c r="AM89" s="18">
        <f>(ABS(AJ9-AJ49)/2)/Table13[[#This Row],[Number of Particles Conserved]]</f>
        <v>0</v>
      </c>
      <c r="AN89" s="18">
        <f>($AI$84-Table13[[#This Row],[Time Elapsed (s)]])/$AI$84</f>
        <v>0.38441337036523165</v>
      </c>
      <c r="AO89" s="18">
        <f>($AJ$84-Table13[[#This Row],[Number of Particles Conserved]])/$AJ$84</f>
        <v>0.91590853208753376</v>
      </c>
      <c r="AP89" s="9"/>
      <c r="AQ89" s="9"/>
    </row>
    <row r="90" spans="19:43">
      <c r="S90" s="95"/>
      <c r="T90" s="82" t="s">
        <v>37</v>
      </c>
      <c r="U90" s="82" t="s">
        <v>37</v>
      </c>
      <c r="V90" s="81" t="s">
        <v>37</v>
      </c>
      <c r="W90" s="11">
        <v>30</v>
      </c>
      <c r="X90" s="11" t="s">
        <v>46</v>
      </c>
      <c r="Y90" s="16">
        <v>0.1</v>
      </c>
      <c r="Z90" s="81" t="s">
        <v>37</v>
      </c>
      <c r="AA90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90" s="84" t="s">
        <v>37</v>
      </c>
      <c r="AC90" s="85" t="s">
        <v>37</v>
      </c>
      <c r="AD90" s="83" t="s">
        <v>37</v>
      </c>
      <c r="AE90" s="84" t="s">
        <v>37</v>
      </c>
      <c r="AF90" s="85" t="s">
        <v>37</v>
      </c>
      <c r="AG90" s="83" t="s">
        <v>37</v>
      </c>
      <c r="AH90" s="86" t="s">
        <v>37</v>
      </c>
      <c r="AI90" s="11">
        <f t="shared" si="11"/>
        <v>349060.5</v>
      </c>
      <c r="AJ90" s="11">
        <f t="shared" si="11"/>
        <v>312</v>
      </c>
      <c r="AK90" s="18">
        <f>AJ90/$M$5</f>
        <v>7.1200365130077589E-2</v>
      </c>
      <c r="AL90" s="18">
        <f>((ABS(AI10-AI50)/2)/Table13[[#This Row],[Time Elapsed (s)]])</f>
        <v>3.1155057647599773E-3</v>
      </c>
      <c r="AM90" s="18">
        <f>(ABS(AJ10-AJ50)/2)/Table13[[#This Row],[Number of Particles Conserved]]</f>
        <v>0</v>
      </c>
      <c r="AN90" s="18">
        <f>($AI$84-Table13[[#This Row],[Time Elapsed (s)]])/$AI$84</f>
        <v>0.41999523115996634</v>
      </c>
      <c r="AO90" s="18">
        <f>($AJ$84-Table13[[#This Row],[Number of Particles Conserved]])/$AJ$84</f>
        <v>0.92328497664125886</v>
      </c>
      <c r="AP90" s="9"/>
      <c r="AQ90" s="9"/>
    </row>
    <row r="91" spans="19:43">
      <c r="S91" s="95"/>
      <c r="T91" s="82" t="s">
        <v>37</v>
      </c>
      <c r="U91" s="82" t="s">
        <v>37</v>
      </c>
      <c r="V91" s="81" t="s">
        <v>37</v>
      </c>
      <c r="W91" s="11">
        <v>30</v>
      </c>
      <c r="X91" s="11" t="s">
        <v>46</v>
      </c>
      <c r="Y91" s="15">
        <v>0.15</v>
      </c>
      <c r="Z91" s="81" t="s">
        <v>37</v>
      </c>
      <c r="AA91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91" s="84" t="s">
        <v>37</v>
      </c>
      <c r="AC91" s="85" t="s">
        <v>37</v>
      </c>
      <c r="AD91" s="83" t="s">
        <v>37</v>
      </c>
      <c r="AE91" s="84" t="s">
        <v>37</v>
      </c>
      <c r="AF91" s="85" t="s">
        <v>37</v>
      </c>
      <c r="AG91" s="83" t="s">
        <v>37</v>
      </c>
      <c r="AH91" s="86" t="s">
        <v>37</v>
      </c>
      <c r="AI91" s="11">
        <f t="shared" si="11"/>
        <v>348494</v>
      </c>
      <c r="AJ91" s="11">
        <f t="shared" si="11"/>
        <v>251</v>
      </c>
      <c r="AK91" s="18">
        <f>AJ91/$M$5</f>
        <v>5.7279780921953447E-2</v>
      </c>
      <c r="AL91" s="18">
        <f>((ABS(AI11-AI51)/2)/Table13[[#This Row],[Time Elapsed (s)]])</f>
        <v>2.7461017980223478E-3</v>
      </c>
      <c r="AM91" s="18">
        <f>(ABS(AJ11-AJ51)/2)/Table13[[#This Row],[Number of Particles Conserved]]</f>
        <v>0</v>
      </c>
      <c r="AN91" s="18">
        <f>($AI$84-Table13[[#This Row],[Time Elapsed (s)]])/$AI$84</f>
        <v>0.42093653704117567</v>
      </c>
      <c r="AO91" s="18">
        <f>($AJ$84-Table13[[#This Row],[Number of Particles Conserved]])/$AJ$84</f>
        <v>0.93828374723383334</v>
      </c>
      <c r="AP91" s="9"/>
      <c r="AQ91" s="9"/>
    </row>
    <row r="92" spans="19:43">
      <c r="S92" s="95"/>
      <c r="T92" s="82" t="s">
        <v>37</v>
      </c>
      <c r="U92" s="82" t="s">
        <v>37</v>
      </c>
      <c r="V92" s="81" t="s">
        <v>37</v>
      </c>
      <c r="W92" s="11">
        <v>30</v>
      </c>
      <c r="X92" s="11" t="s">
        <v>46</v>
      </c>
      <c r="Y92" s="15">
        <v>0.2</v>
      </c>
      <c r="Z92" s="81" t="s">
        <v>37</v>
      </c>
      <c r="AA92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92" s="84" t="s">
        <v>37</v>
      </c>
      <c r="AC92" s="85" t="s">
        <v>37</v>
      </c>
      <c r="AD92" s="83" t="s">
        <v>37</v>
      </c>
      <c r="AE92" s="84" t="s">
        <v>37</v>
      </c>
      <c r="AF92" s="85" t="s">
        <v>37</v>
      </c>
      <c r="AG92" s="83" t="s">
        <v>37</v>
      </c>
      <c r="AH92" s="86" t="s">
        <v>37</v>
      </c>
      <c r="AI92" s="11">
        <f t="shared" si="11"/>
        <v>339197.5</v>
      </c>
      <c r="AJ92" s="11">
        <f t="shared" si="11"/>
        <v>302</v>
      </c>
      <c r="AK92" s="18">
        <f>AJ92/$M$5</f>
        <v>6.8918302145139207E-2</v>
      </c>
      <c r="AL92" s="18">
        <f>((ABS(AI12-AI52)/2)/Table13[[#This Row],[Time Elapsed (s)]])</f>
        <v>1.3598272392927425E-2</v>
      </c>
      <c r="AM92" s="18">
        <f>(ABS(AJ12-AJ52)/2)/Table13[[#This Row],[Number of Particles Conserved]]</f>
        <v>0</v>
      </c>
      <c r="AN92" s="18">
        <f>($AI$84-Table13[[#This Row],[Time Elapsed (s)]])/$AI$84</f>
        <v>0.4363837570317543</v>
      </c>
      <c r="AO92" s="18">
        <f>($AJ$84-Table13[[#This Row],[Number of Particles Conserved]])/$AJ$84</f>
        <v>0.92574379149250063</v>
      </c>
      <c r="AP92" s="9"/>
      <c r="AQ92" s="9"/>
    </row>
    <row r="93" spans="19:43">
      <c r="S93" s="95"/>
      <c r="T93" s="82" t="s">
        <v>37</v>
      </c>
      <c r="U93" s="82" t="s">
        <v>37</v>
      </c>
      <c r="V93" s="81" t="s">
        <v>37</v>
      </c>
      <c r="W93" s="11">
        <v>30</v>
      </c>
      <c r="X93" s="11" t="s">
        <v>46</v>
      </c>
      <c r="Y93" s="15">
        <v>0.25</v>
      </c>
      <c r="Z93" s="81" t="s">
        <v>37</v>
      </c>
      <c r="AA93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30864102</v>
      </c>
      <c r="AB93" s="84" t="s">
        <v>37</v>
      </c>
      <c r="AC93" s="85" t="s">
        <v>37</v>
      </c>
      <c r="AD93" s="83" t="s">
        <v>37</v>
      </c>
      <c r="AE93" s="84" t="s">
        <v>37</v>
      </c>
      <c r="AF93" s="85" t="s">
        <v>37</v>
      </c>
      <c r="AG93" s="83" t="s">
        <v>37</v>
      </c>
      <c r="AH93" s="86" t="s">
        <v>37</v>
      </c>
      <c r="AI93" s="11">
        <f t="shared" si="11"/>
        <v>320125</v>
      </c>
      <c r="AJ93" s="11">
        <f t="shared" si="11"/>
        <v>413</v>
      </c>
      <c r="AK93" s="18">
        <f>AJ93/$M$5</f>
        <v>9.4249201277955275E-2</v>
      </c>
      <c r="AL93" s="18">
        <f>((ABS(AI13-AI53)/2)/Table13[[#This Row],[Time Elapsed (s)]])</f>
        <v>1.176415462709879E-2</v>
      </c>
      <c r="AM93" s="18">
        <f>(ABS(AJ13-AJ53)/2)/Table13[[#This Row],[Number of Particles Conserved]]</f>
        <v>0</v>
      </c>
      <c r="AN93" s="18">
        <f>($AI$84-Table13[[#This Row],[Time Elapsed (s)]])/$AI$84</f>
        <v>0.46807494223804819</v>
      </c>
      <c r="AO93" s="18">
        <f>($AJ$84-Table13[[#This Row],[Number of Particles Conserved]])/$AJ$84</f>
        <v>0.89845094664371772</v>
      </c>
      <c r="AP93" s="9"/>
      <c r="AQ93" s="9"/>
    </row>
    <row r="94" spans="19:43">
      <c r="S94" s="95"/>
      <c r="T94" s="82" t="s">
        <v>37</v>
      </c>
      <c r="U94" s="82" t="s">
        <v>37</v>
      </c>
      <c r="V94" s="81" t="s">
        <v>37</v>
      </c>
      <c r="W94" s="11">
        <v>45</v>
      </c>
      <c r="X94" s="11" t="s">
        <v>45</v>
      </c>
      <c r="Y94" s="15">
        <v>0</v>
      </c>
      <c r="Z94" s="81" t="s">
        <v>37</v>
      </c>
      <c r="AA94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94" s="84" t="s">
        <v>37</v>
      </c>
      <c r="AC94" s="85" t="s">
        <v>37</v>
      </c>
      <c r="AD94" s="83" t="s">
        <v>37</v>
      </c>
      <c r="AE94" s="84" t="s">
        <v>37</v>
      </c>
      <c r="AF94" s="85" t="s">
        <v>37</v>
      </c>
      <c r="AG94" s="83" t="s">
        <v>37</v>
      </c>
      <c r="AH94" s="86" t="s">
        <v>37</v>
      </c>
      <c r="AI94" s="11">
        <f t="shared" si="11"/>
        <v>315084</v>
      </c>
      <c r="AJ94" s="11">
        <f t="shared" si="11"/>
        <v>1226</v>
      </c>
      <c r="AK94" s="18">
        <f>AJ94/$M$6</f>
        <v>0.9211119459053343</v>
      </c>
      <c r="AL94" s="18">
        <f>((ABS(AI14-AI54)/2)/Table13[[#This Row],[Time Elapsed (s)]])</f>
        <v>4.4749971436188444E-4</v>
      </c>
      <c r="AM94" s="18">
        <f>(ABS(AJ14-AJ54)/2)/Table13[[#This Row],[Number of Particles Conserved]]</f>
        <v>0</v>
      </c>
      <c r="AN94" s="87" t="s">
        <v>37</v>
      </c>
      <c r="AO94" s="87" t="s">
        <v>37</v>
      </c>
      <c r="AP94" s="104">
        <f>(AI94-(AVERAGE(AI95:AI103)))/AI94*100</f>
        <v>33.493079094252124</v>
      </c>
      <c r="AQ94" s="18">
        <f>AK95/Table13[[#This Row],[% of Particles Conserved  ]]</f>
        <v>0.60848287112561183</v>
      </c>
    </row>
    <row r="95" spans="19:43">
      <c r="S95" s="95"/>
      <c r="T95" s="82" t="s">
        <v>37</v>
      </c>
      <c r="U95" s="82" t="s">
        <v>37</v>
      </c>
      <c r="V95" s="81" t="s">
        <v>37</v>
      </c>
      <c r="W95" s="11">
        <v>45</v>
      </c>
      <c r="X95" s="11" t="s">
        <v>46</v>
      </c>
      <c r="Y95" s="15">
        <v>1E-3</v>
      </c>
      <c r="Z95" s="81" t="s">
        <v>37</v>
      </c>
      <c r="AA95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95" s="84" t="s">
        <v>37</v>
      </c>
      <c r="AC95" s="85" t="s">
        <v>37</v>
      </c>
      <c r="AD95" s="83" t="s">
        <v>37</v>
      </c>
      <c r="AE95" s="84" t="s">
        <v>37</v>
      </c>
      <c r="AF95" s="85" t="s">
        <v>37</v>
      </c>
      <c r="AG95" s="83" t="s">
        <v>37</v>
      </c>
      <c r="AH95" s="86" t="s">
        <v>37</v>
      </c>
      <c r="AI95" s="11">
        <f t="shared" si="11"/>
        <v>211958.5</v>
      </c>
      <c r="AJ95" s="11">
        <f t="shared" si="11"/>
        <v>746</v>
      </c>
      <c r="AK95" s="18">
        <f>AJ95/$M$6</f>
        <v>0.56048084147257704</v>
      </c>
      <c r="AL95" s="18">
        <f>((ABS(AI15-AI55)/2)/Table13[[#This Row],[Time Elapsed (s)]])</f>
        <v>1.626969430336599E-2</v>
      </c>
      <c r="AM95" s="18">
        <f>(ABS(AJ15-AJ55)/2)/Table13[[#This Row],[Number of Particles Conserved]]</f>
        <v>0</v>
      </c>
      <c r="AN95" s="18">
        <f>($AI$94-Table13[[#This Row],[Time Elapsed (s)]])/$AI$94</f>
        <v>0.32729526094628736</v>
      </c>
      <c r="AO95" s="18">
        <f>($AJ$94-Table13[[#This Row],[Number of Particles Conserved]])/$AJ$94</f>
        <v>0.39151712887438828</v>
      </c>
      <c r="AP95" s="11"/>
      <c r="AQ95" s="9"/>
    </row>
    <row r="96" spans="19:43">
      <c r="S96" s="95"/>
      <c r="T96" s="82" t="s">
        <v>37</v>
      </c>
      <c r="U96" s="82" t="s">
        <v>37</v>
      </c>
      <c r="V96" s="81" t="s">
        <v>37</v>
      </c>
      <c r="W96" s="11">
        <v>45</v>
      </c>
      <c r="X96" s="11" t="s">
        <v>46</v>
      </c>
      <c r="Y96" s="16">
        <v>5.0000000000000001E-3</v>
      </c>
      <c r="Z96" s="81" t="s">
        <v>37</v>
      </c>
      <c r="AA96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96" s="84" t="s">
        <v>37</v>
      </c>
      <c r="AC96" s="85" t="s">
        <v>37</v>
      </c>
      <c r="AD96" s="83" t="s">
        <v>37</v>
      </c>
      <c r="AE96" s="84" t="s">
        <v>37</v>
      </c>
      <c r="AF96" s="85" t="s">
        <v>37</v>
      </c>
      <c r="AG96" s="83" t="s">
        <v>37</v>
      </c>
      <c r="AH96" s="86" t="s">
        <v>37</v>
      </c>
      <c r="AI96" s="11">
        <f t="shared" si="11"/>
        <v>208758.5</v>
      </c>
      <c r="AJ96" s="11">
        <f t="shared" si="11"/>
        <v>680</v>
      </c>
      <c r="AK96" s="18">
        <f>AJ96/$M$6</f>
        <v>0.51089406461307285</v>
      </c>
      <c r="AL96" s="18">
        <f>((ABS(AI16-AI56)/2)/Table13[[#This Row],[Time Elapsed (s)]])</f>
        <v>7.676334137292613E-3</v>
      </c>
      <c r="AM96" s="18">
        <f>(ABS(AJ16-AJ56)/2)/Table13[[#This Row],[Number of Particles Conserved]]</f>
        <v>0</v>
      </c>
      <c r="AN96" s="18">
        <f>($AI$94-Table13[[#This Row],[Time Elapsed (s)]])/$AI$94</f>
        <v>0.33745128283251452</v>
      </c>
      <c r="AO96" s="18">
        <f>($AJ$94-Table13[[#This Row],[Number of Particles Conserved]])/$AJ$94</f>
        <v>0.44535073409461662</v>
      </c>
      <c r="AP96" s="105"/>
      <c r="AQ96" s="9"/>
    </row>
    <row r="97" spans="19:43">
      <c r="S97" s="95"/>
      <c r="T97" s="82" t="s">
        <v>37</v>
      </c>
      <c r="U97" s="82" t="s">
        <v>37</v>
      </c>
      <c r="V97" s="81" t="s">
        <v>37</v>
      </c>
      <c r="W97" s="11">
        <v>45</v>
      </c>
      <c r="X97" s="11" t="s">
        <v>46</v>
      </c>
      <c r="Y97" s="16">
        <v>2.5000000000000001E-2</v>
      </c>
      <c r="Z97" s="81" t="s">
        <v>37</v>
      </c>
      <c r="AA97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97" s="84" t="s">
        <v>37</v>
      </c>
      <c r="AC97" s="85" t="s">
        <v>37</v>
      </c>
      <c r="AD97" s="83" t="s">
        <v>37</v>
      </c>
      <c r="AE97" s="84" t="s">
        <v>37</v>
      </c>
      <c r="AF97" s="85" t="s">
        <v>37</v>
      </c>
      <c r="AG97" s="83" t="s">
        <v>37</v>
      </c>
      <c r="AH97" s="86" t="s">
        <v>37</v>
      </c>
      <c r="AI97" s="11">
        <f t="shared" si="11"/>
        <v>207147.5</v>
      </c>
      <c r="AJ97" s="11">
        <f t="shared" si="11"/>
        <v>542</v>
      </c>
      <c r="AK97" s="18">
        <f>AJ97/$M$6</f>
        <v>0.40721262208865516</v>
      </c>
      <c r="AL97" s="18">
        <f>((ABS(AI17-AI57)/2)/Table13[[#This Row],[Time Elapsed (s)]])</f>
        <v>5.4478089284205698E-3</v>
      </c>
      <c r="AM97" s="18">
        <f>(ABS(AJ17-AJ57)/2)/Table13[[#This Row],[Number of Particles Conserved]]</f>
        <v>0</v>
      </c>
      <c r="AN97" s="18">
        <f>($AI$94-Table13[[#This Row],[Time Elapsed (s)]])/$AI$94</f>
        <v>0.342564205100862</v>
      </c>
      <c r="AO97" s="18">
        <f>($AJ$94-Table13[[#This Row],[Number of Particles Conserved]])/$AJ$94</f>
        <v>0.55791190864600326</v>
      </c>
      <c r="AP97" s="9"/>
      <c r="AQ97" s="9"/>
    </row>
    <row r="98" spans="19:43">
      <c r="S98" s="95"/>
      <c r="T98" s="82" t="s">
        <v>37</v>
      </c>
      <c r="U98" s="82" t="s">
        <v>37</v>
      </c>
      <c r="V98" s="81" t="s">
        <v>37</v>
      </c>
      <c r="W98" s="11">
        <v>45</v>
      </c>
      <c r="X98" s="11" t="s">
        <v>46</v>
      </c>
      <c r="Y98" s="16">
        <v>0.05</v>
      </c>
      <c r="Z98" s="81" t="s">
        <v>37</v>
      </c>
      <c r="AA98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98" s="84" t="s">
        <v>37</v>
      </c>
      <c r="AC98" s="85" t="s">
        <v>37</v>
      </c>
      <c r="AD98" s="83" t="s">
        <v>37</v>
      </c>
      <c r="AE98" s="84" t="s">
        <v>37</v>
      </c>
      <c r="AF98" s="85" t="s">
        <v>37</v>
      </c>
      <c r="AG98" s="83" t="s">
        <v>37</v>
      </c>
      <c r="AH98" s="86" t="s">
        <v>37</v>
      </c>
      <c r="AI98" s="11">
        <f t="shared" si="11"/>
        <v>214324</v>
      </c>
      <c r="AJ98" s="11">
        <f t="shared" si="11"/>
        <v>430</v>
      </c>
      <c r="AK98" s="18">
        <f>AJ98/$M$6</f>
        <v>0.32306536438767841</v>
      </c>
      <c r="AL98" s="18">
        <f>((ABS(AI18-AI58)/2)/Table13[[#This Row],[Time Elapsed (s)]])</f>
        <v>5.1090871764244792E-3</v>
      </c>
      <c r="AM98" s="18">
        <f>(ABS(AJ18-AJ58)/2)/Table13[[#This Row],[Number of Particles Conserved]]</f>
        <v>0</v>
      </c>
      <c r="AN98" s="18">
        <f>($AI$94-Table13[[#This Row],[Time Elapsed (s)]])/$AI$94</f>
        <v>0.31978773914257785</v>
      </c>
      <c r="AO98" s="18">
        <f>($AJ$94-Table13[[#This Row],[Number of Particles Conserved]])/$AJ$94</f>
        <v>0.64926590538336049</v>
      </c>
      <c r="AP98" s="9"/>
      <c r="AQ98" s="9"/>
    </row>
    <row r="99" spans="19:43">
      <c r="S99" s="95"/>
      <c r="T99" s="82" t="s">
        <v>37</v>
      </c>
      <c r="U99" s="82" t="s">
        <v>37</v>
      </c>
      <c r="V99" s="81" t="s">
        <v>37</v>
      </c>
      <c r="W99" s="11">
        <v>45</v>
      </c>
      <c r="X99" s="11" t="s">
        <v>46</v>
      </c>
      <c r="Y99" s="16">
        <v>7.4999999999999997E-2</v>
      </c>
      <c r="Z99" s="81" t="s">
        <v>37</v>
      </c>
      <c r="AA99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99" s="84" t="s">
        <v>37</v>
      </c>
      <c r="AC99" s="85" t="s">
        <v>37</v>
      </c>
      <c r="AD99" s="83" t="s">
        <v>37</v>
      </c>
      <c r="AE99" s="84" t="s">
        <v>37</v>
      </c>
      <c r="AF99" s="85" t="s">
        <v>37</v>
      </c>
      <c r="AG99" s="83" t="s">
        <v>37</v>
      </c>
      <c r="AH99" s="86" t="s">
        <v>37</v>
      </c>
      <c r="AI99" s="11">
        <f t="shared" si="11"/>
        <v>211598.5</v>
      </c>
      <c r="AJ99" s="11">
        <f t="shared" si="11"/>
        <v>318</v>
      </c>
      <c r="AK99" s="18">
        <f>AJ99/$M$6</f>
        <v>0.23891810668670171</v>
      </c>
      <c r="AL99" s="18">
        <f>((ABS(AI19-AI59)/2)/Table13[[#This Row],[Time Elapsed (s)]])</f>
        <v>4.1044714400149344E-3</v>
      </c>
      <c r="AM99" s="18">
        <f>(ABS(AJ19-AJ59)/2)/Table13[[#This Row],[Number of Particles Conserved]]</f>
        <v>0</v>
      </c>
      <c r="AN99" s="18">
        <f>($AI$94-Table13[[#This Row],[Time Elapsed (s)]])/$AI$94</f>
        <v>0.32843781340848788</v>
      </c>
      <c r="AO99" s="18">
        <f>($AJ$94-Table13[[#This Row],[Number of Particles Conserved]])/$AJ$94</f>
        <v>0.74061990212071782</v>
      </c>
      <c r="AP99" s="9"/>
      <c r="AQ99" s="9"/>
    </row>
    <row r="100" spans="19:43">
      <c r="S100" s="95"/>
      <c r="T100" s="82" t="s">
        <v>37</v>
      </c>
      <c r="U100" s="82" t="s">
        <v>37</v>
      </c>
      <c r="V100" s="81" t="s">
        <v>37</v>
      </c>
      <c r="W100" s="11">
        <v>45</v>
      </c>
      <c r="X100" s="11" t="s">
        <v>46</v>
      </c>
      <c r="Y100" s="16">
        <v>0.1</v>
      </c>
      <c r="Z100" s="81" t="s">
        <v>37</v>
      </c>
      <c r="AA100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100" s="84" t="s">
        <v>37</v>
      </c>
      <c r="AC100" s="85" t="s">
        <v>37</v>
      </c>
      <c r="AD100" s="83" t="s">
        <v>37</v>
      </c>
      <c r="AE100" s="84" t="s">
        <v>37</v>
      </c>
      <c r="AF100" s="85" t="s">
        <v>37</v>
      </c>
      <c r="AG100" s="83" t="s">
        <v>37</v>
      </c>
      <c r="AH100" s="86" t="s">
        <v>37</v>
      </c>
      <c r="AI100" s="11">
        <f t="shared" si="11"/>
        <v>210996.5</v>
      </c>
      <c r="AJ100" s="11">
        <f t="shared" si="11"/>
        <v>419</v>
      </c>
      <c r="AK100" s="18">
        <f>AJ100/$M$6</f>
        <v>0.31480090157776108</v>
      </c>
      <c r="AL100" s="18">
        <f>((ABS(AI20-AI60)/2)/Table13[[#This Row],[Time Elapsed (s)]])</f>
        <v>2.9550253203252186E-3</v>
      </c>
      <c r="AM100" s="18">
        <f>(ABS(AJ20-AJ60)/2)/Table13[[#This Row],[Number of Particles Conserved]]</f>
        <v>0</v>
      </c>
      <c r="AN100" s="18">
        <f>($AI$94-Table13[[#This Row],[Time Elapsed (s)]])/$AI$94</f>
        <v>0.3303484150258344</v>
      </c>
      <c r="AO100" s="18">
        <f>($AJ$94-Table13[[#This Row],[Number of Particles Conserved]])/$AJ$94</f>
        <v>0.65823817292006526</v>
      </c>
      <c r="AP100" s="9"/>
      <c r="AQ100" s="9"/>
    </row>
    <row r="101" spans="19:43">
      <c r="S101" s="95"/>
      <c r="T101" s="82" t="s">
        <v>37</v>
      </c>
      <c r="U101" s="82" t="s">
        <v>37</v>
      </c>
      <c r="V101" s="81" t="s">
        <v>37</v>
      </c>
      <c r="W101" s="11">
        <v>45</v>
      </c>
      <c r="X101" s="11" t="s">
        <v>46</v>
      </c>
      <c r="Y101" s="16">
        <v>0.15</v>
      </c>
      <c r="Z101" s="81" t="s">
        <v>37</v>
      </c>
      <c r="AA101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101" s="84" t="s">
        <v>37</v>
      </c>
      <c r="AC101" s="85" t="s">
        <v>37</v>
      </c>
      <c r="AD101" s="83" t="s">
        <v>37</v>
      </c>
      <c r="AE101" s="84" t="s">
        <v>37</v>
      </c>
      <c r="AF101" s="85" t="s">
        <v>37</v>
      </c>
      <c r="AG101" s="83" t="s">
        <v>37</v>
      </c>
      <c r="AH101" s="86" t="s">
        <v>37</v>
      </c>
      <c r="AI101" s="11">
        <f t="shared" ref="AI101:AJ116" si="12">AVERAGE(AI21,AI61)</f>
        <v>208076</v>
      </c>
      <c r="AJ101" s="11">
        <f t="shared" si="12"/>
        <v>496</v>
      </c>
      <c r="AK101" s="18">
        <f>AJ101/$M$6</f>
        <v>0.37265214124718254</v>
      </c>
      <c r="AL101" s="18">
        <f>((ABS(AI21-AI61)/2)/Table13[[#This Row],[Time Elapsed (s)]])</f>
        <v>6.3342240335262116E-3</v>
      </c>
      <c r="AM101" s="18">
        <f>(ABS(AJ21-AJ61)/2)/Table13[[#This Row],[Number of Particles Conserved]]</f>
        <v>0</v>
      </c>
      <c r="AN101" s="18">
        <f>($AI$94-Table13[[#This Row],[Time Elapsed (s)]])/$AI$94</f>
        <v>0.33961737187543639</v>
      </c>
      <c r="AO101" s="18">
        <f>($AJ$94-Table13[[#This Row],[Number of Particles Conserved]])/$AJ$94</f>
        <v>0.59543230016313209</v>
      </c>
      <c r="AP101" s="9"/>
      <c r="AQ101" s="9"/>
    </row>
    <row r="102" spans="19:43">
      <c r="S102" s="95"/>
      <c r="T102" s="82" t="s">
        <v>37</v>
      </c>
      <c r="U102" s="82" t="s">
        <v>37</v>
      </c>
      <c r="V102" s="81" t="s">
        <v>37</v>
      </c>
      <c r="W102" s="11">
        <v>45</v>
      </c>
      <c r="X102" s="11" t="s">
        <v>46</v>
      </c>
      <c r="Y102" s="16">
        <v>0.2</v>
      </c>
      <c r="Z102" s="81" t="s">
        <v>37</v>
      </c>
      <c r="AA102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102" s="84" t="s">
        <v>37</v>
      </c>
      <c r="AC102" s="85" t="s">
        <v>37</v>
      </c>
      <c r="AD102" s="83" t="s">
        <v>37</v>
      </c>
      <c r="AE102" s="84" t="s">
        <v>37</v>
      </c>
      <c r="AF102" s="85" t="s">
        <v>37</v>
      </c>
      <c r="AG102" s="83" t="s">
        <v>37</v>
      </c>
      <c r="AH102" s="86" t="s">
        <v>37</v>
      </c>
      <c r="AI102" s="11">
        <f t="shared" si="12"/>
        <v>209009</v>
      </c>
      <c r="AJ102" s="11">
        <f t="shared" si="12"/>
        <v>236</v>
      </c>
      <c r="AK102" s="18">
        <f>AJ102/$M$6</f>
        <v>0.17731029301277235</v>
      </c>
      <c r="AL102" s="18">
        <f>((ABS(AI22-AI62)/2)/Table13[[#This Row],[Time Elapsed (s)]])</f>
        <v>1.0133534919548919E-2</v>
      </c>
      <c r="AM102" s="18">
        <f>(ABS(AJ22-AJ62)/2)/Table13[[#This Row],[Number of Particles Conserved]]</f>
        <v>0</v>
      </c>
      <c r="AN102" s="18">
        <f>($AI$94-Table13[[#This Row],[Time Elapsed (s)]])/$AI$94</f>
        <v>0.33665625674423327</v>
      </c>
      <c r="AO102" s="18">
        <f>($AJ$94-Table13[[#This Row],[Number of Particles Conserved]])/$AJ$94</f>
        <v>0.80750407830342574</v>
      </c>
      <c r="AP102" s="9"/>
      <c r="AQ102" s="9"/>
    </row>
    <row r="103" spans="19:43">
      <c r="S103" s="95"/>
      <c r="T103" s="82" t="s">
        <v>37</v>
      </c>
      <c r="U103" s="82" t="s">
        <v>37</v>
      </c>
      <c r="V103" s="81" t="s">
        <v>37</v>
      </c>
      <c r="W103" s="11">
        <v>45</v>
      </c>
      <c r="X103" s="11" t="s">
        <v>46</v>
      </c>
      <c r="Y103" s="16">
        <v>0.25</v>
      </c>
      <c r="Z103" s="81" t="s">
        <v>37</v>
      </c>
      <c r="AA103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20576132</v>
      </c>
      <c r="AB103" s="84" t="s">
        <v>37</v>
      </c>
      <c r="AC103" s="85" t="s">
        <v>37</v>
      </c>
      <c r="AD103" s="83" t="s">
        <v>37</v>
      </c>
      <c r="AE103" s="84" t="s">
        <v>37</v>
      </c>
      <c r="AF103" s="85" t="s">
        <v>37</v>
      </c>
      <c r="AG103" s="83" t="s">
        <v>37</v>
      </c>
      <c r="AH103" s="86" t="s">
        <v>37</v>
      </c>
      <c r="AI103" s="11">
        <f t="shared" si="12"/>
        <v>204105.5</v>
      </c>
      <c r="AJ103" s="11">
        <f t="shared" si="12"/>
        <v>346</v>
      </c>
      <c r="AK103" s="18">
        <f>AJ103/$M$6</f>
        <v>0.2599549211119459</v>
      </c>
      <c r="AL103" s="18">
        <f>((ABS(AI23-AI63)/2)/Table13[[#This Row],[Time Elapsed (s)]])</f>
        <v>1.5278863136956132E-2</v>
      </c>
      <c r="AM103" s="18">
        <f>(ABS(AJ23-AJ63)/2)/Table13[[#This Row],[Number of Particles Conserved]]</f>
        <v>0</v>
      </c>
      <c r="AN103" s="18">
        <f>($AI$94-Table13[[#This Row],[Time Elapsed (s)]])/$AI$94</f>
        <v>0.35221877340645669</v>
      </c>
      <c r="AO103" s="18">
        <f>($AJ$94-Table13[[#This Row],[Number of Particles Conserved]])/$AJ$94</f>
        <v>0.71778140293637849</v>
      </c>
      <c r="AP103" s="9"/>
      <c r="AQ103" s="9"/>
    </row>
    <row r="104" spans="19:43">
      <c r="S104" s="95"/>
      <c r="T104" s="82" t="s">
        <v>37</v>
      </c>
      <c r="U104" s="82" t="s">
        <v>37</v>
      </c>
      <c r="V104" s="81" t="s">
        <v>37</v>
      </c>
      <c r="W104" s="11">
        <v>60</v>
      </c>
      <c r="X104" s="11" t="s">
        <v>45</v>
      </c>
      <c r="Y104" s="15">
        <v>0</v>
      </c>
      <c r="Z104" s="81" t="s">
        <v>37</v>
      </c>
      <c r="AA104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104" s="84" t="s">
        <v>37</v>
      </c>
      <c r="AC104" s="85" t="s">
        <v>37</v>
      </c>
      <c r="AD104" s="83" t="s">
        <v>37</v>
      </c>
      <c r="AE104" s="84" t="s">
        <v>37</v>
      </c>
      <c r="AF104" s="85" t="s">
        <v>37</v>
      </c>
      <c r="AG104" s="83" t="s">
        <v>37</v>
      </c>
      <c r="AH104" s="86" t="s">
        <v>37</v>
      </c>
      <c r="AI104" s="11">
        <f t="shared" si="12"/>
        <v>214389.5</v>
      </c>
      <c r="AJ104" s="11">
        <f t="shared" si="12"/>
        <v>495</v>
      </c>
      <c r="AK104" s="18">
        <f>AJ104/$M$7</f>
        <v>0.94827586206896552</v>
      </c>
      <c r="AL104" s="18">
        <f>((ABS(AI24-AI64)/2)/Table13[[#This Row],[Time Elapsed (s)]])</f>
        <v>2.8385252076244406E-2</v>
      </c>
      <c r="AM104" s="18">
        <f>(ABS(AJ24-AJ64)/2)/Table13[[#This Row],[Number of Particles Conserved]]</f>
        <v>0</v>
      </c>
      <c r="AN104" s="87" t="s">
        <v>37</v>
      </c>
      <c r="AO104" s="87" t="s">
        <v>37</v>
      </c>
      <c r="AP104" s="104">
        <f>(AI104-(AVERAGE(AI105:AI113)))/AI104*100</f>
        <v>27.699221380814926</v>
      </c>
      <c r="AQ104" s="18">
        <f>AK105/Table13[[#This Row],[% of Particles Conserved  ]]</f>
        <v>0.81616161616161609</v>
      </c>
    </row>
    <row r="105" spans="19:43">
      <c r="S105" s="95"/>
      <c r="T105" s="82" t="s">
        <v>37</v>
      </c>
      <c r="U105" s="82" t="s">
        <v>37</v>
      </c>
      <c r="V105" s="81" t="s">
        <v>37</v>
      </c>
      <c r="W105" s="11">
        <v>60</v>
      </c>
      <c r="X105" s="11" t="s">
        <v>46</v>
      </c>
      <c r="Y105" s="16">
        <v>1E-3</v>
      </c>
      <c r="Z105" s="81" t="s">
        <v>37</v>
      </c>
      <c r="AA105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105" s="84" t="s">
        <v>37</v>
      </c>
      <c r="AC105" s="85" t="s">
        <v>37</v>
      </c>
      <c r="AD105" s="83" t="s">
        <v>37</v>
      </c>
      <c r="AE105" s="84" t="s">
        <v>37</v>
      </c>
      <c r="AF105" s="85" t="s">
        <v>37</v>
      </c>
      <c r="AG105" s="83" t="s">
        <v>37</v>
      </c>
      <c r="AH105" s="86" t="s">
        <v>37</v>
      </c>
      <c r="AI105" s="11">
        <f t="shared" si="12"/>
        <v>154672</v>
      </c>
      <c r="AJ105" s="11">
        <f t="shared" si="12"/>
        <v>404</v>
      </c>
      <c r="AK105" s="18">
        <f>AJ105/$M$7</f>
        <v>0.77394636015325668</v>
      </c>
      <c r="AL105" s="18">
        <f>((ABS(AI25-AI65)/2)/Table13[[#This Row],[Time Elapsed (s)]])</f>
        <v>1.5031809247956968E-2</v>
      </c>
      <c r="AM105" s="18">
        <f>(ABS(AJ25-AJ65)/2)/Table13[[#This Row],[Number of Particles Conserved]]</f>
        <v>0</v>
      </c>
      <c r="AN105" s="18">
        <f>($AI$104-Table13[[#This Row],[Time Elapsed (s)]])/$AI$104</f>
        <v>0.27854675718726896</v>
      </c>
      <c r="AO105" s="18">
        <f>($AJ$104-Table13[[#This Row],[Number of Particles Conserved]])/$AJ$104</f>
        <v>0.18383838383838383</v>
      </c>
      <c r="AP105" s="11"/>
      <c r="AQ105" s="9"/>
    </row>
    <row r="106" spans="19:43">
      <c r="S106" s="95"/>
      <c r="T106" s="82" t="s">
        <v>37</v>
      </c>
      <c r="U106" s="82" t="s">
        <v>37</v>
      </c>
      <c r="V106" s="81" t="s">
        <v>37</v>
      </c>
      <c r="W106" s="11">
        <v>60</v>
      </c>
      <c r="X106" s="11" t="s">
        <v>46</v>
      </c>
      <c r="Y106" s="15">
        <v>5.0000000000000001E-3</v>
      </c>
      <c r="Z106" s="81" t="s">
        <v>37</v>
      </c>
      <c r="AA106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106" s="84" t="s">
        <v>37</v>
      </c>
      <c r="AC106" s="85" t="s">
        <v>37</v>
      </c>
      <c r="AD106" s="83" t="s">
        <v>37</v>
      </c>
      <c r="AE106" s="84" t="s">
        <v>37</v>
      </c>
      <c r="AF106" s="85" t="s">
        <v>37</v>
      </c>
      <c r="AG106" s="83" t="s">
        <v>37</v>
      </c>
      <c r="AH106" s="86" t="s">
        <v>37</v>
      </c>
      <c r="AI106" s="11">
        <f t="shared" si="12"/>
        <v>159048</v>
      </c>
      <c r="AJ106" s="11">
        <f t="shared" si="12"/>
        <v>372</v>
      </c>
      <c r="AK106" s="18">
        <f>AJ106/$M$7</f>
        <v>0.71264367816091956</v>
      </c>
      <c r="AL106" s="18">
        <f>((ABS(AI26-AI66)/2)/Table13[[#This Row],[Time Elapsed (s)]])</f>
        <v>6.9475881494894627E-3</v>
      </c>
      <c r="AM106" s="18">
        <f>(ABS(AJ26-AJ66)/2)/Table13[[#This Row],[Number of Particles Conserved]]</f>
        <v>0</v>
      </c>
      <c r="AN106" s="18">
        <f>($AI$104-Table13[[#This Row],[Time Elapsed (s)]])/$AI$104</f>
        <v>0.25813530979828769</v>
      </c>
      <c r="AO106" s="18">
        <f>($AJ$104-Table13[[#This Row],[Number of Particles Conserved]])/$AJ$104</f>
        <v>0.24848484848484848</v>
      </c>
      <c r="AP106" s="105"/>
      <c r="AQ106" s="9"/>
    </row>
    <row r="107" spans="19:43">
      <c r="S107" s="95"/>
      <c r="T107" s="82" t="s">
        <v>37</v>
      </c>
      <c r="U107" s="82" t="s">
        <v>37</v>
      </c>
      <c r="V107" s="81" t="s">
        <v>37</v>
      </c>
      <c r="W107" s="11">
        <v>60</v>
      </c>
      <c r="X107" s="11" t="s">
        <v>46</v>
      </c>
      <c r="Y107" s="15">
        <v>2.5000000000000001E-2</v>
      </c>
      <c r="Z107" s="81" t="s">
        <v>37</v>
      </c>
      <c r="AA107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107" s="84" t="s">
        <v>37</v>
      </c>
      <c r="AC107" s="85" t="s">
        <v>37</v>
      </c>
      <c r="AD107" s="83" t="s">
        <v>37</v>
      </c>
      <c r="AE107" s="84" t="s">
        <v>37</v>
      </c>
      <c r="AF107" s="85" t="s">
        <v>37</v>
      </c>
      <c r="AG107" s="83" t="s">
        <v>37</v>
      </c>
      <c r="AH107" s="86" t="s">
        <v>37</v>
      </c>
      <c r="AI107" s="11">
        <f t="shared" si="12"/>
        <v>155014</v>
      </c>
      <c r="AJ107" s="11">
        <f t="shared" si="12"/>
        <v>244</v>
      </c>
      <c r="AK107" s="18">
        <f>AJ107/$M$7</f>
        <v>0.46743295019157088</v>
      </c>
      <c r="AL107" s="18">
        <f>((ABS(AI27-AI67)/2)/Table13[[#This Row],[Time Elapsed (s)]])</f>
        <v>1.708877907801876E-2</v>
      </c>
      <c r="AM107" s="18">
        <f>(ABS(AJ27-AJ67)/2)/Table13[[#This Row],[Number of Particles Conserved]]</f>
        <v>0</v>
      </c>
      <c r="AN107" s="18">
        <f>($AI$104-Table13[[#This Row],[Time Elapsed (s)]])/$AI$104</f>
        <v>0.27695152980906246</v>
      </c>
      <c r="AO107" s="18">
        <f>($AJ$104-Table13[[#This Row],[Number of Particles Conserved]])/$AJ$104</f>
        <v>0.50707070707070712</v>
      </c>
      <c r="AP107" s="9"/>
      <c r="AQ107" s="9"/>
    </row>
    <row r="108" spans="19:43">
      <c r="S108" s="95"/>
      <c r="T108" s="82" t="s">
        <v>37</v>
      </c>
      <c r="U108" s="82" t="s">
        <v>37</v>
      </c>
      <c r="V108" s="81" t="s">
        <v>37</v>
      </c>
      <c r="W108" s="11">
        <v>60</v>
      </c>
      <c r="X108" s="11" t="s">
        <v>46</v>
      </c>
      <c r="Y108" s="15">
        <v>0.05</v>
      </c>
      <c r="Z108" s="81" t="s">
        <v>37</v>
      </c>
      <c r="AA108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108" s="84" t="s">
        <v>37</v>
      </c>
      <c r="AC108" s="85" t="s">
        <v>37</v>
      </c>
      <c r="AD108" s="83" t="s">
        <v>37</v>
      </c>
      <c r="AE108" s="84" t="s">
        <v>37</v>
      </c>
      <c r="AF108" s="85" t="s">
        <v>37</v>
      </c>
      <c r="AG108" s="83" t="s">
        <v>37</v>
      </c>
      <c r="AH108" s="86" t="s">
        <v>37</v>
      </c>
      <c r="AI108" s="11">
        <f t="shared" si="12"/>
        <v>157100</v>
      </c>
      <c r="AJ108" s="11">
        <f t="shared" si="12"/>
        <v>274</v>
      </c>
      <c r="AK108" s="18">
        <f>AJ108/$M$7</f>
        <v>0.52490421455938696</v>
      </c>
      <c r="AL108" s="18">
        <f>((ABS(AI28-AI68)/2)/Table13[[#This Row],[Time Elapsed (s)]])</f>
        <v>7.3010821133036282E-3</v>
      </c>
      <c r="AM108" s="18">
        <f>(ABS(AJ28-AJ68)/2)/Table13[[#This Row],[Number of Particles Conserved]]</f>
        <v>0</v>
      </c>
      <c r="AN108" s="18">
        <f>($AI$104-Table13[[#This Row],[Time Elapsed (s)]])/$AI$104</f>
        <v>0.26722157568351063</v>
      </c>
      <c r="AO108" s="18">
        <f>($AJ$104-Table13[[#This Row],[Number of Particles Conserved]])/$AJ$104</f>
        <v>0.44646464646464645</v>
      </c>
      <c r="AP108" s="9"/>
      <c r="AQ108" s="9"/>
    </row>
    <row r="109" spans="19:43">
      <c r="S109" s="95"/>
      <c r="T109" s="82" t="s">
        <v>37</v>
      </c>
      <c r="U109" s="82" t="s">
        <v>37</v>
      </c>
      <c r="V109" s="81" t="s">
        <v>37</v>
      </c>
      <c r="W109" s="11">
        <v>60</v>
      </c>
      <c r="X109" s="11" t="s">
        <v>46</v>
      </c>
      <c r="Y109" s="15">
        <v>7.4999999999999997E-2</v>
      </c>
      <c r="Z109" s="81" t="s">
        <v>37</v>
      </c>
      <c r="AA109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109" s="84" t="s">
        <v>37</v>
      </c>
      <c r="AC109" s="85" t="s">
        <v>37</v>
      </c>
      <c r="AD109" s="83" t="s">
        <v>37</v>
      </c>
      <c r="AE109" s="84" t="s">
        <v>37</v>
      </c>
      <c r="AF109" s="85" t="s">
        <v>37</v>
      </c>
      <c r="AG109" s="83" t="s">
        <v>37</v>
      </c>
      <c r="AH109" s="86" t="s">
        <v>37</v>
      </c>
      <c r="AI109" s="11">
        <f t="shared" si="12"/>
        <v>154803</v>
      </c>
      <c r="AJ109" s="11">
        <f t="shared" si="12"/>
        <v>187</v>
      </c>
      <c r="AK109" s="18">
        <f>AJ109/$M$7</f>
        <v>0.35823754789272033</v>
      </c>
      <c r="AL109" s="18">
        <f>((ABS(AI29-AI69)/2)/Table13[[#This Row],[Time Elapsed (s)]])</f>
        <v>1.5865325607384871E-2</v>
      </c>
      <c r="AM109" s="18">
        <f>(ABS(AJ29-AJ69)/2)/Table13[[#This Row],[Number of Particles Conserved]]</f>
        <v>0</v>
      </c>
      <c r="AN109" s="18">
        <f>($AI$104-Table13[[#This Row],[Time Elapsed (s)]])/$AI$104</f>
        <v>0.27793571979971032</v>
      </c>
      <c r="AO109" s="18">
        <f>($AJ$104-Table13[[#This Row],[Number of Particles Conserved]])/$AJ$104</f>
        <v>0.62222222222222223</v>
      </c>
      <c r="AP109" s="9"/>
      <c r="AQ109" s="9"/>
    </row>
    <row r="110" spans="19:43">
      <c r="S110" s="95"/>
      <c r="T110" s="82" t="s">
        <v>37</v>
      </c>
      <c r="U110" s="82" t="s">
        <v>37</v>
      </c>
      <c r="V110" s="81" t="s">
        <v>37</v>
      </c>
      <c r="W110" s="11">
        <v>60</v>
      </c>
      <c r="X110" s="11" t="s">
        <v>46</v>
      </c>
      <c r="Y110" s="16">
        <v>0.1</v>
      </c>
      <c r="Z110" s="81" t="s">
        <v>37</v>
      </c>
      <c r="AA110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110" s="84" t="s">
        <v>37</v>
      </c>
      <c r="AC110" s="85" t="s">
        <v>37</v>
      </c>
      <c r="AD110" s="83" t="s">
        <v>37</v>
      </c>
      <c r="AE110" s="84" t="s">
        <v>37</v>
      </c>
      <c r="AF110" s="85" t="s">
        <v>37</v>
      </c>
      <c r="AG110" s="83" t="s">
        <v>37</v>
      </c>
      <c r="AH110" s="86" t="s">
        <v>37</v>
      </c>
      <c r="AI110" s="11">
        <f t="shared" si="12"/>
        <v>152996</v>
      </c>
      <c r="AJ110" s="11">
        <f t="shared" si="12"/>
        <v>299</v>
      </c>
      <c r="AK110" s="18">
        <f>AJ110/$M$7</f>
        <v>0.57279693486590033</v>
      </c>
      <c r="AL110" s="18">
        <f>((ABS(AI30-AI70)/2)/Table13[[#This Row],[Time Elapsed (s)]])</f>
        <v>3.1177285680671391E-3</v>
      </c>
      <c r="AM110" s="18">
        <f>(ABS(AJ30-AJ70)/2)/Table13[[#This Row],[Number of Particles Conserved]]</f>
        <v>0</v>
      </c>
      <c r="AN110" s="18">
        <f>($AI$104-Table13[[#This Row],[Time Elapsed (s)]])/$AI$104</f>
        <v>0.2863643042219885</v>
      </c>
      <c r="AO110" s="18">
        <f>($AJ$104-Table13[[#This Row],[Number of Particles Conserved]])/$AJ$104</f>
        <v>0.39595959595959596</v>
      </c>
      <c r="AP110" s="9"/>
      <c r="AQ110" s="9"/>
    </row>
    <row r="111" spans="19:43">
      <c r="S111" s="95"/>
      <c r="T111" s="82" t="s">
        <v>37</v>
      </c>
      <c r="U111" s="82" t="s">
        <v>37</v>
      </c>
      <c r="V111" s="81" t="s">
        <v>37</v>
      </c>
      <c r="W111" s="11">
        <v>60</v>
      </c>
      <c r="X111" s="11" t="s">
        <v>46</v>
      </c>
      <c r="Y111" s="16">
        <v>0.15</v>
      </c>
      <c r="Z111" s="81" t="s">
        <v>37</v>
      </c>
      <c r="AA111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111" s="84" t="s">
        <v>37</v>
      </c>
      <c r="AC111" s="85" t="s">
        <v>37</v>
      </c>
      <c r="AD111" s="83" t="s">
        <v>37</v>
      </c>
      <c r="AE111" s="84" t="s">
        <v>37</v>
      </c>
      <c r="AF111" s="85" t="s">
        <v>37</v>
      </c>
      <c r="AG111" s="83" t="s">
        <v>37</v>
      </c>
      <c r="AH111" s="86" t="s">
        <v>37</v>
      </c>
      <c r="AI111" s="11">
        <f t="shared" si="12"/>
        <v>156447</v>
      </c>
      <c r="AJ111" s="11">
        <f t="shared" si="12"/>
        <v>172</v>
      </c>
      <c r="AK111" s="18">
        <f>AJ111/$M$7</f>
        <v>0.32950191570881227</v>
      </c>
      <c r="AL111" s="18">
        <f>((ABS(AI31-AI71)/2)/Table13[[#This Row],[Time Elapsed (s)]])</f>
        <v>1.2304486503416492E-2</v>
      </c>
      <c r="AM111" s="18">
        <f>(ABS(AJ31-AJ71)/2)/Table13[[#This Row],[Number of Particles Conserved]]</f>
        <v>0</v>
      </c>
      <c r="AN111" s="18">
        <f>($AI$104-Table13[[#This Row],[Time Elapsed (s)]])/$AI$104</f>
        <v>0.27026743380622653</v>
      </c>
      <c r="AO111" s="18">
        <f>($AJ$104-Table13[[#This Row],[Number of Particles Conserved]])/$AJ$104</f>
        <v>0.65252525252525251</v>
      </c>
      <c r="AP111" s="9"/>
      <c r="AQ111" s="9"/>
    </row>
    <row r="112" spans="19:43">
      <c r="S112" s="95"/>
      <c r="T112" s="82" t="s">
        <v>37</v>
      </c>
      <c r="U112" s="82" t="s">
        <v>37</v>
      </c>
      <c r="V112" s="81" t="s">
        <v>37</v>
      </c>
      <c r="W112" s="11">
        <v>60</v>
      </c>
      <c r="X112" s="11" t="s">
        <v>46</v>
      </c>
      <c r="Y112" s="16">
        <v>0.2</v>
      </c>
      <c r="Z112" s="81" t="s">
        <v>37</v>
      </c>
      <c r="AA112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112" s="84" t="s">
        <v>37</v>
      </c>
      <c r="AC112" s="85" t="s">
        <v>37</v>
      </c>
      <c r="AD112" s="83" t="s">
        <v>37</v>
      </c>
      <c r="AE112" s="84" t="s">
        <v>37</v>
      </c>
      <c r="AF112" s="85" t="s">
        <v>37</v>
      </c>
      <c r="AG112" s="83" t="s">
        <v>37</v>
      </c>
      <c r="AH112" s="86" t="s">
        <v>37</v>
      </c>
      <c r="AI112" s="11">
        <f t="shared" si="12"/>
        <v>152906</v>
      </c>
      <c r="AJ112" s="11">
        <f t="shared" si="12"/>
        <v>278</v>
      </c>
      <c r="AK112" s="18">
        <f>AJ112/$M$7</f>
        <v>0.53256704980842917</v>
      </c>
      <c r="AL112" s="18">
        <f>((ABS(AI32-AI72)/2)/Table13[[#This Row],[Time Elapsed (s)]])</f>
        <v>1.131414071390266E-2</v>
      </c>
      <c r="AM112" s="18">
        <f>(ABS(AJ32-AJ72)/2)/Table13[[#This Row],[Number of Particles Conserved]]</f>
        <v>0</v>
      </c>
      <c r="AN112" s="18">
        <f>($AI$104-Table13[[#This Row],[Time Elapsed (s)]])/$AI$104</f>
        <v>0.28678410090046386</v>
      </c>
      <c r="AO112" s="18">
        <f>($AJ$104-Table13[[#This Row],[Number of Particles Conserved]])/$AJ$104</f>
        <v>0.43838383838383838</v>
      </c>
      <c r="AP112" s="9"/>
      <c r="AQ112" s="9"/>
    </row>
    <row r="113" spans="1:43">
      <c r="S113" s="95"/>
      <c r="T113" s="82" t="s">
        <v>37</v>
      </c>
      <c r="U113" s="82" t="s">
        <v>37</v>
      </c>
      <c r="V113" s="81" t="s">
        <v>37</v>
      </c>
      <c r="W113" s="11">
        <v>60</v>
      </c>
      <c r="X113" s="11" t="s">
        <v>46</v>
      </c>
      <c r="Y113" s="16">
        <v>0.25</v>
      </c>
      <c r="Z113" s="81" t="s">
        <v>37</v>
      </c>
      <c r="AA113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15432099</v>
      </c>
      <c r="AB113" s="84" t="s">
        <v>37</v>
      </c>
      <c r="AC113" s="85" t="s">
        <v>37</v>
      </c>
      <c r="AD113" s="83" t="s">
        <v>37</v>
      </c>
      <c r="AE113" s="84" t="s">
        <v>37</v>
      </c>
      <c r="AF113" s="85" t="s">
        <v>37</v>
      </c>
      <c r="AG113" s="83" t="s">
        <v>37</v>
      </c>
      <c r="AH113" s="86" t="s">
        <v>37</v>
      </c>
      <c r="AI113" s="11">
        <f t="shared" si="12"/>
        <v>152061.5</v>
      </c>
      <c r="AJ113" s="11">
        <f t="shared" si="12"/>
        <v>129</v>
      </c>
      <c r="AK113" s="18">
        <f>AJ113/$M$7</f>
        <v>0.2471264367816092</v>
      </c>
      <c r="AL113" s="18">
        <f>((ABS(AI33-AI73)/2)/Table13[[#This Row],[Time Elapsed (s)]])</f>
        <v>7.3621528131709866E-3</v>
      </c>
      <c r="AM113" s="18">
        <f>(ABS(AJ33-AJ73)/2)/Table13[[#This Row],[Number of Particles Conserved]]</f>
        <v>0</v>
      </c>
      <c r="AN113" s="18">
        <f>($AI$104-Table13[[#This Row],[Time Elapsed (s)]])/$AI$104</f>
        <v>0.29072319306682465</v>
      </c>
      <c r="AO113" s="18">
        <f>($AJ$104-Table13[[#This Row],[Number of Particles Conserved]])/$AJ$104</f>
        <v>0.73939393939393938</v>
      </c>
      <c r="AP113" s="9"/>
      <c r="AQ113" s="9"/>
    </row>
    <row r="114" spans="1:43">
      <c r="S114" s="95"/>
      <c r="T114" s="82" t="s">
        <v>37</v>
      </c>
      <c r="U114" s="82" t="s">
        <v>37</v>
      </c>
      <c r="V114" s="81" t="s">
        <v>37</v>
      </c>
      <c r="W114" s="11">
        <v>75</v>
      </c>
      <c r="X114" s="11" t="s">
        <v>45</v>
      </c>
      <c r="Y114" s="15">
        <v>0</v>
      </c>
      <c r="Z114" s="81" t="s">
        <v>37</v>
      </c>
      <c r="AA114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114" s="84" t="s">
        <v>37</v>
      </c>
      <c r="AC114" s="85" t="s">
        <v>37</v>
      </c>
      <c r="AD114" s="83" t="s">
        <v>37</v>
      </c>
      <c r="AE114" s="84" t="s">
        <v>37</v>
      </c>
      <c r="AF114" s="85" t="s">
        <v>37</v>
      </c>
      <c r="AG114" s="83" t="s">
        <v>37</v>
      </c>
      <c r="AH114" s="86" t="s">
        <v>37</v>
      </c>
      <c r="AI114" s="11">
        <f t="shared" si="12"/>
        <v>171250.5</v>
      </c>
      <c r="AJ114" s="11">
        <f t="shared" si="12"/>
        <v>282</v>
      </c>
      <c r="AK114" s="18">
        <f>AJ114/$M$8</f>
        <v>0.92459016393442628</v>
      </c>
      <c r="AL114" s="18">
        <f>((ABS(AI34-AI74)/2)/Table13[[#This Row],[Time Elapsed (s)]])</f>
        <v>7.6583718003743056E-3</v>
      </c>
      <c r="AM114" s="18">
        <f>(ABS(AJ34-AJ74)/2)/Table13[[#This Row],[Number of Particles Conserved]]</f>
        <v>0</v>
      </c>
      <c r="AN114" s="87" t="s">
        <v>37</v>
      </c>
      <c r="AO114" s="87" t="s">
        <v>37</v>
      </c>
      <c r="AP114" s="104">
        <f>(AI114-(AVERAGE(AI115:AI123)))/AI114*100</f>
        <v>27.662173897951309</v>
      </c>
      <c r="AQ114" s="18">
        <f>AK115/Table13[[#This Row],[% of Particles Conserved  ]]</f>
        <v>0.7943262411347517</v>
      </c>
    </row>
    <row r="115" spans="1:43">
      <c r="S115" s="95"/>
      <c r="T115" s="82" t="s">
        <v>37</v>
      </c>
      <c r="U115" s="82" t="s">
        <v>37</v>
      </c>
      <c r="V115" s="81" t="s">
        <v>37</v>
      </c>
      <c r="W115" s="11">
        <v>75</v>
      </c>
      <c r="X115" s="11" t="s">
        <v>46</v>
      </c>
      <c r="Y115" s="16">
        <v>1E-3</v>
      </c>
      <c r="Z115" s="81" t="s">
        <v>37</v>
      </c>
      <c r="AA115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115" s="84" t="s">
        <v>37</v>
      </c>
      <c r="AC115" s="85" t="s">
        <v>37</v>
      </c>
      <c r="AD115" s="83" t="s">
        <v>37</v>
      </c>
      <c r="AE115" s="84" t="s">
        <v>37</v>
      </c>
      <c r="AF115" s="85" t="s">
        <v>37</v>
      </c>
      <c r="AG115" s="83" t="s">
        <v>37</v>
      </c>
      <c r="AH115" s="86" t="s">
        <v>37</v>
      </c>
      <c r="AI115" s="11">
        <f t="shared" si="12"/>
        <v>122320.5</v>
      </c>
      <c r="AJ115" s="11">
        <f t="shared" si="12"/>
        <v>224</v>
      </c>
      <c r="AK115" s="18">
        <f>AJ115/$M$8</f>
        <v>0.73442622950819669</v>
      </c>
      <c r="AL115" s="18">
        <f>((ABS(AI35-AI75)/2)/Table13[[#This Row],[Time Elapsed (s)]])</f>
        <v>1.9150510339640534E-2</v>
      </c>
      <c r="AM115" s="18">
        <f>(ABS(AJ35-AJ75)/2)/Table13[[#This Row],[Number of Particles Conserved]]</f>
        <v>0</v>
      </c>
      <c r="AN115" s="18">
        <f>($AI$114-Table13[[#This Row],[Time Elapsed (s)]])/$AI$114</f>
        <v>0.28572179351301163</v>
      </c>
      <c r="AO115" s="18">
        <f>($AJ$114-Table13[[#This Row],[Number of Particles Conserved]])/$AJ$114</f>
        <v>0.20567375886524822</v>
      </c>
      <c r="AP115" s="11"/>
      <c r="AQ115" s="9"/>
    </row>
    <row r="116" spans="1:43">
      <c r="S116" s="95"/>
      <c r="T116" s="82" t="s">
        <v>37</v>
      </c>
      <c r="U116" s="82" t="s">
        <v>37</v>
      </c>
      <c r="V116" s="81" t="s">
        <v>37</v>
      </c>
      <c r="W116" s="11">
        <v>75</v>
      </c>
      <c r="X116" s="11" t="s">
        <v>46</v>
      </c>
      <c r="Y116" s="16">
        <v>5.0000000000000001E-3</v>
      </c>
      <c r="Z116" s="81" t="s">
        <v>37</v>
      </c>
      <c r="AA116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116" s="84" t="s">
        <v>37</v>
      </c>
      <c r="AC116" s="85" t="s">
        <v>37</v>
      </c>
      <c r="AD116" s="83" t="s">
        <v>37</v>
      </c>
      <c r="AE116" s="84" t="s">
        <v>37</v>
      </c>
      <c r="AF116" s="85" t="s">
        <v>37</v>
      </c>
      <c r="AG116" s="83" t="s">
        <v>37</v>
      </c>
      <c r="AH116" s="86" t="s">
        <v>37</v>
      </c>
      <c r="AI116" s="11">
        <f t="shared" si="12"/>
        <v>123257.5</v>
      </c>
      <c r="AJ116" s="11">
        <f t="shared" si="12"/>
        <v>208</v>
      </c>
      <c r="AK116" s="18">
        <f>AJ116/$M$8</f>
        <v>0.68196721311475406</v>
      </c>
      <c r="AL116" s="18">
        <f>((ABS(AI36-AI76)/2)/Table13[[#This Row],[Time Elapsed (s)]])</f>
        <v>1.6757600957345395E-2</v>
      </c>
      <c r="AM116" s="18">
        <f>(ABS(AJ36-AJ76)/2)/Table13[[#This Row],[Number of Particles Conserved]]</f>
        <v>0</v>
      </c>
      <c r="AN116" s="18">
        <f>($AI$114-Table13[[#This Row],[Time Elapsed (s)]])/$AI$114</f>
        <v>0.28025027664152807</v>
      </c>
      <c r="AO116" s="18">
        <f>($AJ$114-Table13[[#This Row],[Number of Particles Conserved]])/$AJ$114</f>
        <v>0.26241134751773049</v>
      </c>
      <c r="AP116" s="105"/>
      <c r="AQ116" s="9"/>
    </row>
    <row r="117" spans="1:43">
      <c r="S117" s="95"/>
      <c r="T117" s="82" t="s">
        <v>37</v>
      </c>
      <c r="U117" s="82" t="s">
        <v>37</v>
      </c>
      <c r="V117" s="81" t="s">
        <v>37</v>
      </c>
      <c r="W117" s="11">
        <v>75</v>
      </c>
      <c r="X117" s="11" t="s">
        <v>46</v>
      </c>
      <c r="Y117" s="16">
        <v>2.5000000000000001E-2</v>
      </c>
      <c r="Z117" s="81" t="s">
        <v>37</v>
      </c>
      <c r="AA117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117" s="84" t="s">
        <v>37</v>
      </c>
      <c r="AC117" s="85" t="s">
        <v>37</v>
      </c>
      <c r="AD117" s="83" t="s">
        <v>37</v>
      </c>
      <c r="AE117" s="84" t="s">
        <v>37</v>
      </c>
      <c r="AF117" s="85" t="s">
        <v>37</v>
      </c>
      <c r="AG117" s="83" t="s">
        <v>37</v>
      </c>
      <c r="AH117" s="86" t="s">
        <v>37</v>
      </c>
      <c r="AI117" s="11">
        <f t="shared" ref="AI117:AJ123" si="13">AVERAGE(AI37,AI77)</f>
        <v>128665.5</v>
      </c>
      <c r="AJ117" s="11">
        <f t="shared" si="13"/>
        <v>158</v>
      </c>
      <c r="AK117" s="18">
        <f>AJ117/$M$8</f>
        <v>0.5180327868852459</v>
      </c>
      <c r="AL117" s="18">
        <f>((ABS(AI37-AI77)/2)/Table13[[#This Row],[Time Elapsed (s)]])</f>
        <v>8.3433399007503961E-3</v>
      </c>
      <c r="AM117" s="18">
        <f>(ABS(AJ37-AJ77)/2)/Table13[[#This Row],[Number of Particles Conserved]]</f>
        <v>0</v>
      </c>
      <c r="AN117" s="18">
        <f>($AI$114-Table13[[#This Row],[Time Elapsed (s)]])/$AI$114</f>
        <v>0.24867080680056408</v>
      </c>
      <c r="AO117" s="18">
        <f>($AJ$114-Table13[[#This Row],[Number of Particles Conserved]])/$AJ$114</f>
        <v>0.43971631205673761</v>
      </c>
      <c r="AP117" s="9"/>
      <c r="AQ117" s="9"/>
    </row>
    <row r="118" spans="1:43">
      <c r="S118" s="95"/>
      <c r="T118" s="82" t="s">
        <v>37</v>
      </c>
      <c r="U118" s="82" t="s">
        <v>37</v>
      </c>
      <c r="V118" s="81" t="s">
        <v>37</v>
      </c>
      <c r="W118" s="11">
        <v>75</v>
      </c>
      <c r="X118" s="11" t="s">
        <v>46</v>
      </c>
      <c r="Y118" s="16">
        <v>0.05</v>
      </c>
      <c r="Z118" s="81" t="s">
        <v>37</v>
      </c>
      <c r="AA118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118" s="84" t="s">
        <v>37</v>
      </c>
      <c r="AC118" s="85" t="s">
        <v>37</v>
      </c>
      <c r="AD118" s="83" t="s">
        <v>37</v>
      </c>
      <c r="AE118" s="84" t="s">
        <v>37</v>
      </c>
      <c r="AF118" s="85" t="s">
        <v>37</v>
      </c>
      <c r="AG118" s="83" t="s">
        <v>37</v>
      </c>
      <c r="AH118" s="86" t="s">
        <v>37</v>
      </c>
      <c r="AI118" s="11">
        <f t="shared" si="13"/>
        <v>125860.5</v>
      </c>
      <c r="AJ118" s="11">
        <f t="shared" si="13"/>
        <v>140</v>
      </c>
      <c r="AK118" s="18">
        <f>AJ118/$M$8</f>
        <v>0.45901639344262296</v>
      </c>
      <c r="AL118" s="18">
        <f>((ABS(AI38-AI78)/2)/Table13[[#This Row],[Time Elapsed (s)]])</f>
        <v>1.0364649751113337E-2</v>
      </c>
      <c r="AM118" s="18">
        <f>(ABS(AJ38-AJ78)/2)/Table13[[#This Row],[Number of Particles Conserved]]</f>
        <v>0</v>
      </c>
      <c r="AN118" s="18">
        <f>($AI$114-Table13[[#This Row],[Time Elapsed (s)]])/$AI$114</f>
        <v>0.26505032102096054</v>
      </c>
      <c r="AO118" s="18">
        <f>($AJ$114-Table13[[#This Row],[Number of Particles Conserved]])/$AJ$114</f>
        <v>0.50354609929078009</v>
      </c>
      <c r="AP118" s="9"/>
      <c r="AQ118" s="9"/>
    </row>
    <row r="119" spans="1:43">
      <c r="S119" s="95"/>
      <c r="T119" s="82" t="s">
        <v>37</v>
      </c>
      <c r="U119" s="82" t="s">
        <v>37</v>
      </c>
      <c r="V119" s="81" t="s">
        <v>37</v>
      </c>
      <c r="W119" s="11">
        <v>75</v>
      </c>
      <c r="X119" s="11" t="s">
        <v>46</v>
      </c>
      <c r="Y119" s="15">
        <v>7.4999999999999997E-2</v>
      </c>
      <c r="Z119" s="81" t="s">
        <v>37</v>
      </c>
      <c r="AA119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119" s="84" t="s">
        <v>37</v>
      </c>
      <c r="AC119" s="85" t="s">
        <v>37</v>
      </c>
      <c r="AD119" s="83" t="s">
        <v>37</v>
      </c>
      <c r="AE119" s="84" t="s">
        <v>37</v>
      </c>
      <c r="AF119" s="85" t="s">
        <v>37</v>
      </c>
      <c r="AG119" s="83" t="s">
        <v>37</v>
      </c>
      <c r="AH119" s="86" t="s">
        <v>37</v>
      </c>
      <c r="AI119" s="11">
        <f t="shared" si="13"/>
        <v>123980</v>
      </c>
      <c r="AJ119" s="11">
        <f t="shared" si="13"/>
        <v>103</v>
      </c>
      <c r="AK119" s="18">
        <f>AJ119/$M$8</f>
        <v>0.3377049180327869</v>
      </c>
      <c r="AL119" s="18">
        <f>((ABS(AI39-AI79)/2)/Table13[[#This Row],[Time Elapsed (s)]])</f>
        <v>2.0608162606872076E-2</v>
      </c>
      <c r="AM119" s="18">
        <f>(ABS(AJ39-AJ79)/2)/Table13[[#This Row],[Number of Particles Conserved]]</f>
        <v>0</v>
      </c>
      <c r="AN119" s="18">
        <f>($AI$114-Table13[[#This Row],[Time Elapsed (s)]])/$AI$114</f>
        <v>0.27603131085748656</v>
      </c>
      <c r="AO119" s="18">
        <f>($AJ$114-Table13[[#This Row],[Number of Particles Conserved]])/$AJ$114</f>
        <v>0.63475177304964536</v>
      </c>
      <c r="AP119" s="9"/>
      <c r="AQ119" s="9"/>
    </row>
    <row r="120" spans="1:43">
      <c r="S120" s="95"/>
      <c r="T120" s="82" t="s">
        <v>37</v>
      </c>
      <c r="U120" s="82" t="s">
        <v>37</v>
      </c>
      <c r="V120" s="81" t="s">
        <v>37</v>
      </c>
      <c r="W120" s="11">
        <v>75</v>
      </c>
      <c r="X120" s="11" t="s">
        <v>46</v>
      </c>
      <c r="Y120" s="16">
        <v>0.1</v>
      </c>
      <c r="Z120" s="81" t="s">
        <v>37</v>
      </c>
      <c r="AA120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120" s="84" t="s">
        <v>37</v>
      </c>
      <c r="AC120" s="85" t="s">
        <v>37</v>
      </c>
      <c r="AD120" s="83" t="s">
        <v>37</v>
      </c>
      <c r="AE120" s="84" t="s">
        <v>37</v>
      </c>
      <c r="AF120" s="85" t="s">
        <v>37</v>
      </c>
      <c r="AG120" s="83" t="s">
        <v>37</v>
      </c>
      <c r="AH120" s="86" t="s">
        <v>37</v>
      </c>
      <c r="AI120" s="11">
        <f t="shared" si="13"/>
        <v>119883</v>
      </c>
      <c r="AJ120" s="11">
        <f t="shared" si="13"/>
        <v>148</v>
      </c>
      <c r="AK120" s="18">
        <f>AJ120/$M$8</f>
        <v>0.48524590163934428</v>
      </c>
      <c r="AL120" s="18">
        <f>((ABS(AI40-AI80)/2)/Table13[[#This Row],[Time Elapsed (s)]])</f>
        <v>1.9886055570848243E-2</v>
      </c>
      <c r="AM120" s="18">
        <f>(ABS(AJ40-AJ80)/2)/Table13[[#This Row],[Number of Particles Conserved]]</f>
        <v>0</v>
      </c>
      <c r="AN120" s="18">
        <f>($AI$114-Table13[[#This Row],[Time Elapsed (s)]])/$AI$114</f>
        <v>0.29995532859758073</v>
      </c>
      <c r="AO120" s="18">
        <f>($AJ$114-Table13[[#This Row],[Number of Particles Conserved]])/$AJ$114</f>
        <v>0.47517730496453903</v>
      </c>
      <c r="AP120" s="9"/>
      <c r="AQ120" s="9"/>
    </row>
    <row r="121" spans="1:43">
      <c r="S121" s="95"/>
      <c r="T121" s="82" t="s">
        <v>37</v>
      </c>
      <c r="U121" s="82" t="s">
        <v>37</v>
      </c>
      <c r="V121" s="81" t="s">
        <v>37</v>
      </c>
      <c r="W121" s="11">
        <v>75</v>
      </c>
      <c r="X121" s="11" t="s">
        <v>46</v>
      </c>
      <c r="Y121" s="15">
        <v>0.15</v>
      </c>
      <c r="Z121" s="81" t="s">
        <v>37</v>
      </c>
      <c r="AA121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121" s="84" t="s">
        <v>37</v>
      </c>
      <c r="AC121" s="85" t="s">
        <v>37</v>
      </c>
      <c r="AD121" s="83" t="s">
        <v>37</v>
      </c>
      <c r="AE121" s="84" t="s">
        <v>37</v>
      </c>
      <c r="AF121" s="85" t="s">
        <v>37</v>
      </c>
      <c r="AG121" s="83" t="s">
        <v>37</v>
      </c>
      <c r="AH121" s="86" t="s">
        <v>37</v>
      </c>
      <c r="AI121" s="11">
        <f t="shared" si="13"/>
        <v>124377.5</v>
      </c>
      <c r="AJ121" s="11">
        <f t="shared" si="13"/>
        <v>111</v>
      </c>
      <c r="AK121" s="18">
        <f>AJ121/$M$8</f>
        <v>0.36393442622950822</v>
      </c>
      <c r="AL121" s="18">
        <f>((ABS(AI41-AI81)/2)/Table13[[#This Row],[Time Elapsed (s)]])</f>
        <v>1.0456071234749051E-2</v>
      </c>
      <c r="AM121" s="18">
        <f>(ABS(AJ41-AJ81)/2)/Table13[[#This Row],[Number of Particles Conserved]]</f>
        <v>0</v>
      </c>
      <c r="AN121" s="18">
        <f>($AI$114-Table13[[#This Row],[Time Elapsed (s)]])/$AI$114</f>
        <v>0.27371014975138758</v>
      </c>
      <c r="AO121" s="18">
        <f>($AJ$114-Table13[[#This Row],[Number of Particles Conserved]])/$AJ$114</f>
        <v>0.6063829787234043</v>
      </c>
      <c r="AP121" s="9"/>
      <c r="AQ121" s="9"/>
    </row>
    <row r="122" spans="1:43">
      <c r="S122" s="95"/>
      <c r="T122" s="82" t="s">
        <v>37</v>
      </c>
      <c r="U122" s="82" t="s">
        <v>37</v>
      </c>
      <c r="V122" s="81" t="s">
        <v>37</v>
      </c>
      <c r="W122" s="11">
        <v>75</v>
      </c>
      <c r="X122" s="11" t="s">
        <v>46</v>
      </c>
      <c r="Y122" s="15">
        <v>0.2</v>
      </c>
      <c r="Z122" s="81" t="s">
        <v>37</v>
      </c>
      <c r="AA122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122" s="84" t="s">
        <v>37</v>
      </c>
      <c r="AC122" s="85" t="s">
        <v>37</v>
      </c>
      <c r="AD122" s="83" t="s">
        <v>37</v>
      </c>
      <c r="AE122" s="84" t="s">
        <v>37</v>
      </c>
      <c r="AF122" s="85" t="s">
        <v>37</v>
      </c>
      <c r="AG122" s="83" t="s">
        <v>37</v>
      </c>
      <c r="AH122" s="86" t="s">
        <v>37</v>
      </c>
      <c r="AI122" s="11">
        <f t="shared" si="13"/>
        <v>122398</v>
      </c>
      <c r="AJ122" s="11">
        <f t="shared" si="13"/>
        <v>80</v>
      </c>
      <c r="AK122" s="18">
        <f>AJ122/$M$8</f>
        <v>0.26229508196721313</v>
      </c>
      <c r="AL122" s="18">
        <f>((ABS(AI42-AI82)/2)/Table13[[#This Row],[Time Elapsed (s)]])</f>
        <v>1.4379319923528162E-2</v>
      </c>
      <c r="AM122" s="18">
        <f>(ABS(AJ42-AJ82)/2)/Table13[[#This Row],[Number of Particles Conserved]]</f>
        <v>0</v>
      </c>
      <c r="AN122" s="18">
        <f>($AI$114-Table13[[#This Row],[Time Elapsed (s)]])/$AI$114</f>
        <v>0.28526924008980997</v>
      </c>
      <c r="AO122" s="18">
        <f>($AJ$114-Table13[[#This Row],[Number of Particles Conserved]])/$AJ$114</f>
        <v>0.71631205673758869</v>
      </c>
      <c r="AP122" s="9"/>
      <c r="AQ122" s="9"/>
    </row>
    <row r="123" spans="1:43">
      <c r="S123" s="95"/>
      <c r="T123" s="82" t="s">
        <v>37</v>
      </c>
      <c r="U123" s="82" t="s">
        <v>37</v>
      </c>
      <c r="V123" s="81" t="s">
        <v>37</v>
      </c>
      <c r="W123" s="11">
        <v>75</v>
      </c>
      <c r="X123" s="11" t="s">
        <v>46</v>
      </c>
      <c r="Y123" s="16">
        <v>0.25</v>
      </c>
      <c r="Z123" s="81" t="s">
        <v>37</v>
      </c>
      <c r="AA123" s="89">
        <f>IF(Table13[[#This Row],[Size multiplier]]=30, IF(Table13[[#This Row],[Mesh/Primitive]]="M",$I$5,$J$5),IF(Table13[[#This Row],[Size multiplier]]=45,IF(Table13[[#This Row],[Mesh/Primitive]]="M",$I$6,$J$6),IF(Table13[[#This Row],[Size multiplier]]=60,IF(Table13[[#This Row],[Mesh/Primitive]]="M",$I$7,$J$7),IF(Table13[[#This Row],[Mesh/Primitive]]="M",$I$8,$J$8))))</f>
        <v>12345680</v>
      </c>
      <c r="AB123" s="84" t="s">
        <v>37</v>
      </c>
      <c r="AC123" s="85" t="s">
        <v>37</v>
      </c>
      <c r="AD123" s="83" t="s">
        <v>37</v>
      </c>
      <c r="AE123" s="84" t="s">
        <v>37</v>
      </c>
      <c r="AF123" s="85" t="s">
        <v>37</v>
      </c>
      <c r="AG123" s="83" t="s">
        <v>37</v>
      </c>
      <c r="AH123" s="86" t="s">
        <v>37</v>
      </c>
      <c r="AI123" s="11">
        <f t="shared" si="13"/>
        <v>124167.5</v>
      </c>
      <c r="AJ123" s="11">
        <f t="shared" si="13"/>
        <v>76</v>
      </c>
      <c r="AK123" s="18">
        <f>AJ123/$M$8</f>
        <v>0.24918032786885247</v>
      </c>
      <c r="AL123" s="18">
        <f>((ABS(AI43-AI83)/2)/Table13[[#This Row],[Time Elapsed (s)]])</f>
        <v>5.7301628848128536E-3</v>
      </c>
      <c r="AM123" s="18">
        <f>(ABS(AJ43-AJ83)/2)/Table13[[#This Row],[Number of Particles Conserved]]</f>
        <v>0</v>
      </c>
      <c r="AN123" s="18">
        <f>($AI$114-Table13[[#This Row],[Time Elapsed (s)]])/$AI$114</f>
        <v>0.2749364235432889</v>
      </c>
      <c r="AO123" s="18">
        <f>($AJ$114-Table13[[#This Row],[Number of Particles Conserved]])/$AJ$114</f>
        <v>0.73049645390070927</v>
      </c>
      <c r="AP123" s="9"/>
      <c r="AQ123" s="9"/>
    </row>
    <row r="126" spans="1:43"/>
    <row r="127" spans="1:43" ht="15" customHeight="1">
      <c r="A127" s="97" t="s">
        <v>47</v>
      </c>
      <c r="B127" s="98"/>
      <c r="C127" s="99" t="s">
        <v>48</v>
      </c>
      <c r="D127" s="99"/>
      <c r="E127" s="99"/>
      <c r="F127" s="100"/>
      <c r="G127" s="111" t="s">
        <v>49</v>
      </c>
      <c r="H127" s="101"/>
      <c r="I127" s="93" t="s">
        <v>48</v>
      </c>
      <c r="J127" s="93"/>
      <c r="K127" s="93"/>
      <c r="L127" s="94"/>
    </row>
    <row r="128" spans="1:43">
      <c r="A128" s="77" t="s">
        <v>13</v>
      </c>
      <c r="B128" s="5" t="s">
        <v>50</v>
      </c>
      <c r="C128" s="5" t="s">
        <v>51</v>
      </c>
      <c r="D128" s="5" t="s">
        <v>52</v>
      </c>
      <c r="E128" s="5" t="s">
        <v>53</v>
      </c>
      <c r="F128" s="78" t="s">
        <v>54</v>
      </c>
      <c r="G128" s="34" t="s">
        <v>50</v>
      </c>
      <c r="H128" s="34" t="s">
        <v>51</v>
      </c>
      <c r="I128" s="34" t="s">
        <v>55</v>
      </c>
      <c r="J128" s="34" t="s">
        <v>52</v>
      </c>
      <c r="K128" s="34" t="s">
        <v>18</v>
      </c>
      <c r="L128" s="35" t="s">
        <v>56</v>
      </c>
    </row>
    <row r="129" spans="1:12">
      <c r="A129" s="74">
        <v>1</v>
      </c>
      <c r="B129" s="39" t="s">
        <v>57</v>
      </c>
      <c r="C129" s="39">
        <v>30</v>
      </c>
      <c r="D129" s="40">
        <v>1E-3</v>
      </c>
      <c r="E129" s="41">
        <v>14676458</v>
      </c>
      <c r="F129" s="75">
        <v>6</v>
      </c>
      <c r="G129" s="34" t="s">
        <v>58</v>
      </c>
      <c r="H129" s="34">
        <v>30</v>
      </c>
      <c r="I129" s="34" t="s">
        <v>59</v>
      </c>
      <c r="J129" s="34"/>
      <c r="K129" s="34"/>
      <c r="L129" s="35">
        <v>11</v>
      </c>
    </row>
    <row r="130" spans="1:12">
      <c r="A130" s="74">
        <v>2</v>
      </c>
      <c r="B130" s="39" t="s">
        <v>57</v>
      </c>
      <c r="C130" s="39">
        <v>30</v>
      </c>
      <c r="D130" s="40">
        <v>2.5000000000000001E-2</v>
      </c>
      <c r="E130" s="41">
        <v>14676680</v>
      </c>
      <c r="F130" s="75">
        <v>6</v>
      </c>
      <c r="G130" s="9" t="s">
        <v>58</v>
      </c>
      <c r="H130" s="9">
        <v>30</v>
      </c>
      <c r="I130" s="9" t="s">
        <v>60</v>
      </c>
      <c r="J130" s="9" t="s">
        <v>61</v>
      </c>
      <c r="K130" s="9"/>
      <c r="L130" s="36">
        <v>6</v>
      </c>
    </row>
    <row r="131" spans="1:12">
      <c r="A131" s="74">
        <v>3</v>
      </c>
      <c r="B131" s="39" t="s">
        <v>57</v>
      </c>
      <c r="C131" s="39">
        <v>30</v>
      </c>
      <c r="D131" s="40">
        <v>0.05</v>
      </c>
      <c r="E131" s="41">
        <v>14676705</v>
      </c>
      <c r="F131" s="75">
        <v>6</v>
      </c>
      <c r="G131" s="9" t="s">
        <v>58</v>
      </c>
      <c r="H131" s="9">
        <v>45</v>
      </c>
      <c r="I131" s="9" t="s">
        <v>59</v>
      </c>
      <c r="J131" s="9"/>
      <c r="K131" s="9"/>
      <c r="L131" s="36">
        <v>6</v>
      </c>
    </row>
    <row r="132" spans="1:12">
      <c r="A132" s="74">
        <v>4</v>
      </c>
      <c r="B132" s="39" t="s">
        <v>57</v>
      </c>
      <c r="C132" s="39">
        <v>30</v>
      </c>
      <c r="D132" s="40">
        <v>7.4999999999999997E-2</v>
      </c>
      <c r="E132" s="41">
        <v>14676708</v>
      </c>
      <c r="F132" s="75">
        <v>6</v>
      </c>
      <c r="G132" s="9" t="s">
        <v>58</v>
      </c>
      <c r="H132" s="9">
        <v>45</v>
      </c>
      <c r="I132" s="9" t="s">
        <v>60</v>
      </c>
      <c r="J132" s="9" t="s">
        <v>61</v>
      </c>
      <c r="K132" s="9"/>
      <c r="L132" s="36">
        <v>4</v>
      </c>
    </row>
    <row r="133" spans="1:12">
      <c r="A133" s="74">
        <v>5</v>
      </c>
      <c r="B133" s="39" t="s">
        <v>57</v>
      </c>
      <c r="C133" s="39">
        <v>30</v>
      </c>
      <c r="D133" s="40">
        <v>0.15</v>
      </c>
      <c r="E133" s="41">
        <v>14676713</v>
      </c>
      <c r="F133" s="75">
        <v>6</v>
      </c>
      <c r="G133" s="9" t="s">
        <v>58</v>
      </c>
      <c r="H133" s="9">
        <v>60</v>
      </c>
      <c r="I133" s="9" t="s">
        <v>59</v>
      </c>
      <c r="J133" s="9"/>
      <c r="K133" s="9"/>
      <c r="L133" s="36">
        <v>4</v>
      </c>
    </row>
    <row r="134" spans="1:12">
      <c r="A134" s="74">
        <v>6</v>
      </c>
      <c r="B134" s="39" t="s">
        <v>57</v>
      </c>
      <c r="C134" s="39">
        <v>30</v>
      </c>
      <c r="D134" s="40">
        <v>0.2</v>
      </c>
      <c r="E134" s="41">
        <v>14676731</v>
      </c>
      <c r="F134" s="75">
        <v>6</v>
      </c>
      <c r="G134" s="9" t="s">
        <v>58</v>
      </c>
      <c r="H134" s="9">
        <v>60</v>
      </c>
      <c r="I134" s="9" t="s">
        <v>60</v>
      </c>
      <c r="J134" s="9" t="s">
        <v>61</v>
      </c>
      <c r="K134" s="9"/>
      <c r="L134" s="36">
        <v>3</v>
      </c>
    </row>
    <row r="135" spans="1:12">
      <c r="A135" s="74">
        <v>7</v>
      </c>
      <c r="B135" s="39" t="s">
        <v>57</v>
      </c>
      <c r="C135" s="39">
        <v>30</v>
      </c>
      <c r="D135" s="40">
        <v>0.25</v>
      </c>
      <c r="E135" s="41">
        <v>14676744</v>
      </c>
      <c r="F135" s="75">
        <v>6</v>
      </c>
      <c r="G135" s="9" t="s">
        <v>58</v>
      </c>
      <c r="H135" s="9">
        <v>75</v>
      </c>
      <c r="I135" s="9" t="s">
        <v>59</v>
      </c>
      <c r="J135" s="9"/>
      <c r="K135" s="9"/>
      <c r="L135" s="36">
        <v>3</v>
      </c>
    </row>
    <row r="136" spans="1:12">
      <c r="A136" s="74">
        <v>8</v>
      </c>
      <c r="B136" s="39" t="s">
        <v>57</v>
      </c>
      <c r="C136" s="39">
        <v>45</v>
      </c>
      <c r="D136" s="40">
        <v>1E-3</v>
      </c>
      <c r="E136" s="41">
        <v>14676764</v>
      </c>
      <c r="F136" s="75">
        <v>4</v>
      </c>
      <c r="G136" s="33" t="s">
        <v>58</v>
      </c>
      <c r="H136" s="33">
        <v>75</v>
      </c>
      <c r="I136" s="33" t="s">
        <v>60</v>
      </c>
      <c r="J136" s="33" t="s">
        <v>61</v>
      </c>
      <c r="K136" s="33"/>
      <c r="L136" s="37">
        <v>3</v>
      </c>
    </row>
    <row r="137" spans="1:12">
      <c r="A137" s="74">
        <v>9</v>
      </c>
      <c r="B137" s="39" t="s">
        <v>57</v>
      </c>
      <c r="C137" s="39">
        <v>45</v>
      </c>
      <c r="D137" s="40">
        <v>5.0000000000000001E-3</v>
      </c>
      <c r="E137" s="41">
        <v>14676768</v>
      </c>
      <c r="F137" s="75">
        <v>4</v>
      </c>
      <c r="G137" s="9" t="s">
        <v>57</v>
      </c>
      <c r="H137" s="9">
        <v>30</v>
      </c>
      <c r="I137" s="9" t="s">
        <v>59</v>
      </c>
      <c r="J137" s="9"/>
      <c r="K137" s="9"/>
      <c r="L137" s="36">
        <v>11</v>
      </c>
    </row>
    <row r="138" spans="1:12">
      <c r="A138" s="74">
        <v>10</v>
      </c>
      <c r="B138" s="39" t="s">
        <v>57</v>
      </c>
      <c r="C138" s="39">
        <v>45</v>
      </c>
      <c r="D138" s="40">
        <v>2.5000000000000001E-2</v>
      </c>
      <c r="E138" s="41">
        <v>14676776</v>
      </c>
      <c r="F138" s="75">
        <v>4</v>
      </c>
      <c r="G138" s="9" t="s">
        <v>57</v>
      </c>
      <c r="H138" s="9">
        <v>30</v>
      </c>
      <c r="I138" s="9" t="s">
        <v>60</v>
      </c>
      <c r="J138" s="9" t="s">
        <v>61</v>
      </c>
      <c r="K138" s="9"/>
      <c r="L138" s="36">
        <v>6</v>
      </c>
    </row>
    <row r="139" spans="1:12">
      <c r="A139" s="74">
        <v>11</v>
      </c>
      <c r="B139" s="39" t="s">
        <v>57</v>
      </c>
      <c r="C139" s="39">
        <v>45</v>
      </c>
      <c r="D139" s="40">
        <v>0.05</v>
      </c>
      <c r="E139" s="41">
        <v>14676788</v>
      </c>
      <c r="F139" s="75">
        <v>4</v>
      </c>
      <c r="G139" s="9" t="s">
        <v>57</v>
      </c>
      <c r="H139" s="9">
        <v>45</v>
      </c>
      <c r="I139" s="9" t="s">
        <v>59</v>
      </c>
      <c r="J139" s="9"/>
      <c r="K139" s="9"/>
      <c r="L139" s="36">
        <v>6</v>
      </c>
    </row>
    <row r="140" spans="1:12">
      <c r="A140" s="74">
        <v>12</v>
      </c>
      <c r="B140" s="39" t="s">
        <v>57</v>
      </c>
      <c r="C140" s="39">
        <v>45</v>
      </c>
      <c r="D140" s="40">
        <v>7.4999999999999997E-2</v>
      </c>
      <c r="E140" s="41">
        <v>14676796</v>
      </c>
      <c r="F140" s="75">
        <v>4</v>
      </c>
      <c r="G140" s="9" t="s">
        <v>57</v>
      </c>
      <c r="H140" s="9">
        <v>45</v>
      </c>
      <c r="I140" s="9" t="s">
        <v>60</v>
      </c>
      <c r="J140" s="9" t="s">
        <v>61</v>
      </c>
      <c r="K140" s="9"/>
      <c r="L140" s="36">
        <v>4</v>
      </c>
    </row>
    <row r="141" spans="1:12">
      <c r="A141" s="74">
        <v>13</v>
      </c>
      <c r="B141" s="39" t="s">
        <v>57</v>
      </c>
      <c r="C141" s="39">
        <v>45</v>
      </c>
      <c r="D141" s="40">
        <v>0.15</v>
      </c>
      <c r="E141" s="41">
        <v>14676803</v>
      </c>
      <c r="F141" s="75">
        <v>4</v>
      </c>
      <c r="G141" s="9" t="s">
        <v>57</v>
      </c>
      <c r="H141" s="9">
        <v>60</v>
      </c>
      <c r="I141" s="9" t="s">
        <v>59</v>
      </c>
      <c r="J141" s="9"/>
      <c r="K141" s="9"/>
      <c r="L141" s="36">
        <v>4</v>
      </c>
    </row>
    <row r="142" spans="1:12">
      <c r="A142" s="74">
        <v>14</v>
      </c>
      <c r="B142" s="39" t="s">
        <v>57</v>
      </c>
      <c r="C142" s="39">
        <v>45</v>
      </c>
      <c r="D142" s="40">
        <v>0.2</v>
      </c>
      <c r="E142" s="41">
        <v>14676806</v>
      </c>
      <c r="F142" s="75">
        <v>4</v>
      </c>
      <c r="G142" s="9" t="s">
        <v>57</v>
      </c>
      <c r="H142" s="9">
        <v>60</v>
      </c>
      <c r="I142" s="9" t="s">
        <v>60</v>
      </c>
      <c r="J142" s="9" t="s">
        <v>61</v>
      </c>
      <c r="K142" s="9"/>
      <c r="L142" s="36">
        <v>3</v>
      </c>
    </row>
    <row r="143" spans="1:12">
      <c r="A143" s="74">
        <v>15</v>
      </c>
      <c r="B143" s="39" t="s">
        <v>57</v>
      </c>
      <c r="C143" s="39">
        <v>45</v>
      </c>
      <c r="D143" s="40">
        <v>0.25</v>
      </c>
      <c r="E143" s="41">
        <v>14676807</v>
      </c>
      <c r="F143" s="75">
        <v>4</v>
      </c>
      <c r="G143" s="9" t="s">
        <v>57</v>
      </c>
      <c r="H143" s="9">
        <v>75</v>
      </c>
      <c r="I143" s="9" t="s">
        <v>59</v>
      </c>
      <c r="J143" s="9"/>
      <c r="K143" s="9"/>
      <c r="L143" s="36">
        <v>3</v>
      </c>
    </row>
    <row r="144" spans="1:12">
      <c r="A144" s="74">
        <v>16</v>
      </c>
      <c r="B144" s="39" t="s">
        <v>57</v>
      </c>
      <c r="C144" s="39">
        <v>60</v>
      </c>
      <c r="D144" s="40">
        <v>1E-3</v>
      </c>
      <c r="E144" s="41">
        <v>14676809</v>
      </c>
      <c r="F144" s="75">
        <v>3</v>
      </c>
      <c r="G144" s="33" t="s">
        <v>57</v>
      </c>
      <c r="H144" s="33">
        <v>75</v>
      </c>
      <c r="I144" s="33" t="s">
        <v>60</v>
      </c>
      <c r="J144" s="33" t="s">
        <v>61</v>
      </c>
      <c r="K144" s="33"/>
      <c r="L144" s="37">
        <v>3</v>
      </c>
    </row>
    <row r="145" spans="1:6">
      <c r="A145" s="74">
        <v>17</v>
      </c>
      <c r="B145" s="39" t="s">
        <v>57</v>
      </c>
      <c r="C145" s="39">
        <v>60</v>
      </c>
      <c r="D145" s="40">
        <v>5.0000000000000001E-3</v>
      </c>
      <c r="E145" s="41">
        <v>14801266</v>
      </c>
      <c r="F145" s="75">
        <v>3</v>
      </c>
    </row>
    <row r="146" spans="1:6">
      <c r="A146" s="74">
        <v>18</v>
      </c>
      <c r="B146" s="39" t="s">
        <v>57</v>
      </c>
      <c r="C146" s="39">
        <v>60</v>
      </c>
      <c r="D146" s="40">
        <v>2.5000000000000001E-2</v>
      </c>
      <c r="E146" s="41">
        <v>14814281</v>
      </c>
      <c r="F146" s="75">
        <v>3</v>
      </c>
    </row>
    <row r="147" spans="1:6">
      <c r="A147" s="74">
        <v>19</v>
      </c>
      <c r="B147" s="39" t="s">
        <v>57</v>
      </c>
      <c r="C147" s="39">
        <v>60</v>
      </c>
      <c r="D147" s="40">
        <v>0.05</v>
      </c>
      <c r="E147" s="41">
        <v>14814290</v>
      </c>
      <c r="F147" s="75">
        <v>3</v>
      </c>
    </row>
    <row r="148" spans="1:6">
      <c r="A148" s="74">
        <v>20</v>
      </c>
      <c r="B148" s="39" t="s">
        <v>57</v>
      </c>
      <c r="C148" s="39">
        <v>60</v>
      </c>
      <c r="D148" s="40">
        <v>7.4999999999999997E-2</v>
      </c>
      <c r="E148" s="41">
        <v>14814294</v>
      </c>
      <c r="F148" s="75">
        <v>3</v>
      </c>
    </row>
    <row r="149" spans="1:6">
      <c r="A149" s="74">
        <v>21</v>
      </c>
      <c r="B149" s="39" t="s">
        <v>57</v>
      </c>
      <c r="C149" s="39">
        <v>60</v>
      </c>
      <c r="D149" s="40">
        <v>0.15</v>
      </c>
      <c r="E149" s="41">
        <v>14814295</v>
      </c>
      <c r="F149" s="75">
        <v>3</v>
      </c>
    </row>
    <row r="150" spans="1:6">
      <c r="A150" s="74">
        <v>22</v>
      </c>
      <c r="B150" s="39" t="s">
        <v>57</v>
      </c>
      <c r="C150" s="39">
        <v>60</v>
      </c>
      <c r="D150" s="40">
        <v>0.2</v>
      </c>
      <c r="E150" s="41">
        <v>14814297</v>
      </c>
      <c r="F150" s="75">
        <v>3</v>
      </c>
    </row>
    <row r="151" spans="1:6">
      <c r="A151" s="74">
        <v>23</v>
      </c>
      <c r="B151" s="39" t="s">
        <v>57</v>
      </c>
      <c r="C151" s="39">
        <v>60</v>
      </c>
      <c r="D151" s="40">
        <v>0.25</v>
      </c>
      <c r="E151" s="41">
        <v>14814298</v>
      </c>
      <c r="F151" s="75">
        <v>3</v>
      </c>
    </row>
    <row r="152" spans="1:6">
      <c r="A152" s="74">
        <v>24</v>
      </c>
      <c r="B152" s="39" t="s">
        <v>57</v>
      </c>
      <c r="C152" s="39">
        <v>75</v>
      </c>
      <c r="D152" s="40">
        <v>1E-3</v>
      </c>
      <c r="E152" s="41">
        <v>14814302</v>
      </c>
      <c r="F152" s="75">
        <v>3</v>
      </c>
    </row>
    <row r="153" spans="1:6">
      <c r="A153" s="74">
        <v>25</v>
      </c>
      <c r="B153" s="39" t="s">
        <v>57</v>
      </c>
      <c r="C153" s="39">
        <v>75</v>
      </c>
      <c r="D153" s="40">
        <v>2.5000000000000001E-2</v>
      </c>
      <c r="E153" s="41">
        <v>14814305</v>
      </c>
      <c r="F153" s="75">
        <v>3</v>
      </c>
    </row>
    <row r="154" spans="1:6">
      <c r="A154" s="74">
        <v>26</v>
      </c>
      <c r="B154" s="39" t="s">
        <v>57</v>
      </c>
      <c r="C154" s="39">
        <v>75</v>
      </c>
      <c r="D154" s="40">
        <v>0.05</v>
      </c>
      <c r="E154" s="41">
        <v>14814306</v>
      </c>
      <c r="F154" s="75">
        <v>3</v>
      </c>
    </row>
    <row r="155" spans="1:6">
      <c r="A155" s="74">
        <v>27</v>
      </c>
      <c r="B155" s="39" t="s">
        <v>57</v>
      </c>
      <c r="C155" s="39">
        <v>75</v>
      </c>
      <c r="D155" s="40">
        <v>7.4999999999999997E-2</v>
      </c>
      <c r="E155" s="41">
        <v>14814307</v>
      </c>
      <c r="F155" s="75">
        <v>3</v>
      </c>
    </row>
    <row r="156" spans="1:6">
      <c r="A156" s="74">
        <v>28</v>
      </c>
      <c r="B156" s="39" t="s">
        <v>57</v>
      </c>
      <c r="C156" s="39">
        <v>75</v>
      </c>
      <c r="D156" s="40">
        <v>0.15</v>
      </c>
      <c r="E156" s="41">
        <v>14814396</v>
      </c>
      <c r="F156" s="75">
        <v>3</v>
      </c>
    </row>
    <row r="157" spans="1:6">
      <c r="A157" s="74">
        <v>29</v>
      </c>
      <c r="B157" s="39" t="s">
        <v>57</v>
      </c>
      <c r="C157" s="39">
        <v>75</v>
      </c>
      <c r="D157" s="40">
        <v>0.2</v>
      </c>
      <c r="E157" s="41">
        <v>14814400</v>
      </c>
      <c r="F157" s="75">
        <v>3</v>
      </c>
    </row>
    <row r="158" spans="1:6">
      <c r="A158" s="72">
        <v>30</v>
      </c>
      <c r="B158" s="76" t="s">
        <v>57</v>
      </c>
      <c r="C158" s="76">
        <v>75</v>
      </c>
      <c r="D158" s="79">
        <v>0.25</v>
      </c>
      <c r="E158" s="80">
        <v>14814402</v>
      </c>
      <c r="F158" s="73">
        <v>3</v>
      </c>
    </row>
    <row r="159" spans="1:6">
      <c r="A159" s="38">
        <v>31</v>
      </c>
      <c r="B159" s="39" t="s">
        <v>58</v>
      </c>
      <c r="C159" s="39">
        <v>30</v>
      </c>
      <c r="D159" s="40">
        <v>1E-3</v>
      </c>
      <c r="E159" s="41">
        <v>14706084</v>
      </c>
      <c r="F159" s="42">
        <v>6</v>
      </c>
    </row>
    <row r="160" spans="1:6">
      <c r="A160" s="38">
        <v>32</v>
      </c>
      <c r="B160" s="39" t="s">
        <v>58</v>
      </c>
      <c r="C160" s="39">
        <v>30</v>
      </c>
      <c r="D160" s="40">
        <v>2.5000000000000001E-2</v>
      </c>
      <c r="E160" s="41">
        <v>14706088</v>
      </c>
      <c r="F160" s="42">
        <v>6</v>
      </c>
    </row>
    <row r="161" spans="1:6">
      <c r="A161" s="38">
        <v>33</v>
      </c>
      <c r="B161" s="39" t="s">
        <v>58</v>
      </c>
      <c r="C161" s="39">
        <v>30</v>
      </c>
      <c r="D161" s="40">
        <v>0.05</v>
      </c>
      <c r="E161" s="41">
        <v>14706094</v>
      </c>
      <c r="F161" s="42">
        <v>6</v>
      </c>
    </row>
    <row r="162" spans="1:6">
      <c r="A162" s="38">
        <v>34</v>
      </c>
      <c r="B162" s="39" t="s">
        <v>58</v>
      </c>
      <c r="C162" s="39">
        <v>30</v>
      </c>
      <c r="D162" s="40">
        <v>7.4999999999999997E-2</v>
      </c>
      <c r="E162" s="41">
        <v>14706096</v>
      </c>
      <c r="F162" s="42">
        <v>6</v>
      </c>
    </row>
    <row r="163" spans="1:6">
      <c r="A163" s="38">
        <v>35</v>
      </c>
      <c r="B163" s="39" t="s">
        <v>58</v>
      </c>
      <c r="C163" s="39">
        <v>30</v>
      </c>
      <c r="D163" s="40">
        <v>0.15</v>
      </c>
      <c r="E163" s="41">
        <v>14706098</v>
      </c>
      <c r="F163" s="42">
        <v>6</v>
      </c>
    </row>
    <row r="164" spans="1:6">
      <c r="A164" s="38">
        <v>36</v>
      </c>
      <c r="B164" s="39" t="s">
        <v>58</v>
      </c>
      <c r="C164" s="39">
        <v>30</v>
      </c>
      <c r="D164" s="40">
        <v>0.2</v>
      </c>
      <c r="E164" s="41">
        <v>14706100</v>
      </c>
      <c r="F164" s="42">
        <v>6</v>
      </c>
    </row>
    <row r="165" spans="1:6">
      <c r="A165" s="38">
        <v>37</v>
      </c>
      <c r="B165" s="39" t="s">
        <v>58</v>
      </c>
      <c r="C165" s="39">
        <v>30</v>
      </c>
      <c r="D165" s="40">
        <v>0.25</v>
      </c>
      <c r="E165" s="41">
        <v>14706102</v>
      </c>
      <c r="F165" s="42">
        <v>6</v>
      </c>
    </row>
    <row r="166" spans="1:6">
      <c r="A166" s="38">
        <v>38</v>
      </c>
      <c r="B166" s="39" t="s">
        <v>58</v>
      </c>
      <c r="C166" s="39">
        <v>45</v>
      </c>
      <c r="D166" s="40">
        <v>1E-3</v>
      </c>
      <c r="E166" s="41">
        <v>14706124</v>
      </c>
      <c r="F166" s="42">
        <v>4</v>
      </c>
    </row>
    <row r="167" spans="1:6">
      <c r="A167" s="38">
        <v>39</v>
      </c>
      <c r="B167" s="39" t="s">
        <v>58</v>
      </c>
      <c r="C167" s="39">
        <v>45</v>
      </c>
      <c r="D167" s="40">
        <v>5.0000000000000001E-3</v>
      </c>
      <c r="E167" s="41">
        <v>14706127</v>
      </c>
      <c r="F167" s="42">
        <v>4</v>
      </c>
    </row>
    <row r="168" spans="1:6">
      <c r="A168" s="38">
        <v>40</v>
      </c>
      <c r="B168" s="39" t="s">
        <v>58</v>
      </c>
      <c r="C168" s="39">
        <v>45</v>
      </c>
      <c r="D168" s="40">
        <v>2.5000000000000001E-2</v>
      </c>
      <c r="E168" s="41">
        <v>14706131</v>
      </c>
      <c r="F168" s="42">
        <v>4</v>
      </c>
    </row>
    <row r="169" spans="1:6">
      <c r="A169" s="38">
        <v>41</v>
      </c>
      <c r="B169" s="39" t="s">
        <v>58</v>
      </c>
      <c r="C169" s="39">
        <v>45</v>
      </c>
      <c r="D169" s="40">
        <v>0.05</v>
      </c>
      <c r="E169" s="41">
        <v>14801265</v>
      </c>
      <c r="F169" s="42">
        <v>4</v>
      </c>
    </row>
    <row r="170" spans="1:6">
      <c r="A170" s="38">
        <v>42</v>
      </c>
      <c r="B170" s="39" t="s">
        <v>58</v>
      </c>
      <c r="C170" s="39">
        <v>45</v>
      </c>
      <c r="D170" s="40">
        <v>7.4999999999999997E-2</v>
      </c>
      <c r="E170" s="41">
        <v>14814220</v>
      </c>
      <c r="F170" s="42">
        <v>4</v>
      </c>
    </row>
    <row r="171" spans="1:6">
      <c r="A171" s="38">
        <v>43</v>
      </c>
      <c r="B171" s="39" t="s">
        <v>58</v>
      </c>
      <c r="C171" s="39">
        <v>45</v>
      </c>
      <c r="D171" s="40">
        <v>0.15</v>
      </c>
      <c r="E171" s="41">
        <v>14814222</v>
      </c>
      <c r="F171" s="42">
        <v>4</v>
      </c>
    </row>
    <row r="172" spans="1:6">
      <c r="A172" s="38">
        <v>44</v>
      </c>
      <c r="B172" s="39" t="s">
        <v>58</v>
      </c>
      <c r="C172" s="39">
        <v>45</v>
      </c>
      <c r="D172" s="40">
        <v>0.2</v>
      </c>
      <c r="E172" s="41">
        <v>14814227</v>
      </c>
      <c r="F172" s="42">
        <v>4</v>
      </c>
    </row>
    <row r="173" spans="1:6">
      <c r="A173" s="38">
        <v>45</v>
      </c>
      <c r="B173" s="39" t="s">
        <v>58</v>
      </c>
      <c r="C173" s="39">
        <v>45</v>
      </c>
      <c r="D173" s="40">
        <v>0.25</v>
      </c>
      <c r="E173" s="41">
        <v>14814230</v>
      </c>
      <c r="F173" s="42">
        <v>4</v>
      </c>
    </row>
    <row r="174" spans="1:6">
      <c r="A174" s="38">
        <v>46</v>
      </c>
      <c r="B174" s="39" t="s">
        <v>58</v>
      </c>
      <c r="C174" s="39">
        <v>60</v>
      </c>
      <c r="D174" s="40">
        <v>1E-3</v>
      </c>
      <c r="E174" s="41">
        <v>14814233</v>
      </c>
      <c r="F174" s="42">
        <v>3</v>
      </c>
    </row>
    <row r="175" spans="1:6">
      <c r="A175" s="38">
        <v>47</v>
      </c>
      <c r="B175" s="39" t="s">
        <v>58</v>
      </c>
      <c r="C175" s="39">
        <v>60</v>
      </c>
      <c r="D175" s="40">
        <v>5.0000000000000001E-3</v>
      </c>
      <c r="E175" s="41">
        <v>14814238</v>
      </c>
      <c r="F175" s="42">
        <v>3</v>
      </c>
    </row>
    <row r="176" spans="1:6">
      <c r="A176" s="38">
        <v>48</v>
      </c>
      <c r="B176" s="39" t="s">
        <v>58</v>
      </c>
      <c r="C176" s="39">
        <v>60</v>
      </c>
      <c r="D176" s="40">
        <v>2.5000000000000001E-2</v>
      </c>
      <c r="E176" s="41">
        <v>14814240</v>
      </c>
      <c r="F176" s="42">
        <v>3</v>
      </c>
    </row>
    <row r="177" spans="1:6">
      <c r="A177" s="38">
        <v>49</v>
      </c>
      <c r="B177" s="39" t="s">
        <v>58</v>
      </c>
      <c r="C177" s="39">
        <v>60</v>
      </c>
      <c r="D177" s="40">
        <v>0.05</v>
      </c>
      <c r="E177" s="41">
        <v>14814242</v>
      </c>
      <c r="F177" s="42">
        <v>3</v>
      </c>
    </row>
    <row r="178" spans="1:6">
      <c r="A178" s="38">
        <v>50</v>
      </c>
      <c r="B178" s="39" t="s">
        <v>58</v>
      </c>
      <c r="C178" s="39">
        <v>60</v>
      </c>
      <c r="D178" s="40">
        <v>7.4999999999999997E-2</v>
      </c>
      <c r="E178" s="41">
        <v>14814246</v>
      </c>
      <c r="F178" s="42">
        <v>3</v>
      </c>
    </row>
    <row r="179" spans="1:6">
      <c r="A179" s="38">
        <v>51</v>
      </c>
      <c r="B179" s="39" t="s">
        <v>58</v>
      </c>
      <c r="C179" s="39">
        <v>60</v>
      </c>
      <c r="D179" s="40">
        <v>0.15</v>
      </c>
      <c r="E179" s="41">
        <v>14814249</v>
      </c>
      <c r="F179" s="42">
        <v>3</v>
      </c>
    </row>
    <row r="180" spans="1:6">
      <c r="A180" s="38">
        <v>52</v>
      </c>
      <c r="B180" s="39" t="s">
        <v>58</v>
      </c>
      <c r="C180" s="39">
        <v>60</v>
      </c>
      <c r="D180" s="40">
        <v>0.2</v>
      </c>
      <c r="E180" s="41">
        <v>14814250</v>
      </c>
      <c r="F180" s="42">
        <v>3</v>
      </c>
    </row>
    <row r="181" spans="1:6">
      <c r="A181" s="38">
        <v>53</v>
      </c>
      <c r="B181" s="39" t="s">
        <v>58</v>
      </c>
      <c r="C181" s="39">
        <v>60</v>
      </c>
      <c r="D181" s="40">
        <v>0.25</v>
      </c>
      <c r="E181" s="41">
        <v>14814252</v>
      </c>
      <c r="F181" s="42">
        <v>3</v>
      </c>
    </row>
    <row r="182" spans="1:6">
      <c r="A182" s="38">
        <v>54</v>
      </c>
      <c r="B182" s="39" t="s">
        <v>58</v>
      </c>
      <c r="C182" s="39">
        <v>75</v>
      </c>
      <c r="D182" s="40">
        <v>1E-3</v>
      </c>
      <c r="E182" s="41">
        <v>14814253</v>
      </c>
      <c r="F182" s="42">
        <v>3</v>
      </c>
    </row>
    <row r="183" spans="1:6">
      <c r="A183" s="38">
        <v>55</v>
      </c>
      <c r="B183" s="39" t="s">
        <v>58</v>
      </c>
      <c r="C183" s="39">
        <v>75</v>
      </c>
      <c r="D183" s="40">
        <v>2.5000000000000001E-2</v>
      </c>
      <c r="E183" s="41">
        <v>14814254</v>
      </c>
      <c r="F183" s="42">
        <v>3</v>
      </c>
    </row>
    <row r="184" spans="1:6">
      <c r="A184" s="38">
        <v>56</v>
      </c>
      <c r="B184" s="39" t="s">
        <v>58</v>
      </c>
      <c r="C184" s="39">
        <v>75</v>
      </c>
      <c r="D184" s="40">
        <v>0.05</v>
      </c>
      <c r="E184" s="41">
        <v>14814259</v>
      </c>
      <c r="F184" s="42">
        <v>3</v>
      </c>
    </row>
    <row r="185" spans="1:6">
      <c r="A185" s="38">
        <v>57</v>
      </c>
      <c r="B185" s="39" t="s">
        <v>58</v>
      </c>
      <c r="C185" s="39">
        <v>75</v>
      </c>
      <c r="D185" s="40">
        <v>7.4999999999999997E-2</v>
      </c>
      <c r="E185" s="41">
        <v>14814264</v>
      </c>
      <c r="F185" s="42">
        <v>3</v>
      </c>
    </row>
    <row r="186" spans="1:6">
      <c r="A186" s="38">
        <v>58</v>
      </c>
      <c r="B186" s="39" t="s">
        <v>58</v>
      </c>
      <c r="C186" s="39">
        <v>75</v>
      </c>
      <c r="D186" s="40">
        <v>0.15</v>
      </c>
      <c r="E186" s="41">
        <v>14814268</v>
      </c>
      <c r="F186" s="42">
        <v>3</v>
      </c>
    </row>
    <row r="187" spans="1:6">
      <c r="A187" s="38">
        <v>59</v>
      </c>
      <c r="B187" s="39" t="s">
        <v>58</v>
      </c>
      <c r="C187" s="39">
        <v>75</v>
      </c>
      <c r="D187" s="40">
        <v>0.2</v>
      </c>
      <c r="E187" s="41">
        <v>14814270</v>
      </c>
      <c r="F187" s="42">
        <v>3</v>
      </c>
    </row>
    <row r="188" spans="1:6">
      <c r="A188" s="48">
        <v>60</v>
      </c>
      <c r="B188" s="39" t="s">
        <v>58</v>
      </c>
      <c r="C188" s="49">
        <v>75</v>
      </c>
      <c r="D188" s="50">
        <v>0.25</v>
      </c>
      <c r="E188" s="51">
        <v>14814274</v>
      </c>
      <c r="F188" s="52">
        <v>3</v>
      </c>
    </row>
    <row r="189" spans="1:6">
      <c r="A189" s="9"/>
      <c r="B189" s="9"/>
    </row>
    <row r="190" spans="1:6">
      <c r="A190" s="43" t="s">
        <v>62</v>
      </c>
      <c r="B190" s="44" t="s">
        <v>63</v>
      </c>
      <c r="C190" s="45" t="s">
        <v>64</v>
      </c>
      <c r="D190" s="46" t="s">
        <v>65</v>
      </c>
      <c r="E190" s="47" t="s">
        <v>66</v>
      </c>
    </row>
    <row r="191" spans="1:6">
      <c r="A191" s="9"/>
      <c r="B191" s="9"/>
    </row>
    <row r="192" spans="1:6">
      <c r="A192" s="9"/>
      <c r="B192" s="9"/>
    </row>
  </sheetData>
  <mergeCells count="7">
    <mergeCell ref="A4:A9"/>
    <mergeCell ref="P4:P9"/>
    <mergeCell ref="S84:S123"/>
    <mergeCell ref="A127:B127"/>
    <mergeCell ref="C127:F127"/>
    <mergeCell ref="G127:H127"/>
    <mergeCell ref="I127:L127"/>
  </mergeCells>
  <phoneticPr fontId="3" type="noConversion"/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9C64-AB39-4874-AA75-AEE35D6DF075}">
  <dimension ref="A3:AQ192"/>
  <sheetViews>
    <sheetView tabSelected="1" zoomScale="81" zoomScaleNormal="81" workbookViewId="0">
      <selection activeCell="I1" sqref="I1:I1048576"/>
    </sheetView>
  </sheetViews>
  <sheetFormatPr defaultRowHeight="15" customHeight="1"/>
  <cols>
    <col min="1" max="1" width="16.28515625" customWidth="1"/>
    <col min="2" max="2" width="15.28515625" customWidth="1"/>
    <col min="3" max="3" width="14.5703125" customWidth="1"/>
    <col min="4" max="4" width="35" customWidth="1"/>
    <col min="5" max="5" width="25.7109375" customWidth="1"/>
    <col min="6" max="6" width="24" customWidth="1"/>
    <col min="7" max="7" width="26.85546875" customWidth="1"/>
    <col min="8" max="8" width="17.28515625" bestFit="1" customWidth="1"/>
    <col min="9" max="9" width="17.5703125" customWidth="1"/>
    <col min="10" max="10" width="23.85546875" customWidth="1"/>
    <col min="11" max="11" width="13.7109375" bestFit="1" customWidth="1"/>
    <col min="12" max="12" width="15" bestFit="1" customWidth="1"/>
    <col min="13" max="13" width="9.85546875" bestFit="1" customWidth="1"/>
    <col min="14" max="14" width="14.140625" hidden="1" customWidth="1"/>
    <col min="15" max="15" width="9.42578125" hidden="1" customWidth="1"/>
    <col min="16" max="16" width="9.85546875" hidden="1" customWidth="1"/>
    <col min="17" max="17" width="10" hidden="1" customWidth="1"/>
    <col min="18" max="19" width="10.85546875" hidden="1" customWidth="1"/>
    <col min="20" max="20" width="4" hidden="1" customWidth="1"/>
    <col min="21" max="21" width="5.140625" hidden="1" customWidth="1"/>
    <col min="22" max="22" width="17.85546875" hidden="1" customWidth="1"/>
    <col min="23" max="23" width="18.28515625" hidden="1" customWidth="1"/>
    <col min="24" max="24" width="20" hidden="1" customWidth="1"/>
    <col min="25" max="25" width="16.140625" style="9" hidden="1" customWidth="1"/>
    <col min="26" max="26" width="13.7109375" style="9" hidden="1" customWidth="1"/>
    <col min="27" max="27" width="15" style="92" hidden="1" customWidth="1"/>
    <col min="28" max="28" width="14.140625" hidden="1" customWidth="1"/>
    <col min="29" max="29" width="12.28515625" hidden="1" customWidth="1"/>
    <col min="30" max="30" width="24.42578125" hidden="1" customWidth="1"/>
    <col min="31" max="31" width="12.28515625" hidden="1" customWidth="1"/>
    <col min="32" max="32" width="9.7109375" hidden="1" customWidth="1"/>
    <col min="33" max="33" width="21.5703125" hidden="1" customWidth="1"/>
    <col min="34" max="34" width="12.140625" hidden="1" customWidth="1"/>
    <col min="35" max="35" width="11.28515625" hidden="1" customWidth="1"/>
    <col min="36" max="36" width="19.140625" hidden="1" customWidth="1"/>
    <col min="37" max="37" width="16.28515625" hidden="1" customWidth="1"/>
    <col min="38" max="38" width="11" hidden="1" customWidth="1"/>
    <col min="39" max="39" width="19.5703125" hidden="1" customWidth="1"/>
    <col min="40" max="40" width="25.7109375" hidden="1" customWidth="1"/>
    <col min="41" max="41" width="28.140625" hidden="1" customWidth="1"/>
    <col min="42" max="42" width="15.28515625" hidden="1" customWidth="1"/>
    <col min="43" max="43" width="22" hidden="1" customWidth="1"/>
  </cols>
  <sheetData>
    <row r="3" spans="1:43" s="4" customFormat="1" ht="38.25" customHeight="1">
      <c r="A3" s="20" t="s">
        <v>0</v>
      </c>
      <c r="B3" s="20" t="s">
        <v>1</v>
      </c>
      <c r="C3" s="20" t="s">
        <v>2</v>
      </c>
      <c r="D3" s="20" t="s">
        <v>67</v>
      </c>
      <c r="E3" s="20" t="s">
        <v>68</v>
      </c>
      <c r="F3" s="20" t="s">
        <v>69</v>
      </c>
      <c r="G3" s="20" t="s">
        <v>6</v>
      </c>
      <c r="H3" s="20" t="s">
        <v>70</v>
      </c>
      <c r="I3" s="20" t="s">
        <v>71</v>
      </c>
      <c r="J3" s="20" t="s">
        <v>72</v>
      </c>
      <c r="K3" s="20" t="s">
        <v>10</v>
      </c>
      <c r="L3" s="20" t="s">
        <v>11</v>
      </c>
      <c r="M3" s="20" t="s">
        <v>12</v>
      </c>
      <c r="T3" s="4" t="s">
        <v>13</v>
      </c>
      <c r="U3" s="4" t="s">
        <v>14</v>
      </c>
      <c r="V3" s="4" t="s">
        <v>15</v>
      </c>
      <c r="W3" s="4" t="s">
        <v>1</v>
      </c>
      <c r="X3" s="4" t="s">
        <v>16</v>
      </c>
      <c r="Y3" s="4" t="s">
        <v>17</v>
      </c>
      <c r="Z3" s="4" t="s">
        <v>18</v>
      </c>
      <c r="AA3" s="88" t="s">
        <v>19</v>
      </c>
      <c r="AB3" s="4" t="s">
        <v>20</v>
      </c>
      <c r="AC3" s="4" t="s">
        <v>21</v>
      </c>
      <c r="AD3" s="4" t="s">
        <v>22</v>
      </c>
      <c r="AE3" s="4" t="s">
        <v>23</v>
      </c>
      <c r="AF3" s="4" t="s">
        <v>24</v>
      </c>
      <c r="AG3" s="4" t="s">
        <v>25</v>
      </c>
      <c r="AH3" s="4" t="s">
        <v>26</v>
      </c>
      <c r="AI3" s="4" t="s">
        <v>27</v>
      </c>
      <c r="AJ3" s="4" t="s">
        <v>28</v>
      </c>
      <c r="AK3" s="4" t="s">
        <v>29</v>
      </c>
      <c r="AL3" s="4" t="s">
        <v>30</v>
      </c>
      <c r="AM3" s="4" t="s">
        <v>31</v>
      </c>
      <c r="AN3" s="4" t="s">
        <v>32</v>
      </c>
      <c r="AO3" s="4" t="s">
        <v>33</v>
      </c>
      <c r="AP3" s="4" t="s">
        <v>34</v>
      </c>
      <c r="AQ3" s="4" t="s">
        <v>35</v>
      </c>
    </row>
    <row r="4" spans="1:43">
      <c r="A4" s="96">
        <v>14</v>
      </c>
      <c r="B4" s="1">
        <v>15</v>
      </c>
      <c r="C4" s="1">
        <f t="shared" ref="C4:C9" si="0">B4*$A$4</f>
        <v>210</v>
      </c>
      <c r="D4" s="1">
        <f>'Mesh quality'!$E$8</f>
        <v>6720</v>
      </c>
      <c r="E4" s="3">
        <f>'Mesh quality'!E10</f>
        <v>686940</v>
      </c>
      <c r="F4" s="3">
        <f>$D$4+E4</f>
        <v>693660</v>
      </c>
      <c r="G4" s="31">
        <f>'Mesh quality'!C10</f>
        <v>0.90859999999999996</v>
      </c>
      <c r="H4" s="2">
        <v>1.6197091218928899E-8</v>
      </c>
      <c r="I4" s="3">
        <v>61739481</v>
      </c>
      <c r="J4" s="3"/>
      <c r="K4" s="1">
        <v>36</v>
      </c>
      <c r="L4" s="1">
        <v>6</v>
      </c>
      <c r="M4" s="1">
        <v>35940</v>
      </c>
      <c r="N4" s="2"/>
      <c r="O4" s="2"/>
      <c r="P4" s="96"/>
      <c r="Q4" s="8"/>
      <c r="T4" s="9">
        <v>1</v>
      </c>
      <c r="U4" s="11">
        <v>1</v>
      </c>
      <c r="V4" s="70">
        <v>2005341</v>
      </c>
      <c r="W4" s="11">
        <v>30</v>
      </c>
      <c r="X4" s="11" t="s">
        <v>36</v>
      </c>
      <c r="Y4" s="15" t="s">
        <v>37</v>
      </c>
      <c r="Z4" s="11">
        <v>14337061</v>
      </c>
      <c r="AA4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30869751</v>
      </c>
      <c r="AB4" s="12">
        <f>DATE(2022,11,23)</f>
        <v>44888</v>
      </c>
      <c r="AC4" s="13">
        <f>TIME(14,41,6)</f>
        <v>0.61187500000000006</v>
      </c>
      <c r="AD4" s="14">
        <f t="shared" ref="AD4:AD35" si="1">AB4+AC4</f>
        <v>44888.611875000002</v>
      </c>
      <c r="AE4" s="12">
        <f>DATE(2022,11,30)</f>
        <v>44895</v>
      </c>
      <c r="AF4" s="13">
        <f>TIME(12,46,44)</f>
        <v>0.53245370370370371</v>
      </c>
      <c r="AG4" s="14">
        <f t="shared" ref="AG4:AG35" si="2">AE4+AF4</f>
        <v>44895.532453703701</v>
      </c>
      <c r="AH4" s="32" t="str">
        <f t="shared" ref="AH4:AH35" si="3">INT(AG4-AD4) &amp; "-"&amp; TEXT(AG4-AD4,"h"":""m"":""s""""")</f>
        <v>6-h:5:38</v>
      </c>
      <c r="AI4" s="11">
        <f t="shared" ref="AI4:AI35" si="4">INT((AG4-AD4) * 86400)</f>
        <v>597937</v>
      </c>
      <c r="AJ4" s="11">
        <v>4067</v>
      </c>
      <c r="AK4" s="18">
        <f>AJ4/$M$5</f>
        <v>0.9281150159744409</v>
      </c>
      <c r="AL4" s="9"/>
      <c r="AM4" s="9"/>
      <c r="AN4" s="9"/>
      <c r="AO4" s="9"/>
      <c r="AP4" s="9"/>
      <c r="AQ4" s="9"/>
    </row>
    <row r="5" spans="1:43">
      <c r="A5" s="96"/>
      <c r="B5" s="102">
        <v>30</v>
      </c>
      <c r="C5" s="102">
        <f t="shared" si="0"/>
        <v>420</v>
      </c>
      <c r="D5" s="102">
        <f>'Mesh quality'!$E$8</f>
        <v>6720</v>
      </c>
      <c r="E5" s="103">
        <f>'Mesh quality'!E11</f>
        <v>182784</v>
      </c>
      <c r="F5" s="3">
        <f t="shared" ref="F5:F9" si="5">$D$4+E5</f>
        <v>189504</v>
      </c>
      <c r="G5" s="31">
        <f>'Mesh quality'!C11</f>
        <v>0.9113</v>
      </c>
      <c r="H5" s="2">
        <v>3.2394171573719599E-8</v>
      </c>
      <c r="I5" s="3">
        <v>30869751</v>
      </c>
      <c r="J5" s="3">
        <v>30864102</v>
      </c>
      <c r="K5" s="1">
        <v>18</v>
      </c>
      <c r="L5" s="1">
        <v>3</v>
      </c>
      <c r="M5" s="1">
        <v>4382</v>
      </c>
      <c r="N5" s="2"/>
      <c r="O5" s="2"/>
      <c r="P5" s="96"/>
      <c r="Q5" s="8"/>
      <c r="T5" s="9">
        <v>2</v>
      </c>
      <c r="U5" s="11">
        <v>1</v>
      </c>
      <c r="V5" s="70">
        <v>2005341</v>
      </c>
      <c r="W5" s="11">
        <v>30</v>
      </c>
      <c r="X5" s="11" t="s">
        <v>38</v>
      </c>
      <c r="Y5" s="105">
        <v>1E-3</v>
      </c>
      <c r="Z5" s="11">
        <v>14676458</v>
      </c>
      <c r="AA5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5" s="12">
        <f>DATE(2022,12,21)</f>
        <v>44916</v>
      </c>
      <c r="AC5" s="13">
        <f>TIME(15,33,59)</f>
        <v>0.6485995370370371</v>
      </c>
      <c r="AD5" s="14">
        <f t="shared" si="1"/>
        <v>44916.648599537039</v>
      </c>
      <c r="AE5" s="12">
        <f>DATE(2022,12,25)</f>
        <v>44920</v>
      </c>
      <c r="AF5" s="13">
        <f>TIME(17,10,10)</f>
        <v>0.71539351851851851</v>
      </c>
      <c r="AG5" s="14">
        <f t="shared" si="2"/>
        <v>44920.71539351852</v>
      </c>
      <c r="AH5" s="32" t="str">
        <f t="shared" si="3"/>
        <v>4-h:36:11</v>
      </c>
      <c r="AI5" s="11">
        <f t="shared" si="4"/>
        <v>351370</v>
      </c>
      <c r="AJ5" s="11">
        <v>2149</v>
      </c>
      <c r="AK5" s="18">
        <f t="shared" ref="AK5:AK13" si="6">AJ5/$M$5</f>
        <v>0.49041533546325877</v>
      </c>
      <c r="AL5" s="9"/>
      <c r="AM5" s="9"/>
      <c r="AN5" s="9"/>
      <c r="AO5" s="9"/>
      <c r="AP5" s="9"/>
      <c r="AQ5" s="9"/>
    </row>
    <row r="6" spans="1:43">
      <c r="A6" s="96"/>
      <c r="B6" s="102">
        <v>45</v>
      </c>
      <c r="C6" s="102">
        <f t="shared" si="0"/>
        <v>630</v>
      </c>
      <c r="D6" s="102">
        <f>'Mesh quality'!$E$8</f>
        <v>6720</v>
      </c>
      <c r="E6" s="103">
        <f>'Mesh quality'!E12</f>
        <v>84366</v>
      </c>
      <c r="F6" s="3">
        <f t="shared" si="5"/>
        <v>91086</v>
      </c>
      <c r="G6" s="31">
        <f>'Mesh quality'!C12</f>
        <v>0.91279999999999994</v>
      </c>
      <c r="H6" s="2">
        <v>4.8591256527376302E-8</v>
      </c>
      <c r="I6" s="3">
        <v>20579835</v>
      </c>
      <c r="J6" s="3">
        <v>20576132</v>
      </c>
      <c r="K6" s="1">
        <v>12</v>
      </c>
      <c r="L6" s="1">
        <v>2</v>
      </c>
      <c r="M6" s="1">
        <v>1331</v>
      </c>
      <c r="N6" s="2"/>
      <c r="O6" s="2"/>
      <c r="P6" s="96"/>
      <c r="Q6" s="8"/>
      <c r="T6" s="9">
        <v>3</v>
      </c>
      <c r="U6" s="11">
        <v>1</v>
      </c>
      <c r="V6" s="70">
        <v>2005341</v>
      </c>
      <c r="W6" s="11">
        <v>30</v>
      </c>
      <c r="X6" s="11" t="s">
        <v>38</v>
      </c>
      <c r="Y6" s="109">
        <v>5.0000000000000001E-3</v>
      </c>
      <c r="Z6" s="11">
        <v>14337854</v>
      </c>
      <c r="AA6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6" s="12">
        <f>DATE(2022,11,23)</f>
        <v>44888</v>
      </c>
      <c r="AC6" s="13">
        <f>TIME(17,23,33)</f>
        <v>0.72468749999999993</v>
      </c>
      <c r="AD6" s="14">
        <f t="shared" si="1"/>
        <v>44888.724687499998</v>
      </c>
      <c r="AE6" s="12">
        <f>DATE(2022,11,28)</f>
        <v>44893</v>
      </c>
      <c r="AF6" s="13">
        <f>TIME(2,57,15)</f>
        <v>0.12309027777777777</v>
      </c>
      <c r="AG6" s="14">
        <f t="shared" si="2"/>
        <v>44893.123090277775</v>
      </c>
      <c r="AH6" s="32" t="str">
        <f t="shared" si="3"/>
        <v>4-h:33:42</v>
      </c>
      <c r="AI6" s="11">
        <f t="shared" si="4"/>
        <v>380021</v>
      </c>
      <c r="AJ6" s="11">
        <v>1079</v>
      </c>
      <c r="AK6" s="18">
        <f t="shared" si="6"/>
        <v>0.24623459607485165</v>
      </c>
      <c r="AL6" s="9"/>
      <c r="AM6" s="9"/>
      <c r="AN6" s="9"/>
      <c r="AO6" s="9"/>
      <c r="AP6" s="9"/>
      <c r="AQ6" s="9"/>
    </row>
    <row r="7" spans="1:43">
      <c r="A7" s="96"/>
      <c r="B7" s="102">
        <v>60</v>
      </c>
      <c r="C7" s="102">
        <f t="shared" si="0"/>
        <v>840</v>
      </c>
      <c r="D7" s="102">
        <f>'Mesh quality'!$E$8</f>
        <v>6720</v>
      </c>
      <c r="E7" s="103">
        <f>'Mesh quality'!E13</f>
        <v>61704</v>
      </c>
      <c r="F7" s="3">
        <f t="shared" si="5"/>
        <v>68424</v>
      </c>
      <c r="G7" s="31">
        <f>'Mesh quality'!C13</f>
        <v>0.91349999999999998</v>
      </c>
      <c r="H7" s="2">
        <v>6.4788346482732304E-8</v>
      </c>
      <c r="I7" s="3">
        <v>15434875</v>
      </c>
      <c r="J7" s="3">
        <v>15432099</v>
      </c>
      <c r="K7" s="1">
        <v>9</v>
      </c>
      <c r="L7" s="1">
        <v>2</v>
      </c>
      <c r="M7" s="1">
        <v>522</v>
      </c>
      <c r="N7" s="2"/>
      <c r="O7" s="2"/>
      <c r="P7" s="96"/>
      <c r="Q7" s="8"/>
      <c r="T7" s="9">
        <v>4</v>
      </c>
      <c r="U7" s="11">
        <v>1</v>
      </c>
      <c r="V7" s="70">
        <v>2005341</v>
      </c>
      <c r="W7" s="11">
        <v>30</v>
      </c>
      <c r="X7" s="11" t="s">
        <v>38</v>
      </c>
      <c r="Y7" s="105">
        <v>2.5000000000000001E-2</v>
      </c>
      <c r="Z7" s="11">
        <v>14676680</v>
      </c>
      <c r="AA7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7" s="12">
        <f>DATE(2022,12,21)</f>
        <v>44916</v>
      </c>
      <c r="AC7" s="13">
        <f>TIME(15,33,59)</f>
        <v>0.6485995370370371</v>
      </c>
      <c r="AD7" s="14">
        <f t="shared" si="1"/>
        <v>44916.648599537039</v>
      </c>
      <c r="AE7" s="12">
        <f>DATE(2022,12,25)</f>
        <v>44920</v>
      </c>
      <c r="AF7" s="13">
        <f>TIME(23,12,19)</f>
        <v>0.96688657407407408</v>
      </c>
      <c r="AG7" s="14">
        <f t="shared" si="2"/>
        <v>44920.966886574075</v>
      </c>
      <c r="AH7" s="32" t="str">
        <f t="shared" si="3"/>
        <v>4-h:38:20</v>
      </c>
      <c r="AI7" s="11">
        <f t="shared" si="4"/>
        <v>373099</v>
      </c>
      <c r="AJ7" s="11">
        <v>500</v>
      </c>
      <c r="AK7" s="18">
        <f t="shared" si="6"/>
        <v>0.11410314924691921</v>
      </c>
      <c r="AL7" s="9"/>
      <c r="AM7" s="9"/>
      <c r="AN7" s="9"/>
      <c r="AO7" s="9"/>
      <c r="AP7" s="9"/>
      <c r="AQ7" s="9"/>
    </row>
    <row r="8" spans="1:43">
      <c r="A8" s="96"/>
      <c r="B8" s="102">
        <v>75</v>
      </c>
      <c r="C8" s="102">
        <f t="shared" si="0"/>
        <v>1050</v>
      </c>
      <c r="D8" s="102">
        <f>'Mesh quality'!$E$8</f>
        <v>6720</v>
      </c>
      <c r="E8" s="103">
        <f>'Mesh quality'!E14</f>
        <v>50954</v>
      </c>
      <c r="F8" s="3">
        <f t="shared" si="5"/>
        <v>57674</v>
      </c>
      <c r="G8" s="31">
        <f>'Mesh quality'!C14</f>
        <v>0.91769999999999996</v>
      </c>
      <c r="H8" s="2">
        <v>8.0985430215204806E-8</v>
      </c>
      <c r="I8" s="3">
        <v>12347901</v>
      </c>
      <c r="J8" s="3">
        <v>12345680</v>
      </c>
      <c r="K8" s="1">
        <v>8</v>
      </c>
      <c r="L8" s="1">
        <v>2</v>
      </c>
      <c r="M8" s="1">
        <v>305</v>
      </c>
      <c r="N8" s="2"/>
      <c r="O8" s="2"/>
      <c r="P8" s="96"/>
      <c r="Q8" s="8"/>
      <c r="T8" s="9">
        <v>5</v>
      </c>
      <c r="U8" s="11">
        <v>1</v>
      </c>
      <c r="V8" s="70">
        <v>2005341</v>
      </c>
      <c r="W8" s="11">
        <v>30</v>
      </c>
      <c r="X8" s="11" t="s">
        <v>38</v>
      </c>
      <c r="Y8" s="110">
        <v>0.05</v>
      </c>
      <c r="Z8" s="11">
        <v>14676705</v>
      </c>
      <c r="AA8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8" s="12">
        <f>DATE(2022,12,21)</f>
        <v>44916</v>
      </c>
      <c r="AC8" s="13">
        <f>TIME(15,34,18)</f>
        <v>0.6488194444444445</v>
      </c>
      <c r="AD8" s="14">
        <f t="shared" si="1"/>
        <v>44916.648819444446</v>
      </c>
      <c r="AE8" s="12">
        <f>DATE(2022,12,26)</f>
        <v>44921</v>
      </c>
      <c r="AF8" s="13">
        <f>TIME(0,1,3)</f>
        <v>7.291666666666667E-4</v>
      </c>
      <c r="AG8" s="14">
        <f t="shared" si="2"/>
        <v>44921.00072916667</v>
      </c>
      <c r="AH8" s="32" t="str">
        <f t="shared" si="3"/>
        <v>4-h:26:45</v>
      </c>
      <c r="AI8" s="11">
        <f t="shared" si="4"/>
        <v>376005</v>
      </c>
      <c r="AJ8" s="11">
        <v>296</v>
      </c>
      <c r="AK8" s="18">
        <f t="shared" si="6"/>
        <v>6.754906435417618E-2</v>
      </c>
      <c r="AL8" s="9"/>
      <c r="AM8" s="9"/>
      <c r="AN8" s="9"/>
      <c r="AO8" s="9"/>
      <c r="AP8" s="9"/>
      <c r="AQ8" s="9"/>
    </row>
    <row r="9" spans="1:43">
      <c r="A9" s="96"/>
      <c r="B9" s="1">
        <v>90</v>
      </c>
      <c r="C9" s="1">
        <f t="shared" si="0"/>
        <v>1260</v>
      </c>
      <c r="D9" s="1">
        <f>'Mesh quality'!$E$8</f>
        <v>6720</v>
      </c>
      <c r="E9" s="3">
        <f>'Mesh quality'!E15</f>
        <v>21344</v>
      </c>
      <c r="F9" s="3">
        <f t="shared" si="5"/>
        <v>28064</v>
      </c>
      <c r="G9" s="31">
        <f>'Mesh quality'!C15</f>
        <v>0.91490000000000005</v>
      </c>
      <c r="H9" s="2">
        <v>9.7182514750357399E-8</v>
      </c>
      <c r="I9" s="3">
        <v>10289917</v>
      </c>
      <c r="J9" s="3"/>
      <c r="K9" s="1">
        <v>6</v>
      </c>
      <c r="L9" s="1">
        <v>1</v>
      </c>
      <c r="M9" s="1">
        <v>173</v>
      </c>
      <c r="N9" s="2"/>
      <c r="O9" s="2"/>
      <c r="P9" s="96"/>
      <c r="Q9" s="8"/>
      <c r="R9" s="8"/>
      <c r="S9" s="8"/>
      <c r="T9" s="9">
        <v>6</v>
      </c>
      <c r="U9" s="11">
        <v>1</v>
      </c>
      <c r="V9" s="70">
        <v>2005341</v>
      </c>
      <c r="W9" s="11">
        <v>30</v>
      </c>
      <c r="X9" s="11" t="s">
        <v>38</v>
      </c>
      <c r="Y9" s="110">
        <v>7.4999999999999997E-2</v>
      </c>
      <c r="Z9" s="11">
        <v>14676708</v>
      </c>
      <c r="AA9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9" s="12">
        <f>DATE(2022,12,22)</f>
        <v>44917</v>
      </c>
      <c r="AC9" s="13">
        <f>TIME(21,2,49)</f>
        <v>0.87695601851851857</v>
      </c>
      <c r="AD9" s="14">
        <f t="shared" si="1"/>
        <v>44917.876956018517</v>
      </c>
      <c r="AE9" s="12">
        <f>DATE(2022,12,27)</f>
        <v>44922</v>
      </c>
      <c r="AF9" s="13">
        <f>TIME(3,56,4)</f>
        <v>0.16393518518518518</v>
      </c>
      <c r="AG9" s="14">
        <f t="shared" si="2"/>
        <v>44922.163935185185</v>
      </c>
      <c r="AH9" s="32" t="str">
        <f t="shared" si="3"/>
        <v>4-h:53:15</v>
      </c>
      <c r="AI9" s="11">
        <f t="shared" si="4"/>
        <v>370395</v>
      </c>
      <c r="AJ9" s="11">
        <v>342</v>
      </c>
      <c r="AK9" s="18">
        <f t="shared" si="6"/>
        <v>7.804655408489275E-2</v>
      </c>
      <c r="AL9" s="9"/>
      <c r="AM9" s="9"/>
      <c r="AN9" s="9"/>
      <c r="AO9" s="9"/>
      <c r="AP9" s="9"/>
      <c r="AQ9" s="9"/>
    </row>
    <row r="10" spans="1:43">
      <c r="T10" s="9">
        <v>7</v>
      </c>
      <c r="U10" s="11">
        <v>1</v>
      </c>
      <c r="V10" s="70">
        <v>2005341</v>
      </c>
      <c r="W10" s="11">
        <v>30</v>
      </c>
      <c r="X10" s="11" t="s">
        <v>38</v>
      </c>
      <c r="Y10" s="109">
        <v>0.1</v>
      </c>
      <c r="Z10" s="11">
        <v>14337851</v>
      </c>
      <c r="AA10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10" s="12">
        <f>DATE(2022,11,23)</f>
        <v>44888</v>
      </c>
      <c r="AC10" s="13">
        <f>TIME(17,3,36)</f>
        <v>0.71083333333333332</v>
      </c>
      <c r="AD10" s="14">
        <f t="shared" si="1"/>
        <v>44888.710833333331</v>
      </c>
      <c r="AE10" s="12">
        <f>DATE(2022,11,27)</f>
        <v>44892</v>
      </c>
      <c r="AF10" s="13">
        <f>TIME(18,19,24)</f>
        <v>0.76347222222222222</v>
      </c>
      <c r="AG10" s="14">
        <f t="shared" si="2"/>
        <v>44892.763472222221</v>
      </c>
      <c r="AH10" s="32" t="str">
        <f t="shared" si="3"/>
        <v>4-h:15:48</v>
      </c>
      <c r="AI10" s="11">
        <f t="shared" si="4"/>
        <v>350148</v>
      </c>
      <c r="AJ10" s="11">
        <v>312</v>
      </c>
      <c r="AK10" s="18">
        <f t="shared" si="6"/>
        <v>7.1200365130077589E-2</v>
      </c>
      <c r="AL10" s="9"/>
      <c r="AM10" s="9"/>
      <c r="AN10" s="9"/>
      <c r="AO10" s="9"/>
      <c r="AP10" s="9"/>
      <c r="AQ10" s="9"/>
    </row>
    <row r="11" spans="1:43" ht="30.75">
      <c r="A11" s="1" t="s">
        <v>1</v>
      </c>
      <c r="B11" s="4" t="s">
        <v>73</v>
      </c>
      <c r="C11" s="4" t="s">
        <v>74</v>
      </c>
      <c r="D11" s="1" t="s">
        <v>75</v>
      </c>
      <c r="E11" s="4" t="s">
        <v>76</v>
      </c>
      <c r="T11" s="9">
        <v>8</v>
      </c>
      <c r="U11" s="11">
        <v>1</v>
      </c>
      <c r="V11" s="70">
        <v>2005341</v>
      </c>
      <c r="W11" s="11">
        <v>30</v>
      </c>
      <c r="X11" s="11" t="s">
        <v>38</v>
      </c>
      <c r="Y11" s="110">
        <v>0.15</v>
      </c>
      <c r="Z11" s="11">
        <v>14676713</v>
      </c>
      <c r="AA11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11" s="12">
        <f>DATE(2022,12,23)</f>
        <v>44918</v>
      </c>
      <c r="AC11" s="13">
        <f>TIME(19,23,12)</f>
        <v>0.80777777777777782</v>
      </c>
      <c r="AD11" s="14">
        <f t="shared" si="1"/>
        <v>44918.80777777778</v>
      </c>
      <c r="AE11" s="12">
        <f>DATE(2022,12,27)</f>
        <v>44922</v>
      </c>
      <c r="AF11" s="13">
        <f>TIME(20,27,23)</f>
        <v>0.85234953703703698</v>
      </c>
      <c r="AG11" s="14">
        <f t="shared" si="2"/>
        <v>44922.852349537039</v>
      </c>
      <c r="AH11" s="32" t="str">
        <f t="shared" si="3"/>
        <v>4-h:4:11</v>
      </c>
      <c r="AI11" s="11">
        <f t="shared" si="4"/>
        <v>349451</v>
      </c>
      <c r="AJ11" s="11">
        <v>251</v>
      </c>
      <c r="AK11" s="18">
        <f t="shared" si="6"/>
        <v>5.7279780921953447E-2</v>
      </c>
      <c r="AL11" s="9"/>
      <c r="AM11" s="9"/>
      <c r="AN11" s="9"/>
      <c r="AO11" s="9"/>
      <c r="AP11" s="9"/>
      <c r="AQ11" s="9"/>
    </row>
    <row r="12" spans="1:43">
      <c r="A12" s="1">
        <v>30</v>
      </c>
      <c r="B12" s="1">
        <v>189504</v>
      </c>
      <c r="C12" s="1">
        <v>4382</v>
      </c>
      <c r="D12" s="1">
        <f>B12+C12</f>
        <v>193886</v>
      </c>
      <c r="E12" s="3">
        <f>AVERAGE(AI4,AI44)</f>
        <v>601823.5</v>
      </c>
      <c r="F12" s="1"/>
      <c r="G12" s="1"/>
      <c r="H12" s="1"/>
      <c r="I12" s="1"/>
      <c r="J12" s="1"/>
      <c r="K12" s="1"/>
      <c r="L12" s="1"/>
      <c r="T12" s="9">
        <v>9</v>
      </c>
      <c r="U12" s="11">
        <v>1</v>
      </c>
      <c r="V12" s="70">
        <v>2005341</v>
      </c>
      <c r="W12" s="11">
        <v>30</v>
      </c>
      <c r="X12" s="11" t="s">
        <v>38</v>
      </c>
      <c r="Y12" s="15">
        <v>0.2</v>
      </c>
      <c r="Z12" s="11">
        <v>14676731</v>
      </c>
      <c r="AA12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12" s="12">
        <f>DATE(2022,12,23)</f>
        <v>44918</v>
      </c>
      <c r="AC12" s="13">
        <f>TIME(23,10,26)</f>
        <v>0.96557870370370369</v>
      </c>
      <c r="AD12" s="14">
        <f t="shared" si="1"/>
        <v>44918.965578703705</v>
      </c>
      <c r="AE12" s="12">
        <f>DATE(2022,12,27)</f>
        <v>44922</v>
      </c>
      <c r="AF12" s="13">
        <f>TIME(20,6,51)</f>
        <v>0.83809027777777778</v>
      </c>
      <c r="AG12" s="14">
        <f t="shared" si="2"/>
        <v>44922.838090277779</v>
      </c>
      <c r="AH12" s="32" t="str">
        <f t="shared" si="3"/>
        <v>3-h:56:25</v>
      </c>
      <c r="AI12" s="11">
        <f t="shared" si="4"/>
        <v>334585</v>
      </c>
      <c r="AJ12" s="11">
        <v>302</v>
      </c>
      <c r="AK12" s="18">
        <f t="shared" si="6"/>
        <v>6.8918302145139207E-2</v>
      </c>
      <c r="AL12" s="9"/>
      <c r="AM12" s="9"/>
      <c r="AN12" s="9"/>
      <c r="AO12" s="9"/>
      <c r="AP12" s="9"/>
      <c r="AQ12" s="9"/>
    </row>
    <row r="13" spans="1:43">
      <c r="A13" s="1">
        <v>45</v>
      </c>
      <c r="B13" s="1">
        <v>91086</v>
      </c>
      <c r="C13" s="1">
        <v>1331</v>
      </c>
      <c r="D13" s="1">
        <f t="shared" ref="D13:D15" si="7">B13+C13</f>
        <v>92417</v>
      </c>
      <c r="E13" s="3">
        <f>AVERAGE(AI14,AI54)</f>
        <v>315084</v>
      </c>
      <c r="F13" s="16"/>
      <c r="G13" s="16"/>
      <c r="H13" s="16"/>
      <c r="I13" s="16"/>
      <c r="J13" s="16"/>
      <c r="K13" s="16"/>
      <c r="L13" s="16"/>
      <c r="T13" s="9">
        <v>10</v>
      </c>
      <c r="U13" s="11">
        <v>1</v>
      </c>
      <c r="V13" s="70">
        <v>2005341</v>
      </c>
      <c r="W13" s="11">
        <v>30</v>
      </c>
      <c r="X13" s="11" t="s">
        <v>38</v>
      </c>
      <c r="Y13" s="16">
        <v>0.25</v>
      </c>
      <c r="Z13" s="11">
        <v>14676744</v>
      </c>
      <c r="AA13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13" s="12">
        <f>DATE(2022,12,24)</f>
        <v>44919</v>
      </c>
      <c r="AC13" s="13">
        <f>TIME(4,42,27)</f>
        <v>0.19614583333333332</v>
      </c>
      <c r="AD13" s="14">
        <f t="shared" si="1"/>
        <v>44919.196145833332</v>
      </c>
      <c r="AE13" s="12">
        <f>DATE(2022,12,27)</f>
        <v>44922</v>
      </c>
      <c r="AF13" s="13">
        <f>TIME(20,35,6)</f>
        <v>0.85770833333333341</v>
      </c>
      <c r="AG13" s="14">
        <f t="shared" si="2"/>
        <v>44922.857708333337</v>
      </c>
      <c r="AH13" s="32" t="str">
        <f t="shared" si="3"/>
        <v>3-h:52:39</v>
      </c>
      <c r="AI13" s="11">
        <f t="shared" si="4"/>
        <v>316359</v>
      </c>
      <c r="AJ13" s="11">
        <v>413</v>
      </c>
      <c r="AK13" s="18">
        <f t="shared" si="6"/>
        <v>9.4249201277955275E-2</v>
      </c>
      <c r="AL13" s="9"/>
      <c r="AM13" s="9"/>
      <c r="AN13" s="9"/>
      <c r="AO13" s="9"/>
      <c r="AP13" s="9"/>
      <c r="AQ13" s="9"/>
    </row>
    <row r="14" spans="1:43">
      <c r="A14" s="1">
        <v>60</v>
      </c>
      <c r="B14" s="1">
        <v>68424</v>
      </c>
      <c r="C14" s="1">
        <v>522</v>
      </c>
      <c r="D14" s="1">
        <f t="shared" si="7"/>
        <v>68946</v>
      </c>
      <c r="E14" s="3">
        <f>AVERAGE(AI24,AI64)</f>
        <v>214389.5</v>
      </c>
      <c r="F14" s="11"/>
      <c r="G14" s="11"/>
      <c r="H14" s="11"/>
      <c r="I14" s="11"/>
      <c r="J14" s="11"/>
      <c r="K14" s="11"/>
      <c r="L14" s="11"/>
      <c r="T14" s="9">
        <v>11</v>
      </c>
      <c r="U14" s="11">
        <v>1</v>
      </c>
      <c r="V14" s="70">
        <v>2005341</v>
      </c>
      <c r="W14" s="11">
        <v>45</v>
      </c>
      <c r="X14" s="11" t="s">
        <v>36</v>
      </c>
      <c r="Y14" s="15" t="s">
        <v>37</v>
      </c>
      <c r="Z14" s="11">
        <v>14337109</v>
      </c>
      <c r="AA14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20579835</v>
      </c>
      <c r="AB14" s="12">
        <f>DATE(2022,11,23)</f>
        <v>44888</v>
      </c>
      <c r="AC14" s="13">
        <f>TIME(14,54,44)</f>
        <v>0.62134259259259261</v>
      </c>
      <c r="AD14" s="14">
        <f t="shared" si="1"/>
        <v>44888.621342592596</v>
      </c>
      <c r="AE14" s="12">
        <f>DATE(2022,11,27)</f>
        <v>44892</v>
      </c>
      <c r="AF14" s="13">
        <f>TIME(6,23,48)</f>
        <v>0.26652777777777775</v>
      </c>
      <c r="AG14" s="14">
        <f t="shared" si="2"/>
        <v>44892.266527777778</v>
      </c>
      <c r="AH14" s="32" t="str">
        <f t="shared" si="3"/>
        <v>3-h:29:4</v>
      </c>
      <c r="AI14" s="11">
        <f t="shared" si="4"/>
        <v>314943</v>
      </c>
      <c r="AJ14" s="11">
        <v>1226</v>
      </c>
      <c r="AK14" s="18">
        <f>AJ14/$M$6</f>
        <v>0.9211119459053343</v>
      </c>
      <c r="AL14" s="9"/>
      <c r="AM14" s="9"/>
      <c r="AN14" s="9"/>
      <c r="AO14" s="9"/>
      <c r="AP14" s="9"/>
      <c r="AQ14" s="9"/>
    </row>
    <row r="15" spans="1:43">
      <c r="A15" s="1">
        <v>75</v>
      </c>
      <c r="B15" s="1">
        <v>57674</v>
      </c>
      <c r="C15" s="1">
        <v>305</v>
      </c>
      <c r="D15" s="1">
        <f t="shared" si="7"/>
        <v>57979</v>
      </c>
      <c r="E15" s="3">
        <f>AVERAGE(AI34,AI74)</f>
        <v>171250.5</v>
      </c>
      <c r="F15" s="11"/>
      <c r="G15" s="11"/>
      <c r="H15" s="11"/>
      <c r="I15" s="11"/>
      <c r="J15" s="11"/>
      <c r="K15" s="11"/>
      <c r="L15" s="11"/>
      <c r="T15" s="9">
        <v>12</v>
      </c>
      <c r="U15" s="11">
        <v>1</v>
      </c>
      <c r="V15" s="70">
        <v>2005341</v>
      </c>
      <c r="W15" s="11">
        <v>45</v>
      </c>
      <c r="X15" s="11" t="s">
        <v>38</v>
      </c>
      <c r="Y15" s="16">
        <v>1E-3</v>
      </c>
      <c r="Z15" s="11">
        <v>14676764</v>
      </c>
      <c r="AA15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15" s="12">
        <f>DATE(2022,12,24)</f>
        <v>44919</v>
      </c>
      <c r="AC15" s="13">
        <f>TIME(6,0,9)</f>
        <v>0.25010416666666668</v>
      </c>
      <c r="AD15" s="14">
        <f t="shared" si="1"/>
        <v>44919.250104166669</v>
      </c>
      <c r="AE15" s="12">
        <f>DATE(2022,12,26)</f>
        <v>44921</v>
      </c>
      <c r="AF15" s="13">
        <f>TIME(17,50,17)</f>
        <v>0.7432523148148148</v>
      </c>
      <c r="AG15" s="14">
        <f t="shared" si="2"/>
        <v>44921.743252314816</v>
      </c>
      <c r="AH15" s="32" t="str">
        <f t="shared" si="3"/>
        <v>2-h:50:8</v>
      </c>
      <c r="AI15" s="11">
        <f t="shared" si="4"/>
        <v>215407</v>
      </c>
      <c r="AJ15" s="11">
        <v>746</v>
      </c>
      <c r="AK15" s="18">
        <f t="shared" ref="AK15:AK23" si="8">AJ15/$M$6</f>
        <v>0.56048084147257704</v>
      </c>
      <c r="AL15" s="9"/>
      <c r="AM15" s="9"/>
      <c r="AN15" s="9"/>
      <c r="AO15" s="9"/>
      <c r="AP15" s="9"/>
      <c r="AQ15" s="9"/>
    </row>
    <row r="16" spans="1:43">
      <c r="A16" s="9"/>
      <c r="B16" s="3"/>
      <c r="C16" s="11"/>
      <c r="D16" s="11"/>
      <c r="E16" s="11"/>
      <c r="F16" s="11"/>
      <c r="G16" s="11"/>
      <c r="H16" s="11"/>
      <c r="I16" s="11"/>
      <c r="J16" s="11"/>
      <c r="K16" s="11"/>
      <c r="L16" s="11"/>
      <c r="T16" s="9">
        <v>13</v>
      </c>
      <c r="U16" s="11">
        <v>1</v>
      </c>
      <c r="V16" s="70">
        <v>2005341</v>
      </c>
      <c r="W16" s="11">
        <v>45</v>
      </c>
      <c r="X16" s="11" t="s">
        <v>38</v>
      </c>
      <c r="Y16" s="16">
        <v>5.0000000000000001E-3</v>
      </c>
      <c r="Z16" s="11">
        <v>14676768</v>
      </c>
      <c r="AA16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16" s="12">
        <f>DATE(2022,12,24)</f>
        <v>44919</v>
      </c>
      <c r="AC16" s="13">
        <f>TIME(8,32,58)</f>
        <v>0.35622685185185188</v>
      </c>
      <c r="AD16" s="14">
        <f t="shared" si="1"/>
        <v>44919.356226851851</v>
      </c>
      <c r="AE16" s="12">
        <f>DATE(2022,12,26)</f>
        <v>44921</v>
      </c>
      <c r="AF16" s="13">
        <f>TIME(18,5,34)</f>
        <v>0.75386574074074064</v>
      </c>
      <c r="AG16" s="14">
        <f t="shared" si="2"/>
        <v>44921.753865740742</v>
      </c>
      <c r="AH16" s="32" t="str">
        <f t="shared" si="3"/>
        <v>2-h:32:36</v>
      </c>
      <c r="AI16" s="11">
        <f t="shared" si="4"/>
        <v>207156</v>
      </c>
      <c r="AJ16" s="11">
        <v>680</v>
      </c>
      <c r="AK16" s="18">
        <f t="shared" si="8"/>
        <v>0.51089406461307285</v>
      </c>
      <c r="AL16" s="9"/>
      <c r="AM16" s="9"/>
      <c r="AN16" s="9"/>
      <c r="AO16" s="9"/>
      <c r="AP16" s="9"/>
      <c r="AQ16" s="9"/>
    </row>
    <row r="17" spans="1:43">
      <c r="A17" s="9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T17" s="9">
        <v>14</v>
      </c>
      <c r="U17" s="11">
        <v>1</v>
      </c>
      <c r="V17" s="70">
        <v>2005341</v>
      </c>
      <c r="W17" s="11">
        <v>45</v>
      </c>
      <c r="X17" s="11" t="s">
        <v>38</v>
      </c>
      <c r="Y17" s="16">
        <v>2.5000000000000001E-2</v>
      </c>
      <c r="Z17" s="11">
        <v>14676776</v>
      </c>
      <c r="AA17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17" s="12">
        <f>DATE(2022,12,24)</f>
        <v>44919</v>
      </c>
      <c r="AC17" s="13">
        <f>TIME(20,33,29)</f>
        <v>0.85658564814814808</v>
      </c>
      <c r="AD17" s="14">
        <f t="shared" si="1"/>
        <v>44919.856585648151</v>
      </c>
      <c r="AE17" s="12">
        <f>DATE(2022,12,27)</f>
        <v>44922</v>
      </c>
      <c r="AF17" s="13">
        <f>TIME(5,47,9)</f>
        <v>0.24107638888888891</v>
      </c>
      <c r="AG17" s="14">
        <f t="shared" si="2"/>
        <v>44922.241076388891</v>
      </c>
      <c r="AH17" s="32" t="str">
        <f t="shared" si="3"/>
        <v>2-h:13:40</v>
      </c>
      <c r="AI17" s="11">
        <f t="shared" si="4"/>
        <v>206019</v>
      </c>
      <c r="AJ17" s="11">
        <v>542</v>
      </c>
      <c r="AK17" s="18">
        <f t="shared" si="8"/>
        <v>0.40721262208865516</v>
      </c>
      <c r="AL17" s="9"/>
      <c r="AM17" s="9"/>
      <c r="AN17" s="9"/>
      <c r="AO17" s="9"/>
      <c r="AP17" s="9"/>
      <c r="AQ17" s="9"/>
    </row>
    <row r="18" spans="1:43">
      <c r="T18" s="9">
        <v>15</v>
      </c>
      <c r="U18" s="11">
        <v>1</v>
      </c>
      <c r="V18" s="70">
        <v>2005341</v>
      </c>
      <c r="W18" s="11">
        <v>45</v>
      </c>
      <c r="X18" s="11" t="s">
        <v>38</v>
      </c>
      <c r="Y18" s="16">
        <v>0.05</v>
      </c>
      <c r="Z18" s="11">
        <v>14676788</v>
      </c>
      <c r="AA18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18" s="12">
        <f>DATE(2022,12,24)</f>
        <v>44919</v>
      </c>
      <c r="AC18" s="13">
        <f>TIME(20,33,29)</f>
        <v>0.85658564814814808</v>
      </c>
      <c r="AD18" s="14">
        <f t="shared" si="1"/>
        <v>44919.856585648151</v>
      </c>
      <c r="AE18" s="12">
        <f>DATE(2022,12,27)</f>
        <v>44922</v>
      </c>
      <c r="AF18" s="13">
        <f>TIME(8,23,49)</f>
        <v>0.34987268518518522</v>
      </c>
      <c r="AG18" s="14">
        <f t="shared" si="2"/>
        <v>44922.349872685183</v>
      </c>
      <c r="AH18" s="32" t="str">
        <f t="shared" si="3"/>
        <v>2-h:50:20</v>
      </c>
      <c r="AI18" s="11">
        <f t="shared" si="4"/>
        <v>215419</v>
      </c>
      <c r="AJ18" s="11">
        <v>430</v>
      </c>
      <c r="AK18" s="18">
        <f t="shared" si="8"/>
        <v>0.32306536438767841</v>
      </c>
      <c r="AL18" s="9"/>
      <c r="AM18" s="9"/>
      <c r="AN18" s="9"/>
      <c r="AO18" s="9"/>
      <c r="AP18" s="9"/>
      <c r="AQ18" s="9"/>
    </row>
    <row r="19" spans="1:43">
      <c r="T19" s="9">
        <v>16</v>
      </c>
      <c r="U19" s="11">
        <v>1</v>
      </c>
      <c r="V19" s="70">
        <v>2005341</v>
      </c>
      <c r="W19" s="11">
        <v>45</v>
      </c>
      <c r="X19" s="11" t="s">
        <v>38</v>
      </c>
      <c r="Y19" s="16">
        <v>7.4999999999999997E-2</v>
      </c>
      <c r="Z19" s="11">
        <v>14676796</v>
      </c>
      <c r="AA19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19" s="12">
        <f>DATE(2022,12,24)</f>
        <v>44919</v>
      </c>
      <c r="AC19" s="13">
        <f>TIME(20,33,29)</f>
        <v>0.85658564814814808</v>
      </c>
      <c r="AD19" s="14">
        <f t="shared" si="1"/>
        <v>44919.856585648151</v>
      </c>
      <c r="AE19" s="12">
        <f>DATE(2022,12,27)</f>
        <v>44922</v>
      </c>
      <c r="AF19" s="13">
        <f>TIME(7,34,37)</f>
        <v>0.31570601851851854</v>
      </c>
      <c r="AG19" s="14">
        <f t="shared" si="2"/>
        <v>44922.315706018519</v>
      </c>
      <c r="AH19" s="32" t="str">
        <f t="shared" si="3"/>
        <v>2-h:1:8</v>
      </c>
      <c r="AI19" s="11">
        <f t="shared" si="4"/>
        <v>212467</v>
      </c>
      <c r="AJ19" s="11">
        <v>318</v>
      </c>
      <c r="AK19" s="18">
        <f t="shared" si="8"/>
        <v>0.23891810668670171</v>
      </c>
      <c r="AL19" s="9"/>
      <c r="AM19" s="9"/>
      <c r="AN19" s="9"/>
      <c r="AO19" s="9"/>
      <c r="AP19" s="9"/>
      <c r="AQ19" s="9"/>
    </row>
    <row r="20" spans="1:43">
      <c r="T20" s="9">
        <v>17</v>
      </c>
      <c r="U20" s="11">
        <v>1</v>
      </c>
      <c r="V20" s="70">
        <v>2005341</v>
      </c>
      <c r="W20" s="11">
        <v>45</v>
      </c>
      <c r="X20" s="11" t="s">
        <v>38</v>
      </c>
      <c r="Y20" s="16">
        <v>0.1</v>
      </c>
      <c r="Z20" s="11">
        <v>14337856</v>
      </c>
      <c r="AA20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20" s="12">
        <f>DATE(2022,11,24)</f>
        <v>44889</v>
      </c>
      <c r="AC20" s="13">
        <f>TIME(2,9,33)</f>
        <v>8.9965277777777783E-2</v>
      </c>
      <c r="AD20" s="14">
        <f t="shared" si="1"/>
        <v>44889.089965277781</v>
      </c>
      <c r="AE20" s="12">
        <f>DATE(2022,11,26)</f>
        <v>44891</v>
      </c>
      <c r="AF20" s="13">
        <f>TIME(12,56,34)</f>
        <v>0.5392824074074074</v>
      </c>
      <c r="AG20" s="14">
        <f t="shared" si="2"/>
        <v>44891.539282407408</v>
      </c>
      <c r="AH20" s="32" t="str">
        <f t="shared" si="3"/>
        <v>2-h:47:1</v>
      </c>
      <c r="AI20" s="11">
        <f t="shared" si="4"/>
        <v>211620</v>
      </c>
      <c r="AJ20" s="11">
        <v>419</v>
      </c>
      <c r="AK20" s="18">
        <f t="shared" si="8"/>
        <v>0.31480090157776108</v>
      </c>
      <c r="AL20" s="9"/>
      <c r="AM20" s="9"/>
      <c r="AN20" s="9"/>
      <c r="AO20" s="9"/>
      <c r="AP20" s="9"/>
      <c r="AQ20" s="9"/>
    </row>
    <row r="21" spans="1:43">
      <c r="T21" s="9">
        <v>18</v>
      </c>
      <c r="U21" s="11">
        <v>1</v>
      </c>
      <c r="V21" s="70">
        <v>2005341</v>
      </c>
      <c r="W21" s="11">
        <v>45</v>
      </c>
      <c r="X21" s="11" t="s">
        <v>38</v>
      </c>
      <c r="Y21" s="15">
        <v>0.15</v>
      </c>
      <c r="Z21" s="11">
        <v>14676803</v>
      </c>
      <c r="AA21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21" s="12">
        <f>DATE(2022,12,25)</f>
        <v>44920</v>
      </c>
      <c r="AC21" s="13">
        <f>TIME(0,11,4)</f>
        <v>7.6851851851851847E-3</v>
      </c>
      <c r="AD21" s="14">
        <f t="shared" si="1"/>
        <v>44920.007685185185</v>
      </c>
      <c r="AE21" s="12">
        <f>DATE(2022,12,27)</f>
        <v>44922</v>
      </c>
      <c r="AF21" s="13">
        <f>TIME(9,37,2)</f>
        <v>0.4007175925925926</v>
      </c>
      <c r="AG21" s="14">
        <f t="shared" si="2"/>
        <v>44922.400717592594</v>
      </c>
      <c r="AH21" s="32" t="str">
        <f t="shared" si="3"/>
        <v>2-h:25:58</v>
      </c>
      <c r="AI21" s="11">
        <f t="shared" si="4"/>
        <v>206758</v>
      </c>
      <c r="AJ21" s="11">
        <v>496</v>
      </c>
      <c r="AK21" s="18">
        <f t="shared" si="8"/>
        <v>0.37265214124718254</v>
      </c>
      <c r="AL21" s="9"/>
      <c r="AM21" s="9"/>
      <c r="AN21" s="9"/>
      <c r="AO21" s="9"/>
      <c r="AP21" s="9"/>
      <c r="AQ21" s="9"/>
    </row>
    <row r="22" spans="1:43">
      <c r="T22" s="9">
        <v>19</v>
      </c>
      <c r="U22" s="11">
        <v>1</v>
      </c>
      <c r="V22" s="70">
        <v>2005341</v>
      </c>
      <c r="W22" s="11">
        <v>45</v>
      </c>
      <c r="X22" s="11" t="s">
        <v>38</v>
      </c>
      <c r="Y22" s="15">
        <v>0.2</v>
      </c>
      <c r="Z22" s="11">
        <v>14676806</v>
      </c>
      <c r="AA22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22" s="12">
        <f>DATE(2022,12,25)</f>
        <v>44920</v>
      </c>
      <c r="AC22" s="13">
        <f>TIME(2,1,48)</f>
        <v>8.458333333333333E-2</v>
      </c>
      <c r="AD22" s="14">
        <f t="shared" si="1"/>
        <v>44920.084583333337</v>
      </c>
      <c r="AE22" s="12">
        <f>DATE(2022,12,27)</f>
        <v>44922</v>
      </c>
      <c r="AF22" s="13">
        <f>TIME(11,30,0)</f>
        <v>0.47916666666666669</v>
      </c>
      <c r="AG22" s="14">
        <f t="shared" si="2"/>
        <v>44922.479166666664</v>
      </c>
      <c r="AH22" s="32" t="str">
        <f t="shared" si="3"/>
        <v>2-h:28:12</v>
      </c>
      <c r="AI22" s="11">
        <f t="shared" si="4"/>
        <v>206891</v>
      </c>
      <c r="AJ22" s="11">
        <v>236</v>
      </c>
      <c r="AK22" s="18">
        <f t="shared" si="8"/>
        <v>0.17731029301277235</v>
      </c>
      <c r="AL22" s="9"/>
      <c r="AM22" s="9"/>
      <c r="AN22" s="9"/>
      <c r="AO22" s="9"/>
      <c r="AP22" s="9"/>
      <c r="AQ22" s="9"/>
    </row>
    <row r="23" spans="1:43">
      <c r="T23" s="9">
        <v>20</v>
      </c>
      <c r="U23" s="11">
        <v>1</v>
      </c>
      <c r="V23" s="70">
        <v>2005341</v>
      </c>
      <c r="W23" s="11">
        <v>45</v>
      </c>
      <c r="X23" s="11" t="s">
        <v>38</v>
      </c>
      <c r="Y23" s="15">
        <v>0.25</v>
      </c>
      <c r="Z23" s="11">
        <v>14676807</v>
      </c>
      <c r="AA23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23" s="12">
        <f>DATE(2022,12,25)</f>
        <v>44920</v>
      </c>
      <c r="AC23" s="13">
        <f>TIME(3,43,12)</f>
        <v>0.155</v>
      </c>
      <c r="AD23" s="14">
        <f t="shared" si="1"/>
        <v>44920.154999999999</v>
      </c>
      <c r="AE23" s="12">
        <f>DATE(2022,12,27)</f>
        <v>44922</v>
      </c>
      <c r="AF23" s="13">
        <f>TIME(13,16,56)</f>
        <v>0.55342592592592588</v>
      </c>
      <c r="AG23" s="14">
        <f t="shared" si="2"/>
        <v>44922.553425925929</v>
      </c>
      <c r="AH23" s="32" t="str">
        <f t="shared" si="3"/>
        <v>2-h:33:44</v>
      </c>
      <c r="AI23" s="11">
        <f t="shared" si="4"/>
        <v>207224</v>
      </c>
      <c r="AJ23" s="11">
        <v>346</v>
      </c>
      <c r="AK23" s="18">
        <f t="shared" si="8"/>
        <v>0.2599549211119459</v>
      </c>
      <c r="AL23" s="9"/>
      <c r="AM23" s="9"/>
      <c r="AN23" s="9"/>
      <c r="AO23" s="9"/>
      <c r="AP23" s="9"/>
      <c r="AQ23" s="9"/>
    </row>
    <row r="24" spans="1:43">
      <c r="T24" s="9">
        <v>21</v>
      </c>
      <c r="U24" s="11">
        <v>1</v>
      </c>
      <c r="V24" s="70">
        <v>2005341</v>
      </c>
      <c r="W24" s="11">
        <v>60</v>
      </c>
      <c r="X24" s="11" t="s">
        <v>36</v>
      </c>
      <c r="Y24" s="15" t="s">
        <v>37</v>
      </c>
      <c r="Z24" s="11">
        <v>14337121</v>
      </c>
      <c r="AA24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15434875</v>
      </c>
      <c r="AB24" s="12">
        <f>DATE(2022,11,23)</f>
        <v>44888</v>
      </c>
      <c r="AC24" s="13">
        <f>TIME(14,59,47)</f>
        <v>0.62484953703703705</v>
      </c>
      <c r="AD24" s="14">
        <f t="shared" si="1"/>
        <v>44888.624849537038</v>
      </c>
      <c r="AE24" s="12">
        <f>DATE(2022,11,26)</f>
        <v>44891</v>
      </c>
      <c r="AF24" s="13">
        <f>TIME(4,14,23)</f>
        <v>0.1766550925925926</v>
      </c>
      <c r="AG24" s="14">
        <f t="shared" si="2"/>
        <v>44891.176655092589</v>
      </c>
      <c r="AH24" s="32" t="str">
        <f t="shared" si="3"/>
        <v>2-h:14:36</v>
      </c>
      <c r="AI24" s="11">
        <f t="shared" si="4"/>
        <v>220475</v>
      </c>
      <c r="AJ24" s="11">
        <v>495</v>
      </c>
      <c r="AK24" s="18">
        <f>AJ24/$M$7</f>
        <v>0.94827586206896552</v>
      </c>
      <c r="AL24" s="9"/>
      <c r="AM24" s="9"/>
      <c r="AN24" s="9"/>
      <c r="AO24" s="9"/>
      <c r="AP24" s="9"/>
      <c r="AQ24" s="9"/>
    </row>
    <row r="25" spans="1:43">
      <c r="T25" s="9">
        <v>22</v>
      </c>
      <c r="U25" s="11">
        <v>1</v>
      </c>
      <c r="V25" s="70">
        <v>2005341</v>
      </c>
      <c r="W25" s="11">
        <v>60</v>
      </c>
      <c r="X25" s="11" t="s">
        <v>38</v>
      </c>
      <c r="Y25" s="15">
        <v>1E-3</v>
      </c>
      <c r="Z25" s="11">
        <v>14676809</v>
      </c>
      <c r="AA25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25" s="12">
        <f>DATE(2022,12,25)</f>
        <v>44920</v>
      </c>
      <c r="AC25" s="13">
        <f>TIME(22,13,13)</f>
        <v>0.92584490740740744</v>
      </c>
      <c r="AD25" s="14">
        <f t="shared" si="1"/>
        <v>44920.925844907404</v>
      </c>
      <c r="AE25" s="12">
        <f>DATE(2022,12,27)</f>
        <v>44922</v>
      </c>
      <c r="AF25" s="13">
        <f>TIME(16,32,20)</f>
        <v>0.68912037037037033</v>
      </c>
      <c r="AG25" s="14">
        <f t="shared" si="2"/>
        <v>44922.689120370371</v>
      </c>
      <c r="AH25" s="32" t="str">
        <f t="shared" si="3"/>
        <v>1-h:19:7</v>
      </c>
      <c r="AI25" s="11">
        <f t="shared" si="4"/>
        <v>152347</v>
      </c>
      <c r="AJ25" s="11">
        <v>404</v>
      </c>
      <c r="AK25" s="18">
        <f t="shared" ref="AK25:AK33" si="9">AJ25/$M$7</f>
        <v>0.77394636015325668</v>
      </c>
      <c r="AL25" s="9"/>
      <c r="AM25" s="9"/>
      <c r="AN25" s="9"/>
      <c r="AO25" s="9"/>
      <c r="AP25" s="9"/>
      <c r="AQ25" s="9"/>
    </row>
    <row r="26" spans="1:43">
      <c r="T26" s="9">
        <v>23</v>
      </c>
      <c r="U26" s="11">
        <v>1</v>
      </c>
      <c r="V26" s="70">
        <v>2005341</v>
      </c>
      <c r="W26" s="11">
        <v>60</v>
      </c>
      <c r="X26" s="11" t="s">
        <v>38</v>
      </c>
      <c r="Y26" s="16">
        <v>5.0000000000000001E-3</v>
      </c>
      <c r="Z26" s="11">
        <v>14801266</v>
      </c>
      <c r="AA26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26" s="12">
        <f>DATE(2022,12,30)</f>
        <v>44925</v>
      </c>
      <c r="AC26" s="13">
        <f>TIME(14,49,26)</f>
        <v>0.61766203703703704</v>
      </c>
      <c r="AD26" s="14">
        <f t="shared" si="1"/>
        <v>44925.617662037039</v>
      </c>
      <c r="AE26" s="12">
        <f>DATE(2023,1,1)</f>
        <v>44927</v>
      </c>
      <c r="AF26" s="13">
        <f>TIME(11,18,40)</f>
        <v>0.47129629629629632</v>
      </c>
      <c r="AG26" s="14">
        <f t="shared" si="2"/>
        <v>44927.471296296295</v>
      </c>
      <c r="AH26" s="32" t="str">
        <f t="shared" si="3"/>
        <v>1-h:29:14</v>
      </c>
      <c r="AI26" s="11">
        <f t="shared" si="4"/>
        <v>160153</v>
      </c>
      <c r="AJ26" s="11">
        <v>372</v>
      </c>
      <c r="AK26" s="18">
        <f t="shared" si="9"/>
        <v>0.71264367816091956</v>
      </c>
      <c r="AL26" s="9"/>
      <c r="AM26" s="9"/>
      <c r="AN26" s="9"/>
      <c r="AO26" s="9"/>
      <c r="AP26" s="9"/>
      <c r="AQ26" s="9"/>
    </row>
    <row r="27" spans="1:43">
      <c r="T27" s="9">
        <v>24</v>
      </c>
      <c r="U27" s="11">
        <v>1</v>
      </c>
      <c r="V27" s="70">
        <v>2005341</v>
      </c>
      <c r="W27" s="11">
        <v>60</v>
      </c>
      <c r="X27" s="11" t="s">
        <v>38</v>
      </c>
      <c r="Y27" s="16">
        <v>2.5000000000000001E-2</v>
      </c>
      <c r="Z27" s="11">
        <v>14814281</v>
      </c>
      <c r="AA27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27" s="12">
        <f>DATE(2023,1,2)</f>
        <v>44928</v>
      </c>
      <c r="AC27" s="13">
        <f>TIME(15,34,44)</f>
        <v>0.6491203703703704</v>
      </c>
      <c r="AD27" s="14">
        <f t="shared" si="1"/>
        <v>44928.64912037037</v>
      </c>
      <c r="AE27" s="12">
        <f>DATE(2023,1,4)</f>
        <v>44930</v>
      </c>
      <c r="AF27" s="13">
        <f>TIME(9,54,9)</f>
        <v>0.41260416666666666</v>
      </c>
      <c r="AG27" s="14">
        <f t="shared" si="2"/>
        <v>44930.412604166668</v>
      </c>
      <c r="AH27" s="32" t="str">
        <f t="shared" si="3"/>
        <v>1-h:19:25</v>
      </c>
      <c r="AI27" s="11">
        <f t="shared" si="4"/>
        <v>152365</v>
      </c>
      <c r="AJ27" s="11">
        <v>244</v>
      </c>
      <c r="AK27" s="18">
        <f t="shared" si="9"/>
        <v>0.46743295019157088</v>
      </c>
      <c r="AL27" s="9"/>
      <c r="AM27" s="9"/>
      <c r="AN27" s="9"/>
      <c r="AO27" s="9"/>
      <c r="AP27" s="9"/>
      <c r="AQ27" s="9"/>
    </row>
    <row r="28" spans="1:43">
      <c r="T28" s="9">
        <v>25</v>
      </c>
      <c r="U28" s="11">
        <v>1</v>
      </c>
      <c r="V28" s="70">
        <v>2005341</v>
      </c>
      <c r="W28" s="11">
        <v>60</v>
      </c>
      <c r="X28" s="11" t="s">
        <v>38</v>
      </c>
      <c r="Y28" s="16">
        <v>0.05</v>
      </c>
      <c r="Z28" s="11">
        <v>14814290</v>
      </c>
      <c r="AA28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28" s="12">
        <f>DATE(2023,1,2)</f>
        <v>44928</v>
      </c>
      <c r="AC28" s="13">
        <f>TIME(15,34,44)</f>
        <v>0.6491203703703704</v>
      </c>
      <c r="AD28" s="14">
        <f t="shared" si="1"/>
        <v>44928.64912037037</v>
      </c>
      <c r="AE28" s="12">
        <f>DATE(2023,1,4)</f>
        <v>44930</v>
      </c>
      <c r="AF28" s="13">
        <f>TIME(11,32,11)</f>
        <v>0.48068287037037033</v>
      </c>
      <c r="AG28" s="14">
        <f t="shared" si="2"/>
        <v>44930.480682870373</v>
      </c>
      <c r="AH28" s="32" t="str">
        <f t="shared" si="3"/>
        <v>1-h:57:27</v>
      </c>
      <c r="AI28" s="11">
        <f t="shared" si="4"/>
        <v>158247</v>
      </c>
      <c r="AJ28" s="11">
        <v>274</v>
      </c>
      <c r="AK28" s="18">
        <f t="shared" si="9"/>
        <v>0.52490421455938696</v>
      </c>
      <c r="AL28" s="9"/>
      <c r="AM28" s="9"/>
      <c r="AN28" s="9"/>
      <c r="AO28" s="9"/>
      <c r="AP28" s="9"/>
      <c r="AQ28" s="9"/>
    </row>
    <row r="29" spans="1:43">
      <c r="T29" s="9">
        <v>26</v>
      </c>
      <c r="U29" s="11">
        <v>1</v>
      </c>
      <c r="V29" s="70">
        <v>2005341</v>
      </c>
      <c r="W29" s="11">
        <v>60</v>
      </c>
      <c r="X29" s="11" t="s">
        <v>38</v>
      </c>
      <c r="Y29" s="16">
        <v>7.4999999999999997E-2</v>
      </c>
      <c r="Z29" s="11">
        <v>14814294</v>
      </c>
      <c r="AA29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29" s="12">
        <f>DATE(2023,1,2)</f>
        <v>44928</v>
      </c>
      <c r="AC29" s="13">
        <f>TIME(15,34,44)</f>
        <v>0.6491203703703704</v>
      </c>
      <c r="AD29" s="14">
        <f t="shared" si="1"/>
        <v>44928.64912037037</v>
      </c>
      <c r="AE29" s="12">
        <f>DATE(2023,1,4)</f>
        <v>44930</v>
      </c>
      <c r="AF29" s="13">
        <f>TIME(11,15,43)</f>
        <v>0.46924768518518517</v>
      </c>
      <c r="AG29" s="14">
        <f t="shared" si="2"/>
        <v>44930.469247685185</v>
      </c>
      <c r="AH29" s="32" t="str">
        <f t="shared" si="3"/>
        <v>1-h:40:59</v>
      </c>
      <c r="AI29" s="11">
        <f t="shared" si="4"/>
        <v>157259</v>
      </c>
      <c r="AJ29" s="11">
        <v>187</v>
      </c>
      <c r="AK29" s="18">
        <f t="shared" si="9"/>
        <v>0.35823754789272033</v>
      </c>
      <c r="AL29" s="9"/>
      <c r="AM29" s="9"/>
      <c r="AN29" s="9"/>
      <c r="AO29" s="9"/>
      <c r="AP29" s="9"/>
      <c r="AQ29" s="9"/>
    </row>
    <row r="30" spans="1:43">
      <c r="T30" s="9">
        <v>27</v>
      </c>
      <c r="U30" s="11">
        <v>1</v>
      </c>
      <c r="V30" s="70">
        <v>2005341</v>
      </c>
      <c r="W30" s="11">
        <v>60</v>
      </c>
      <c r="X30" s="11" t="s">
        <v>38</v>
      </c>
      <c r="Y30" s="16">
        <v>0.1</v>
      </c>
      <c r="Z30" s="11">
        <v>14337858</v>
      </c>
      <c r="AA30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30" s="12">
        <f>DATE(2022,11,24)</f>
        <v>44889</v>
      </c>
      <c r="AC30" s="13">
        <f>TIME(5,36,53)</f>
        <v>0.23394675925925926</v>
      </c>
      <c r="AD30" s="14">
        <f t="shared" si="1"/>
        <v>44889.233946759261</v>
      </c>
      <c r="AE30" s="12">
        <f>DATE(2022,11,26)</f>
        <v>44891</v>
      </c>
      <c r="AF30" s="13">
        <f>TIME(0,14,46)</f>
        <v>1.0254629629629629E-2</v>
      </c>
      <c r="AG30" s="14">
        <f t="shared" si="2"/>
        <v>44891.010254629633</v>
      </c>
      <c r="AH30" s="32" t="str">
        <f t="shared" si="3"/>
        <v>1-h:37:53</v>
      </c>
      <c r="AI30" s="11">
        <f t="shared" si="4"/>
        <v>153473</v>
      </c>
      <c r="AJ30" s="11">
        <v>299</v>
      </c>
      <c r="AK30" s="18">
        <f t="shared" si="9"/>
        <v>0.57279693486590033</v>
      </c>
      <c r="AL30" s="9"/>
      <c r="AM30" s="9"/>
      <c r="AN30" s="9"/>
      <c r="AO30" s="9"/>
      <c r="AP30" s="9"/>
      <c r="AQ30" s="9"/>
    </row>
    <row r="31" spans="1:43">
      <c r="T31" s="9">
        <v>28</v>
      </c>
      <c r="U31" s="1">
        <v>1</v>
      </c>
      <c r="V31" s="70">
        <v>2005341</v>
      </c>
      <c r="W31" s="11">
        <v>60</v>
      </c>
      <c r="X31" s="11" t="s">
        <v>38</v>
      </c>
      <c r="Y31" s="16">
        <v>0.15</v>
      </c>
      <c r="Z31" s="11">
        <v>14814295</v>
      </c>
      <c r="AA31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31" s="12">
        <f>DATE(2023,1,3)</f>
        <v>44929</v>
      </c>
      <c r="AC31" s="13">
        <f>TIME(14,49,48)</f>
        <v>0.61791666666666667</v>
      </c>
      <c r="AD31" s="14">
        <f t="shared" si="1"/>
        <v>44929.61791666667</v>
      </c>
      <c r="AE31" s="12">
        <f>DATE(2023,1,5)</f>
        <v>44931</v>
      </c>
      <c r="AF31" s="13">
        <f>TIME(10,49,21)</f>
        <v>0.45093749999999999</v>
      </c>
      <c r="AG31" s="14">
        <f t="shared" si="2"/>
        <v>44931.450937499998</v>
      </c>
      <c r="AH31" s="32" t="str">
        <f t="shared" si="3"/>
        <v>1-h:59:33</v>
      </c>
      <c r="AI31" s="11">
        <f t="shared" si="4"/>
        <v>158372</v>
      </c>
      <c r="AJ31" s="11">
        <v>172</v>
      </c>
      <c r="AK31" s="18">
        <f t="shared" si="9"/>
        <v>0.32950191570881227</v>
      </c>
      <c r="AL31" s="9"/>
      <c r="AM31" s="9"/>
      <c r="AN31" s="9"/>
      <c r="AO31" s="9"/>
      <c r="AP31" s="9"/>
      <c r="AQ31" s="9"/>
    </row>
    <row r="32" spans="1:43">
      <c r="T32" s="9">
        <v>29</v>
      </c>
      <c r="U32" s="1">
        <v>1</v>
      </c>
      <c r="V32" s="70">
        <v>2005341</v>
      </c>
      <c r="W32" s="11">
        <v>60</v>
      </c>
      <c r="X32" s="11" t="s">
        <v>38</v>
      </c>
      <c r="Y32" s="16">
        <v>0.2</v>
      </c>
      <c r="Z32" s="11">
        <v>14814297</v>
      </c>
      <c r="AA32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32" s="12">
        <f>DATE(2023,1,4)</f>
        <v>44930</v>
      </c>
      <c r="AC32" s="13">
        <f>TIME(0,11,54)</f>
        <v>8.2638888888888883E-3</v>
      </c>
      <c r="AD32" s="14">
        <f t="shared" si="1"/>
        <v>44930.008263888885</v>
      </c>
      <c r="AE32" s="12">
        <f>DATE(2023,1,5)</f>
        <v>44931</v>
      </c>
      <c r="AF32" s="13">
        <f>TIME(19,9,10)</f>
        <v>0.79803240740740744</v>
      </c>
      <c r="AG32" s="14">
        <f t="shared" si="2"/>
        <v>44931.798032407409</v>
      </c>
      <c r="AH32" s="32" t="str">
        <f t="shared" si="3"/>
        <v>1-h:57:16</v>
      </c>
      <c r="AI32" s="11">
        <f t="shared" si="4"/>
        <v>154636</v>
      </c>
      <c r="AJ32" s="11">
        <v>278</v>
      </c>
      <c r="AK32" s="18">
        <f t="shared" si="9"/>
        <v>0.53256704980842917</v>
      </c>
      <c r="AL32" s="9"/>
      <c r="AM32" s="9"/>
      <c r="AN32" s="9"/>
      <c r="AO32" s="9"/>
      <c r="AP32" s="9"/>
      <c r="AQ32" s="9"/>
    </row>
    <row r="33" spans="10:43">
      <c r="T33" s="9">
        <v>30</v>
      </c>
      <c r="U33" s="9">
        <v>1</v>
      </c>
      <c r="V33" s="70">
        <v>2005341</v>
      </c>
      <c r="W33" s="11">
        <v>60</v>
      </c>
      <c r="X33" s="11" t="s">
        <v>38</v>
      </c>
      <c r="Y33" s="16">
        <v>0.25</v>
      </c>
      <c r="Z33" s="11">
        <v>14814298</v>
      </c>
      <c r="AA33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33" s="12">
        <f>DATE(2023,1,6)</f>
        <v>44932</v>
      </c>
      <c r="AC33" s="13">
        <f>TIME(4,32,40)</f>
        <v>0.18935185185185185</v>
      </c>
      <c r="AD33" s="14">
        <f t="shared" si="1"/>
        <v>44932.189351851855</v>
      </c>
      <c r="AE33" s="12">
        <f>DATE(2023,1,7)</f>
        <v>44933</v>
      </c>
      <c r="AF33" s="13">
        <f>TIME(23,5,42)</f>
        <v>0.96229166666666666</v>
      </c>
      <c r="AG33" s="14">
        <f t="shared" si="2"/>
        <v>44933.962291666663</v>
      </c>
      <c r="AH33" s="32" t="str">
        <f t="shared" si="3"/>
        <v>1-h:33:2</v>
      </c>
      <c r="AI33" s="11">
        <f t="shared" si="4"/>
        <v>153181</v>
      </c>
      <c r="AJ33" s="11">
        <v>129</v>
      </c>
      <c r="AK33" s="18">
        <f t="shared" si="9"/>
        <v>0.2471264367816092</v>
      </c>
      <c r="AL33" s="9"/>
      <c r="AM33" s="9"/>
      <c r="AN33" s="9"/>
      <c r="AO33" s="9"/>
      <c r="AP33" s="9"/>
      <c r="AQ33" s="9"/>
    </row>
    <row r="34" spans="10:43">
      <c r="T34" s="9">
        <v>31</v>
      </c>
      <c r="U34" s="11">
        <v>1</v>
      </c>
      <c r="V34" s="70">
        <v>2005341</v>
      </c>
      <c r="W34" s="11">
        <v>75</v>
      </c>
      <c r="X34" s="11" t="s">
        <v>36</v>
      </c>
      <c r="Y34" s="15" t="s">
        <v>37</v>
      </c>
      <c r="Z34" s="11">
        <v>14337138</v>
      </c>
      <c r="AA34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12347901</v>
      </c>
      <c r="AB34" s="12">
        <f>DATE(2022,11,23)</f>
        <v>44888</v>
      </c>
      <c r="AC34" s="13">
        <f>TIME(15,5,57)</f>
        <v>0.62913194444444442</v>
      </c>
      <c r="AD34" s="14">
        <f t="shared" si="1"/>
        <v>44888.629131944443</v>
      </c>
      <c r="AE34" s="12">
        <f>DATE(2022,11,25)</f>
        <v>44890</v>
      </c>
      <c r="AF34" s="13">
        <f>TIME(14,18,16)</f>
        <v>0.5960185185185185</v>
      </c>
      <c r="AG34" s="14">
        <f t="shared" si="2"/>
        <v>44890.596018518518</v>
      </c>
      <c r="AH34" s="32" t="str">
        <f t="shared" si="3"/>
        <v>1-h:12:19</v>
      </c>
      <c r="AI34" s="11">
        <f t="shared" si="4"/>
        <v>169939</v>
      </c>
      <c r="AJ34" s="11">
        <v>282</v>
      </c>
      <c r="AK34" s="18">
        <f>AJ34/$M$8</f>
        <v>0.92459016393442628</v>
      </c>
      <c r="AL34" s="9"/>
      <c r="AM34" s="9"/>
      <c r="AN34" s="9"/>
      <c r="AO34" s="9"/>
      <c r="AP34" s="9"/>
      <c r="AQ34" s="9"/>
    </row>
    <row r="35" spans="10:43">
      <c r="T35" s="9">
        <v>32</v>
      </c>
      <c r="U35" s="9">
        <v>1</v>
      </c>
      <c r="V35" s="70">
        <v>2005341</v>
      </c>
      <c r="W35" s="11">
        <v>75</v>
      </c>
      <c r="X35" s="11" t="s">
        <v>38</v>
      </c>
      <c r="Y35" s="9">
        <v>1E-3</v>
      </c>
      <c r="Z35" s="11">
        <v>14814302</v>
      </c>
      <c r="AA35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35" s="12">
        <f>DATE(2023,1,6)</f>
        <v>44932</v>
      </c>
      <c r="AC35" s="13">
        <f>TIME(4,36,28)</f>
        <v>0.19199074074074074</v>
      </c>
      <c r="AD35" s="14">
        <f t="shared" si="1"/>
        <v>44932.191990740743</v>
      </c>
      <c r="AE35" s="12">
        <f>DATE(2023,1,7)</f>
        <v>44933</v>
      </c>
      <c r="AF35" s="13">
        <f>TIME(13,56,6)</f>
        <v>0.58062500000000006</v>
      </c>
      <c r="AG35" s="14">
        <f t="shared" si="2"/>
        <v>44933.580625000002</v>
      </c>
      <c r="AH35" s="32" t="str">
        <f t="shared" si="3"/>
        <v>1-h:19:38</v>
      </c>
      <c r="AI35" s="11">
        <f t="shared" si="4"/>
        <v>119978</v>
      </c>
      <c r="AJ35" s="11">
        <v>224</v>
      </c>
      <c r="AK35" s="18">
        <f t="shared" ref="AK35:AK43" si="10">AJ35/$M$8</f>
        <v>0.73442622950819669</v>
      </c>
      <c r="AL35" s="9"/>
      <c r="AM35" s="9"/>
      <c r="AN35" s="9"/>
      <c r="AO35" s="9"/>
      <c r="AP35" s="9"/>
      <c r="AQ35" s="9"/>
    </row>
    <row r="36" spans="10:43">
      <c r="T36" s="9">
        <v>33</v>
      </c>
      <c r="U36" s="11">
        <v>1</v>
      </c>
      <c r="V36" s="70">
        <v>2005341</v>
      </c>
      <c r="W36" s="11">
        <v>75</v>
      </c>
      <c r="X36" s="11" t="s">
        <v>38</v>
      </c>
      <c r="Y36" s="16">
        <v>5.0000000000000001E-3</v>
      </c>
      <c r="Z36" s="11">
        <v>14337862</v>
      </c>
      <c r="AA36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36" s="12">
        <f>DATE(2022,11,24)</f>
        <v>44889</v>
      </c>
      <c r="AC36" s="13">
        <f>TIME(7,40,20)</f>
        <v>0.31967592592592592</v>
      </c>
      <c r="AD36" s="14">
        <f t="shared" ref="AD36:AD67" si="11">AB36+AC36</f>
        <v>44889.319675925923</v>
      </c>
      <c r="AE36" s="12">
        <f>DATE(2022,11,25)</f>
        <v>44890</v>
      </c>
      <c r="AF36" s="13">
        <f>TIME(18,29,3)</f>
        <v>0.77017361111111116</v>
      </c>
      <c r="AG36" s="14">
        <f t="shared" ref="AG36:AG67" si="12">AE36+AF36</f>
        <v>44890.770173611112</v>
      </c>
      <c r="AH36" s="32" t="str">
        <f t="shared" ref="AH36:AH67" si="13">INT(AG36-AD36) &amp; "-"&amp; TEXT(AG36-AD36,"h"":""m"":""s""""")</f>
        <v>1-h:48:43</v>
      </c>
      <c r="AI36" s="11">
        <f t="shared" ref="AI36:AI67" si="14">INT((AG36-AD36) * 86400)</f>
        <v>125323</v>
      </c>
      <c r="AJ36" s="11">
        <v>208</v>
      </c>
      <c r="AK36" s="18">
        <f t="shared" si="10"/>
        <v>0.68196721311475406</v>
      </c>
      <c r="AL36" s="9"/>
      <c r="AM36" s="9"/>
      <c r="AN36" s="9"/>
      <c r="AO36" s="9"/>
      <c r="AP36" s="9"/>
      <c r="AQ36" s="9"/>
    </row>
    <row r="37" spans="10:43">
      <c r="J37" s="29"/>
      <c r="K37" s="6"/>
      <c r="L37" s="6"/>
      <c r="T37" s="9">
        <v>34</v>
      </c>
      <c r="U37" s="9">
        <v>1</v>
      </c>
      <c r="V37" s="70">
        <v>2005341</v>
      </c>
      <c r="W37" s="11">
        <v>75</v>
      </c>
      <c r="X37" s="11" t="s">
        <v>38</v>
      </c>
      <c r="Y37" s="15">
        <v>2.5000000000000001E-2</v>
      </c>
      <c r="Z37" s="11">
        <v>14814305</v>
      </c>
      <c r="AA37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37" s="12">
        <f>DATE(2023,1,6)</f>
        <v>44932</v>
      </c>
      <c r="AC37" s="13">
        <f>TIME(4,42,13)</f>
        <v>0.19598379629629628</v>
      </c>
      <c r="AD37" s="14">
        <f t="shared" si="11"/>
        <v>44932.195983796293</v>
      </c>
      <c r="AE37" s="12">
        <f>DATE(2023,1,7)</f>
        <v>44933</v>
      </c>
      <c r="AF37" s="13">
        <f>TIME(16,44,32)</f>
        <v>0.69759259259259254</v>
      </c>
      <c r="AG37" s="14">
        <f t="shared" si="12"/>
        <v>44933.697592592594</v>
      </c>
      <c r="AH37" s="32" t="str">
        <f t="shared" si="13"/>
        <v>1-h:2:19</v>
      </c>
      <c r="AI37" s="11">
        <f t="shared" si="14"/>
        <v>129739</v>
      </c>
      <c r="AJ37" s="11">
        <v>158</v>
      </c>
      <c r="AK37" s="18">
        <f t="shared" si="10"/>
        <v>0.5180327868852459</v>
      </c>
      <c r="AL37" s="9"/>
      <c r="AM37" s="9"/>
      <c r="AN37" s="9"/>
      <c r="AO37" s="9"/>
      <c r="AP37" s="9"/>
      <c r="AQ37" s="9"/>
    </row>
    <row r="38" spans="10:43">
      <c r="J38" s="23"/>
      <c r="K38" s="25"/>
      <c r="L38" s="1"/>
      <c r="T38" s="9">
        <v>35</v>
      </c>
      <c r="U38" s="9">
        <v>1</v>
      </c>
      <c r="V38" s="70">
        <v>2005341</v>
      </c>
      <c r="W38" s="11">
        <v>75</v>
      </c>
      <c r="X38" s="11" t="s">
        <v>38</v>
      </c>
      <c r="Y38" s="15">
        <v>0.05</v>
      </c>
      <c r="Z38" s="11">
        <v>14814306</v>
      </c>
      <c r="AA38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38" s="12">
        <f>DATE(2023,1,6)</f>
        <v>44932</v>
      </c>
      <c r="AC38" s="13">
        <f>TIME(6,58,49)</f>
        <v>0.29084490740740737</v>
      </c>
      <c r="AD38" s="14">
        <f t="shared" si="11"/>
        <v>44932.290844907409</v>
      </c>
      <c r="AE38" s="12">
        <f>DATE(2023,1,7)</f>
        <v>44933</v>
      </c>
      <c r="AF38" s="13">
        <f>TIME(17,34,46)</f>
        <v>0.73247685185185185</v>
      </c>
      <c r="AG38" s="14">
        <f t="shared" si="12"/>
        <v>44933.732476851852</v>
      </c>
      <c r="AH38" s="32" t="str">
        <f t="shared" si="13"/>
        <v>1-h:35:57</v>
      </c>
      <c r="AI38" s="11">
        <f t="shared" si="14"/>
        <v>124556</v>
      </c>
      <c r="AJ38" s="11">
        <v>140</v>
      </c>
      <c r="AK38" s="18">
        <f t="shared" si="10"/>
        <v>0.45901639344262296</v>
      </c>
      <c r="AL38" s="9"/>
      <c r="AM38" s="9"/>
      <c r="AN38" s="9"/>
      <c r="AO38" s="9"/>
      <c r="AP38" s="9"/>
      <c r="AQ38" s="9"/>
    </row>
    <row r="39" spans="10:43">
      <c r="J39" s="23"/>
      <c r="K39" s="25"/>
      <c r="L39" s="1"/>
      <c r="T39" s="9">
        <v>36</v>
      </c>
      <c r="U39" s="9">
        <v>1</v>
      </c>
      <c r="V39" s="70">
        <v>2005341</v>
      </c>
      <c r="W39" s="11">
        <v>75</v>
      </c>
      <c r="X39" s="11" t="s">
        <v>38</v>
      </c>
      <c r="Y39" s="15">
        <v>7.4999999999999997E-2</v>
      </c>
      <c r="Z39" s="11">
        <v>14814307</v>
      </c>
      <c r="AA39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39" s="12">
        <f>DATE(2023,1,6)</f>
        <v>44932</v>
      </c>
      <c r="AC39" s="13">
        <f>TIME(7,0,35)</f>
        <v>0.29207175925925927</v>
      </c>
      <c r="AD39" s="14">
        <f t="shared" si="11"/>
        <v>44932.292071759257</v>
      </c>
      <c r="AE39" s="12">
        <f>DATE(2023,1,7)</f>
        <v>44933</v>
      </c>
      <c r="AF39" s="13">
        <f>TIME(18,9,30)</f>
        <v>0.75659722222222225</v>
      </c>
      <c r="AG39" s="14">
        <f t="shared" si="12"/>
        <v>44933.756597222222</v>
      </c>
      <c r="AH39" s="32" t="str">
        <f t="shared" si="13"/>
        <v>1-h:8:55</v>
      </c>
      <c r="AI39" s="11">
        <f t="shared" si="14"/>
        <v>126535</v>
      </c>
      <c r="AJ39" s="11">
        <v>103</v>
      </c>
      <c r="AK39" s="18">
        <f t="shared" si="10"/>
        <v>0.3377049180327869</v>
      </c>
      <c r="AL39" s="9"/>
      <c r="AM39" s="9"/>
      <c r="AN39" s="9"/>
      <c r="AO39" s="9"/>
      <c r="AP39" s="9"/>
      <c r="AQ39" s="9"/>
    </row>
    <row r="40" spans="10:43">
      <c r="J40" s="23"/>
      <c r="K40" s="25"/>
      <c r="L40" s="1"/>
      <c r="T40" s="9">
        <v>37</v>
      </c>
      <c r="U40" s="11">
        <v>1</v>
      </c>
      <c r="V40" s="70">
        <v>2005341</v>
      </c>
      <c r="W40" s="11">
        <v>75</v>
      </c>
      <c r="X40" s="11" t="s">
        <v>38</v>
      </c>
      <c r="Y40" s="16">
        <v>0.1</v>
      </c>
      <c r="Z40" s="11">
        <v>14337860</v>
      </c>
      <c r="AA40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40" s="12">
        <f>DATE(2022,11,24)</f>
        <v>44889</v>
      </c>
      <c r="AC40" s="13">
        <f>TIME(6,5,28)</f>
        <v>0.2537962962962963</v>
      </c>
      <c r="AD40" s="14">
        <f t="shared" si="11"/>
        <v>44889.253796296296</v>
      </c>
      <c r="AE40" s="12">
        <f>DATE(2022,11,25)</f>
        <v>44890</v>
      </c>
      <c r="AF40" s="13">
        <f>TIME(14,43,48)</f>
        <v>0.61375000000000002</v>
      </c>
      <c r="AG40" s="14">
        <f t="shared" si="12"/>
        <v>44890.613749999997</v>
      </c>
      <c r="AH40" s="32" t="str">
        <f t="shared" si="13"/>
        <v>1-h:38:20</v>
      </c>
      <c r="AI40" s="11">
        <f t="shared" si="14"/>
        <v>117499</v>
      </c>
      <c r="AJ40" s="11">
        <v>148</v>
      </c>
      <c r="AK40" s="18">
        <f t="shared" si="10"/>
        <v>0.48524590163934428</v>
      </c>
      <c r="AL40" s="9"/>
      <c r="AM40" s="9"/>
      <c r="AN40" s="9"/>
      <c r="AO40" s="9"/>
      <c r="AP40" s="9"/>
      <c r="AQ40" s="9"/>
    </row>
    <row r="41" spans="10:43">
      <c r="J41" s="23"/>
      <c r="K41" s="26"/>
      <c r="L41" s="1"/>
      <c r="T41" s="9">
        <v>38</v>
      </c>
      <c r="U41" s="9">
        <v>1</v>
      </c>
      <c r="V41" s="70">
        <v>2005341</v>
      </c>
      <c r="W41" s="11">
        <v>75</v>
      </c>
      <c r="X41" s="11" t="s">
        <v>38</v>
      </c>
      <c r="Y41" s="15">
        <v>0.15</v>
      </c>
      <c r="Z41" s="11">
        <v>14814396</v>
      </c>
      <c r="AA41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41" s="12">
        <f>DATE(2023,1,6)</f>
        <v>44932</v>
      </c>
      <c r="AC41" s="13">
        <f>TIME(7,50,17)</f>
        <v>0.32658564814814817</v>
      </c>
      <c r="AD41" s="14">
        <f t="shared" si="11"/>
        <v>44932.326585648145</v>
      </c>
      <c r="AE41" s="12">
        <f>DATE(2023,1,7)</f>
        <v>44933</v>
      </c>
      <c r="AF41" s="13">
        <f>TIME(18,44,56)</f>
        <v>0.78120370370370373</v>
      </c>
      <c r="AG41" s="14">
        <f t="shared" si="12"/>
        <v>44933.7812037037</v>
      </c>
      <c r="AH41" s="32" t="str">
        <f t="shared" si="13"/>
        <v>1-h:54:39</v>
      </c>
      <c r="AI41" s="11">
        <f t="shared" si="14"/>
        <v>125678</v>
      </c>
      <c r="AJ41" s="11">
        <v>111</v>
      </c>
      <c r="AK41" s="18">
        <f t="shared" si="10"/>
        <v>0.36393442622950822</v>
      </c>
      <c r="AL41" s="9"/>
      <c r="AM41" s="9"/>
      <c r="AN41" s="9"/>
      <c r="AO41" s="9"/>
      <c r="AP41" s="9"/>
      <c r="AQ41" s="9"/>
    </row>
    <row r="42" spans="10:43">
      <c r="J42" s="23"/>
      <c r="K42" s="25"/>
      <c r="L42" s="1"/>
      <c r="M42" s="22"/>
      <c r="P42" s="21"/>
      <c r="R42" s="17"/>
      <c r="S42" s="21"/>
      <c r="T42" s="9">
        <v>39</v>
      </c>
      <c r="U42" s="9">
        <v>1</v>
      </c>
      <c r="V42" s="70">
        <v>2005341</v>
      </c>
      <c r="W42" s="11">
        <v>75</v>
      </c>
      <c r="X42" s="11" t="s">
        <v>38</v>
      </c>
      <c r="Y42" s="16">
        <v>0.2</v>
      </c>
      <c r="Z42" s="11">
        <v>14814400</v>
      </c>
      <c r="AA42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42" s="12">
        <f>DATE(2023,1,6)</f>
        <v>44932</v>
      </c>
      <c r="AC42" s="13">
        <f>TIME(11,53,13)</f>
        <v>0.4952893518518518</v>
      </c>
      <c r="AD42" s="14">
        <f t="shared" si="11"/>
        <v>44932.495289351849</v>
      </c>
      <c r="AE42" s="12">
        <f>DATE(2023,1,7)</f>
        <v>44933</v>
      </c>
      <c r="AF42" s="13">
        <f>TIME(22,22,31)</f>
        <v>0.93230324074074078</v>
      </c>
      <c r="AG42" s="14">
        <f t="shared" si="12"/>
        <v>44933.932303240741</v>
      </c>
      <c r="AH42" s="32" t="str">
        <f t="shared" si="13"/>
        <v>1-h:29:18</v>
      </c>
      <c r="AI42" s="11">
        <f t="shared" si="14"/>
        <v>124158</v>
      </c>
      <c r="AJ42" s="11">
        <v>80</v>
      </c>
      <c r="AK42" s="18">
        <f t="shared" si="10"/>
        <v>0.26229508196721313</v>
      </c>
      <c r="AL42" s="9"/>
      <c r="AM42" s="9"/>
      <c r="AN42" s="9"/>
      <c r="AO42" s="9"/>
      <c r="AP42" s="9"/>
      <c r="AQ42" s="9"/>
    </row>
    <row r="43" spans="10:43">
      <c r="J43" s="23"/>
      <c r="K43" s="26"/>
      <c r="L43" s="1"/>
      <c r="M43" s="21"/>
      <c r="P43" s="22"/>
      <c r="R43" s="17"/>
      <c r="S43" s="21"/>
      <c r="T43" s="9">
        <v>40</v>
      </c>
      <c r="U43" s="9">
        <v>1</v>
      </c>
      <c r="V43" s="70">
        <v>2005341</v>
      </c>
      <c r="W43" s="11">
        <v>75</v>
      </c>
      <c r="X43" s="11" t="s">
        <v>38</v>
      </c>
      <c r="Y43" s="16">
        <v>0.25</v>
      </c>
      <c r="Z43" s="11">
        <v>14814402</v>
      </c>
      <c r="AA43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43" s="12">
        <f>DATE(2023,1,6)</f>
        <v>44932</v>
      </c>
      <c r="AC43" s="13">
        <f>TIME(12,44,43)</f>
        <v>0.53105324074074078</v>
      </c>
      <c r="AD43" s="14">
        <f t="shared" si="11"/>
        <v>44932.531053240738</v>
      </c>
      <c r="AE43" s="12">
        <f>DATE(2023,1,7)</f>
        <v>44933</v>
      </c>
      <c r="AF43" s="13">
        <f>TIME(23,26,3)</f>
        <v>0.97642361111111109</v>
      </c>
      <c r="AG43" s="14">
        <f t="shared" si="12"/>
        <v>44933.976423611108</v>
      </c>
      <c r="AH43" s="32" t="str">
        <f t="shared" si="13"/>
        <v>1-h:41:20</v>
      </c>
      <c r="AI43" s="11">
        <f t="shared" si="14"/>
        <v>124879</v>
      </c>
      <c r="AJ43" s="11">
        <v>76</v>
      </c>
      <c r="AK43" s="18">
        <f t="shared" si="10"/>
        <v>0.24918032786885247</v>
      </c>
      <c r="AL43" s="9"/>
      <c r="AM43" s="9"/>
      <c r="AN43" s="9"/>
      <c r="AO43" s="9"/>
      <c r="AP43" s="9"/>
      <c r="AQ43" s="9"/>
    </row>
    <row r="44" spans="10:43">
      <c r="J44" s="23"/>
      <c r="K44" s="26"/>
      <c r="L44" s="1"/>
      <c r="M44" s="21"/>
      <c r="P44" s="22"/>
      <c r="R44" s="17"/>
      <c r="S44" s="21"/>
      <c r="T44" s="55">
        <v>41</v>
      </c>
      <c r="U44" s="56">
        <v>2</v>
      </c>
      <c r="V44" s="56">
        <v>2006017</v>
      </c>
      <c r="W44" s="56">
        <v>30</v>
      </c>
      <c r="X44" s="56" t="s">
        <v>36</v>
      </c>
      <c r="Y44" s="57" t="s">
        <v>37</v>
      </c>
      <c r="Z44" s="56">
        <v>14337280</v>
      </c>
      <c r="AA44" s="90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30869751</v>
      </c>
      <c r="AB44" s="58">
        <f>DATE(2022,11,25)</f>
        <v>44890</v>
      </c>
      <c r="AC44" s="59">
        <f>TIME(7,42,9)</f>
        <v>0.32093749999999999</v>
      </c>
      <c r="AD44" s="60">
        <f t="shared" si="11"/>
        <v>44890.320937500001</v>
      </c>
      <c r="AE44" s="58">
        <f>DATE(2022,12,2)</f>
        <v>44897</v>
      </c>
      <c r="AF44" s="59">
        <f>TIME(7,57,19)</f>
        <v>0.33146990740740739</v>
      </c>
      <c r="AG44" s="60">
        <f t="shared" si="12"/>
        <v>44897.331469907411</v>
      </c>
      <c r="AH44" s="61" t="str">
        <f t="shared" si="13"/>
        <v>7-h:15:10</v>
      </c>
      <c r="AI44" s="56">
        <f t="shared" si="14"/>
        <v>605710</v>
      </c>
      <c r="AJ44" s="56">
        <v>4067</v>
      </c>
      <c r="AK44" s="62">
        <f>AJ44/$M$5</f>
        <v>0.9281150159744409</v>
      </c>
      <c r="AL44" s="9"/>
      <c r="AM44" s="9"/>
      <c r="AN44" s="9"/>
      <c r="AO44" s="9"/>
      <c r="AP44" s="9"/>
      <c r="AQ44" s="9"/>
    </row>
    <row r="45" spans="10:43">
      <c r="J45" s="23"/>
      <c r="K45" s="26"/>
      <c r="L45" s="1"/>
      <c r="M45" s="21"/>
      <c r="P45" s="22"/>
      <c r="R45" s="21"/>
      <c r="S45" s="21"/>
      <c r="T45" s="9">
        <v>42</v>
      </c>
      <c r="U45" s="9">
        <v>2</v>
      </c>
      <c r="V45" s="11">
        <v>2006017</v>
      </c>
      <c r="W45" s="11">
        <v>30</v>
      </c>
      <c r="X45" s="11" t="s">
        <v>38</v>
      </c>
      <c r="Y45" s="16">
        <v>1E-3</v>
      </c>
      <c r="Z45" s="11">
        <v>14706084</v>
      </c>
      <c r="AA45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45" s="12">
        <f>DATE(2022,12,27)</f>
        <v>44922</v>
      </c>
      <c r="AC45" s="13">
        <f>TIME(15,34,29)</f>
        <v>0.64894675925925926</v>
      </c>
      <c r="AD45" s="14">
        <f t="shared" si="11"/>
        <v>44922.648946759262</v>
      </c>
      <c r="AE45" s="12">
        <f>DATE(2022,12,31)</f>
        <v>44926</v>
      </c>
      <c r="AF45" s="13">
        <f>TIME(18,30,17)</f>
        <v>0.7710300925925927</v>
      </c>
      <c r="AG45" s="14">
        <f t="shared" si="12"/>
        <v>44926.77103009259</v>
      </c>
      <c r="AH45" s="32" t="str">
        <f t="shared" si="13"/>
        <v>4-h:55:48</v>
      </c>
      <c r="AI45" s="11">
        <f t="shared" si="14"/>
        <v>356147</v>
      </c>
      <c r="AJ45" s="11">
        <v>2149</v>
      </c>
      <c r="AK45" s="18">
        <f t="shared" ref="AK45:AK53" si="15">AJ45/$M$5</f>
        <v>0.49041533546325877</v>
      </c>
      <c r="AL45" s="9"/>
      <c r="AM45" s="9"/>
      <c r="AN45" s="9"/>
      <c r="AO45" s="9"/>
      <c r="AP45" s="9"/>
      <c r="AQ45" s="9"/>
    </row>
    <row r="46" spans="10:43">
      <c r="J46" s="23"/>
      <c r="K46" s="26"/>
      <c r="L46" s="1"/>
      <c r="M46" s="21"/>
      <c r="P46" s="17"/>
      <c r="R46" s="17"/>
      <c r="S46" s="21"/>
      <c r="T46" s="9">
        <v>43</v>
      </c>
      <c r="U46" s="11">
        <v>2</v>
      </c>
      <c r="V46" s="11">
        <v>2006017</v>
      </c>
      <c r="W46" s="11">
        <v>30</v>
      </c>
      <c r="X46" s="11" t="s">
        <v>38</v>
      </c>
      <c r="Y46" s="16">
        <v>5.0000000000000001E-3</v>
      </c>
      <c r="Z46" s="11">
        <v>14337635</v>
      </c>
      <c r="AA46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46" s="12">
        <f>DATE(2022,11,27)</f>
        <v>44892</v>
      </c>
      <c r="AC46" s="13">
        <f>TIME(5,6,17)</f>
        <v>0.21269675925925927</v>
      </c>
      <c r="AD46" s="14">
        <f t="shared" si="11"/>
        <v>44892.212696759256</v>
      </c>
      <c r="AE46" s="12">
        <f>DATE(2022,12,1)</f>
        <v>44896</v>
      </c>
      <c r="AF46" s="13">
        <f>TIME(12,39,50)</f>
        <v>0.52766203703703707</v>
      </c>
      <c r="AG46" s="14">
        <f t="shared" si="12"/>
        <v>44896.527662037035</v>
      </c>
      <c r="AH46" s="32" t="str">
        <f t="shared" si="13"/>
        <v>4-h:33:33</v>
      </c>
      <c r="AI46" s="11">
        <f t="shared" si="14"/>
        <v>372813</v>
      </c>
      <c r="AJ46" s="11">
        <v>1079</v>
      </c>
      <c r="AK46" s="18">
        <f t="shared" si="15"/>
        <v>0.24623459607485165</v>
      </c>
      <c r="AL46" s="9"/>
      <c r="AM46" s="9"/>
      <c r="AN46" s="9"/>
      <c r="AO46" s="9"/>
      <c r="AP46" s="9"/>
      <c r="AQ46" s="9"/>
    </row>
    <row r="47" spans="10:43">
      <c r="J47" s="53"/>
      <c r="K47" s="54"/>
      <c r="L47" s="27"/>
      <c r="T47" s="9">
        <v>44</v>
      </c>
      <c r="U47" s="9">
        <v>2</v>
      </c>
      <c r="V47" s="11">
        <v>2006017</v>
      </c>
      <c r="W47" s="11">
        <v>30</v>
      </c>
      <c r="X47" s="11" t="s">
        <v>38</v>
      </c>
      <c r="Y47" s="16">
        <v>2.5000000000000001E-2</v>
      </c>
      <c r="Z47" s="11">
        <v>14706088</v>
      </c>
      <c r="AA47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47" s="12">
        <f>DATE(2022,12,27)</f>
        <v>44922</v>
      </c>
      <c r="AC47" s="13">
        <f>TIME(15,34,29)</f>
        <v>0.64894675925925926</v>
      </c>
      <c r="AD47" s="14">
        <f t="shared" si="11"/>
        <v>44922.648946759262</v>
      </c>
      <c r="AE47" s="12">
        <f>DATE(2022,12,31)</f>
        <v>44926</v>
      </c>
      <c r="AF47" s="13">
        <f>TIME(23,17,10)</f>
        <v>0.97025462962962961</v>
      </c>
      <c r="AG47" s="14">
        <f t="shared" si="12"/>
        <v>44926.970254629632</v>
      </c>
      <c r="AH47" s="32" t="str">
        <f t="shared" si="13"/>
        <v>4-h:42:41</v>
      </c>
      <c r="AI47" s="11">
        <f t="shared" si="14"/>
        <v>373360</v>
      </c>
      <c r="AJ47" s="11">
        <v>500</v>
      </c>
      <c r="AK47" s="18">
        <f t="shared" si="15"/>
        <v>0.11410314924691921</v>
      </c>
      <c r="AL47" s="9"/>
      <c r="AM47" s="9"/>
      <c r="AN47" s="9"/>
      <c r="AO47" s="9"/>
      <c r="AP47" s="9"/>
      <c r="AQ47" s="9"/>
    </row>
    <row r="48" spans="10:43">
      <c r="K48" s="1"/>
      <c r="L48" s="30"/>
      <c r="M48" s="6"/>
      <c r="N48" s="6"/>
      <c r="O48" s="6"/>
      <c r="P48" s="6"/>
      <c r="Q48" s="6"/>
      <c r="R48" s="6"/>
      <c r="S48" s="6"/>
      <c r="T48" s="9">
        <v>45</v>
      </c>
      <c r="U48" s="9">
        <v>2</v>
      </c>
      <c r="V48" s="11">
        <v>2006017</v>
      </c>
      <c r="W48" s="11">
        <v>30</v>
      </c>
      <c r="X48" s="11" t="s">
        <v>38</v>
      </c>
      <c r="Y48" s="16">
        <v>0.05</v>
      </c>
      <c r="Z48" s="11">
        <v>14706094</v>
      </c>
      <c r="AA48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48" s="12">
        <f>DATE(2022,12,27)</f>
        <v>44922</v>
      </c>
      <c r="AC48" s="13">
        <f>TIME(15,34,29)</f>
        <v>0.64894675925925926</v>
      </c>
      <c r="AD48" s="14">
        <f t="shared" si="11"/>
        <v>44922.648946759262</v>
      </c>
      <c r="AE48" s="12">
        <f>DATE(2023,1,1)</f>
        <v>44927</v>
      </c>
      <c r="AF48" s="13">
        <f>TIME(0,1,45)</f>
        <v>1.2152777777777778E-3</v>
      </c>
      <c r="AG48" s="14">
        <f t="shared" si="12"/>
        <v>44927.001215277778</v>
      </c>
      <c r="AH48" s="32" t="str">
        <f t="shared" si="13"/>
        <v>4-h:27:16</v>
      </c>
      <c r="AI48" s="11">
        <f t="shared" si="14"/>
        <v>376035</v>
      </c>
      <c r="AJ48" s="11">
        <v>296</v>
      </c>
      <c r="AK48" s="18">
        <f t="shared" si="15"/>
        <v>6.754906435417618E-2</v>
      </c>
      <c r="AL48" s="9"/>
      <c r="AM48" s="9"/>
      <c r="AN48" s="9"/>
      <c r="AO48" s="9"/>
      <c r="AP48" s="9"/>
      <c r="AQ48" s="9"/>
    </row>
    <row r="49" spans="11:43">
      <c r="K49" s="9"/>
      <c r="L49" s="6"/>
      <c r="M49" s="1"/>
      <c r="N49" s="1"/>
      <c r="O49" s="1"/>
      <c r="P49" s="1"/>
      <c r="Q49" s="1"/>
      <c r="R49" s="1"/>
      <c r="S49" s="1"/>
      <c r="T49" s="9">
        <v>46</v>
      </c>
      <c r="U49" s="9">
        <v>2</v>
      </c>
      <c r="V49" s="11">
        <v>2006017</v>
      </c>
      <c r="W49" s="11">
        <v>30</v>
      </c>
      <c r="X49" s="11" t="s">
        <v>38</v>
      </c>
      <c r="Y49" s="16">
        <v>7.4999999999999997E-2</v>
      </c>
      <c r="Z49" s="11">
        <v>14706096</v>
      </c>
      <c r="AA49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49" s="12">
        <f>DATE(2022,12,28)</f>
        <v>44923</v>
      </c>
      <c r="AC49" s="13">
        <f>TIME(6,0,26)</f>
        <v>0.25030092592592595</v>
      </c>
      <c r="AD49" s="14">
        <f t="shared" si="11"/>
        <v>44923.250300925924</v>
      </c>
      <c r="AE49" s="12">
        <f>DATE(2023,1,1)</f>
        <v>44927</v>
      </c>
      <c r="AF49" s="13">
        <f>TIME(12,56,20)</f>
        <v>0.53912037037037031</v>
      </c>
      <c r="AG49" s="14">
        <f t="shared" si="12"/>
        <v>44927.539120370369</v>
      </c>
      <c r="AH49" s="32" t="str">
        <f t="shared" si="13"/>
        <v>4-h:55:54</v>
      </c>
      <c r="AI49" s="11">
        <f t="shared" si="14"/>
        <v>370554</v>
      </c>
      <c r="AJ49" s="11">
        <v>342</v>
      </c>
      <c r="AK49" s="18">
        <f t="shared" si="15"/>
        <v>7.804655408489275E-2</v>
      </c>
      <c r="AL49" s="9"/>
      <c r="AM49" s="9"/>
      <c r="AN49" s="9"/>
      <c r="AO49" s="9"/>
      <c r="AP49" s="9"/>
      <c r="AQ49" s="9"/>
    </row>
    <row r="50" spans="11:43">
      <c r="K50" s="9"/>
      <c r="L50" s="28"/>
      <c r="M50" s="9"/>
      <c r="N50" s="9"/>
      <c r="O50" s="9"/>
      <c r="P50" s="9"/>
      <c r="Q50" s="9"/>
      <c r="R50" s="9"/>
      <c r="S50" s="9"/>
      <c r="T50" s="9">
        <v>47</v>
      </c>
      <c r="U50" s="11">
        <v>2</v>
      </c>
      <c r="V50" s="11">
        <v>2006017</v>
      </c>
      <c r="W50" s="11">
        <v>30</v>
      </c>
      <c r="X50" s="11" t="s">
        <v>38</v>
      </c>
      <c r="Y50" s="16">
        <v>0.1</v>
      </c>
      <c r="Z50" s="11">
        <v>14337624</v>
      </c>
      <c r="AA50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50" s="12">
        <f>DATE(2022,11,27)</f>
        <v>44892</v>
      </c>
      <c r="AC50" s="13">
        <f>TIME(2,48,16)</f>
        <v>0.11685185185185186</v>
      </c>
      <c r="AD50" s="14">
        <f t="shared" si="11"/>
        <v>44892.116851851853</v>
      </c>
      <c r="AE50" s="12">
        <f>DATE(2022,12,1)</f>
        <v>44896</v>
      </c>
      <c r="AF50" s="13">
        <f>TIME(3,27,50)</f>
        <v>0.14432870370370371</v>
      </c>
      <c r="AG50" s="14">
        <f t="shared" si="12"/>
        <v>44896.144328703704</v>
      </c>
      <c r="AH50" s="32" t="str">
        <f t="shared" si="13"/>
        <v>4-h:39:34</v>
      </c>
      <c r="AI50" s="11">
        <f t="shared" si="14"/>
        <v>347973</v>
      </c>
      <c r="AJ50" s="11">
        <v>312</v>
      </c>
      <c r="AK50" s="18">
        <f t="shared" si="15"/>
        <v>7.1200365130077589E-2</v>
      </c>
      <c r="AL50" s="9"/>
      <c r="AM50" s="9"/>
      <c r="AN50" s="9"/>
      <c r="AO50" s="9"/>
      <c r="AP50" s="9"/>
      <c r="AQ50" s="9"/>
    </row>
    <row r="51" spans="11:43">
      <c r="K51" s="9"/>
      <c r="L51" s="28"/>
      <c r="M51" s="9"/>
      <c r="N51" s="24"/>
      <c r="O51" s="9"/>
      <c r="P51" s="9"/>
      <c r="Q51" s="9"/>
      <c r="R51" s="9"/>
      <c r="S51" s="9"/>
      <c r="T51" s="9">
        <v>48</v>
      </c>
      <c r="U51" s="9">
        <v>2</v>
      </c>
      <c r="V51" s="11">
        <v>2006017</v>
      </c>
      <c r="W51" s="11">
        <v>30</v>
      </c>
      <c r="X51" s="11" t="s">
        <v>38</v>
      </c>
      <c r="Y51" s="15">
        <v>0.15</v>
      </c>
      <c r="Z51" s="11">
        <v>14706098</v>
      </c>
      <c r="AA51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51" s="12">
        <f>DATE(2022,12,28)</f>
        <v>44923</v>
      </c>
      <c r="AC51" s="13">
        <f>TIME(8,33,29)</f>
        <v>0.35658564814814814</v>
      </c>
      <c r="AD51" s="14">
        <f t="shared" si="11"/>
        <v>44923.356585648151</v>
      </c>
      <c r="AE51" s="12">
        <f>DATE(2023,1,1)</f>
        <v>44927</v>
      </c>
      <c r="AF51" s="13">
        <f>TIME(9,5,47)</f>
        <v>0.3790162037037037</v>
      </c>
      <c r="AG51" s="14">
        <f t="shared" si="12"/>
        <v>44927.379016203704</v>
      </c>
      <c r="AH51" s="32" t="str">
        <f t="shared" si="13"/>
        <v>4-h:32:18</v>
      </c>
      <c r="AI51" s="11">
        <f t="shared" si="14"/>
        <v>347537</v>
      </c>
      <c r="AJ51" s="11">
        <v>251</v>
      </c>
      <c r="AK51" s="18">
        <f t="shared" si="15"/>
        <v>5.7279780921953447E-2</v>
      </c>
      <c r="AL51" s="9"/>
      <c r="AM51" s="9"/>
      <c r="AN51" s="9"/>
      <c r="AO51" s="9"/>
      <c r="AP51" s="9"/>
      <c r="AQ51" s="9"/>
    </row>
    <row r="52" spans="11:43">
      <c r="K52" s="9"/>
      <c r="L52" s="9"/>
      <c r="M52" s="9"/>
      <c r="N52" s="9"/>
      <c r="O52" s="9"/>
      <c r="P52" s="9"/>
      <c r="Q52" s="9"/>
      <c r="R52" s="9"/>
      <c r="T52" s="9">
        <v>49</v>
      </c>
      <c r="U52" s="9">
        <v>2</v>
      </c>
      <c r="V52" s="11">
        <v>2006017</v>
      </c>
      <c r="W52" s="11">
        <v>30</v>
      </c>
      <c r="X52" s="11" t="s">
        <v>38</v>
      </c>
      <c r="Y52" s="15">
        <v>0.2</v>
      </c>
      <c r="Z52" s="11">
        <v>14706100</v>
      </c>
      <c r="AA52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52" s="12">
        <f>DATE(2022,12,28)</f>
        <v>44923</v>
      </c>
      <c r="AC52" s="13">
        <f>TIME(21,3,5)</f>
        <v>0.87714120370370363</v>
      </c>
      <c r="AD52" s="14">
        <f t="shared" si="11"/>
        <v>44923.877141203702</v>
      </c>
      <c r="AE52" s="12">
        <f>DATE(2023,1,1)</f>
        <v>44927</v>
      </c>
      <c r="AF52" s="13">
        <f>TIME(20,33,15)</f>
        <v>0.85642361111111109</v>
      </c>
      <c r="AG52" s="14">
        <f t="shared" si="12"/>
        <v>44927.856423611112</v>
      </c>
      <c r="AH52" s="32" t="str">
        <f t="shared" si="13"/>
        <v>3-h:30:10</v>
      </c>
      <c r="AI52" s="11">
        <f t="shared" si="14"/>
        <v>343810</v>
      </c>
      <c r="AJ52" s="11">
        <v>302</v>
      </c>
      <c r="AK52" s="18">
        <f t="shared" si="15"/>
        <v>6.8918302145139207E-2</v>
      </c>
      <c r="AL52" s="9"/>
      <c r="AM52" s="9"/>
      <c r="AN52" s="9"/>
      <c r="AO52" s="9"/>
      <c r="AP52" s="9"/>
      <c r="AQ52" s="9"/>
    </row>
    <row r="53" spans="11:43">
      <c r="K53" s="9"/>
      <c r="L53" s="9"/>
      <c r="M53" s="9"/>
      <c r="N53" s="9"/>
      <c r="O53" s="9"/>
      <c r="P53" s="9"/>
      <c r="Q53" s="9"/>
      <c r="R53" s="9"/>
      <c r="T53" s="9">
        <v>50</v>
      </c>
      <c r="U53" s="9">
        <v>2</v>
      </c>
      <c r="V53" s="11">
        <v>2006017</v>
      </c>
      <c r="W53" s="11">
        <v>30</v>
      </c>
      <c r="X53" s="11" t="s">
        <v>38</v>
      </c>
      <c r="Y53" s="15">
        <v>0.25</v>
      </c>
      <c r="Z53" s="11">
        <v>14706102</v>
      </c>
      <c r="AA53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53" s="12">
        <f>DATE(2022,12,29)</f>
        <v>44924</v>
      </c>
      <c r="AC53" s="13">
        <f>TIME(0,11,12)</f>
        <v>7.7777777777777767E-3</v>
      </c>
      <c r="AD53" s="14">
        <f t="shared" si="11"/>
        <v>44924.007777777777</v>
      </c>
      <c r="AE53" s="12">
        <f>DATE(2023,1,1)</f>
        <v>44927</v>
      </c>
      <c r="AF53" s="13">
        <f>TIME(18,9,24)</f>
        <v>0.7565277777777778</v>
      </c>
      <c r="AG53" s="14">
        <f t="shared" si="12"/>
        <v>44927.756527777776</v>
      </c>
      <c r="AH53" s="32" t="str">
        <f t="shared" si="13"/>
        <v>3-h:58:12</v>
      </c>
      <c r="AI53" s="11">
        <f t="shared" si="14"/>
        <v>323891</v>
      </c>
      <c r="AJ53" s="11">
        <v>413</v>
      </c>
      <c r="AK53" s="18">
        <f t="shared" si="15"/>
        <v>9.4249201277955275E-2</v>
      </c>
      <c r="AL53" s="9"/>
      <c r="AM53" s="9"/>
      <c r="AN53" s="9"/>
      <c r="AO53" s="9"/>
      <c r="AP53" s="9"/>
      <c r="AQ53" s="9"/>
    </row>
    <row r="54" spans="11:43">
      <c r="K54" s="9"/>
      <c r="T54" s="9">
        <v>51</v>
      </c>
      <c r="U54" s="11">
        <v>2</v>
      </c>
      <c r="V54" s="11">
        <v>2006017</v>
      </c>
      <c r="W54" s="11">
        <v>45</v>
      </c>
      <c r="X54" s="11" t="s">
        <v>36</v>
      </c>
      <c r="Y54" s="15" t="s">
        <v>37</v>
      </c>
      <c r="Z54" s="11">
        <v>14337343</v>
      </c>
      <c r="AA54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20579835</v>
      </c>
      <c r="AB54" s="12">
        <f>DATE(2022,11,25)</f>
        <v>44890</v>
      </c>
      <c r="AC54" s="13">
        <f>TIME(11,3,38)</f>
        <v>0.46085648148148151</v>
      </c>
      <c r="AD54" s="14">
        <f t="shared" si="11"/>
        <v>44890.460856481484</v>
      </c>
      <c r="AE54" s="12">
        <f>DATE(2022,11,29)</f>
        <v>44894</v>
      </c>
      <c r="AF54" s="13">
        <f>TIME(2,37,23)</f>
        <v>0.10929398148148149</v>
      </c>
      <c r="AG54" s="14">
        <f t="shared" si="12"/>
        <v>44894.109293981484</v>
      </c>
      <c r="AH54" s="32" t="str">
        <f t="shared" si="13"/>
        <v>3-h:33:45</v>
      </c>
      <c r="AI54" s="11">
        <f t="shared" si="14"/>
        <v>315225</v>
      </c>
      <c r="AJ54" s="11">
        <v>1226</v>
      </c>
      <c r="AK54" s="18">
        <f>AJ54/$M$6</f>
        <v>0.9211119459053343</v>
      </c>
      <c r="AL54" s="9"/>
      <c r="AM54" s="9"/>
      <c r="AN54" s="9"/>
      <c r="AO54" s="9"/>
      <c r="AP54" s="9"/>
      <c r="AQ54" s="9"/>
    </row>
    <row r="55" spans="11:43">
      <c r="T55" s="9">
        <v>52</v>
      </c>
      <c r="U55" s="9">
        <v>2</v>
      </c>
      <c r="V55" s="11">
        <v>2006017</v>
      </c>
      <c r="W55" s="11">
        <v>45</v>
      </c>
      <c r="X55" s="11" t="s">
        <v>38</v>
      </c>
      <c r="Y55" s="15">
        <v>1E-3</v>
      </c>
      <c r="Z55" s="11">
        <v>14706124</v>
      </c>
      <c r="AA55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55" s="12">
        <f>DATE(2022,12,29)</f>
        <v>44924</v>
      </c>
      <c r="AC55" s="13">
        <f>TIME(2,3,19)</f>
        <v>8.5636574074074087E-2</v>
      </c>
      <c r="AD55" s="14">
        <f t="shared" si="11"/>
        <v>44924.085636574076</v>
      </c>
      <c r="AE55" s="12">
        <f>DATE(2022,12,31)</f>
        <v>44926</v>
      </c>
      <c r="AF55" s="13">
        <f>TIME(11,58,30)</f>
        <v>0.49895833333333334</v>
      </c>
      <c r="AG55" s="14">
        <f t="shared" si="12"/>
        <v>44926.49895833333</v>
      </c>
      <c r="AH55" s="32" t="str">
        <f t="shared" si="13"/>
        <v>2-h:55:11</v>
      </c>
      <c r="AI55" s="11">
        <f t="shared" si="14"/>
        <v>208510</v>
      </c>
      <c r="AJ55" s="11">
        <v>746</v>
      </c>
      <c r="AK55" s="18">
        <f t="shared" ref="AK55:AK63" si="16">AJ55/$M$6</f>
        <v>0.56048084147257704</v>
      </c>
      <c r="AL55" s="9"/>
      <c r="AM55" s="9"/>
      <c r="AN55" s="9"/>
      <c r="AO55" s="9"/>
      <c r="AP55" s="9"/>
      <c r="AQ55" s="9"/>
    </row>
    <row r="56" spans="11:43">
      <c r="T56" s="9">
        <v>53</v>
      </c>
      <c r="U56" s="9">
        <v>2</v>
      </c>
      <c r="V56" s="11">
        <v>2006017</v>
      </c>
      <c r="W56" s="11">
        <v>45</v>
      </c>
      <c r="X56" s="11" t="s">
        <v>38</v>
      </c>
      <c r="Y56" s="16">
        <v>5.0000000000000001E-3</v>
      </c>
      <c r="Z56" s="11">
        <v>14706127</v>
      </c>
      <c r="AA56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56" s="12">
        <f>DATE(2022,12,29)</f>
        <v>44924</v>
      </c>
      <c r="AC56" s="13">
        <f>TIME(3,43,37)</f>
        <v>0.15528935185185186</v>
      </c>
      <c r="AD56" s="14">
        <f t="shared" si="11"/>
        <v>44924.155289351853</v>
      </c>
      <c r="AE56" s="12">
        <f>DATE(2022,12,31)</f>
        <v>44926</v>
      </c>
      <c r="AF56" s="13">
        <f>TIME(14,9,38)</f>
        <v>0.59002314814814816</v>
      </c>
      <c r="AG56" s="14">
        <f t="shared" si="12"/>
        <v>44926.59002314815</v>
      </c>
      <c r="AH56" s="32" t="str">
        <f t="shared" si="13"/>
        <v>2-h:26:1</v>
      </c>
      <c r="AI56" s="11">
        <f t="shared" si="14"/>
        <v>210361</v>
      </c>
      <c r="AJ56" s="11">
        <v>680</v>
      </c>
      <c r="AK56" s="18">
        <f t="shared" si="16"/>
        <v>0.51089406461307285</v>
      </c>
      <c r="AL56" s="9"/>
      <c r="AM56" s="9"/>
      <c r="AN56" s="9"/>
      <c r="AO56" s="9"/>
      <c r="AP56" s="9"/>
      <c r="AQ56" s="9"/>
    </row>
    <row r="57" spans="11:43">
      <c r="T57" s="9">
        <v>54</v>
      </c>
      <c r="U57" s="9">
        <v>2</v>
      </c>
      <c r="V57" s="11">
        <v>2006017</v>
      </c>
      <c r="W57" s="11">
        <v>45</v>
      </c>
      <c r="X57" s="11" t="s">
        <v>38</v>
      </c>
      <c r="Y57" s="16">
        <v>2.5000000000000001E-2</v>
      </c>
      <c r="Z57" s="11">
        <v>14706131</v>
      </c>
      <c r="AA57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57" s="12">
        <f>DATE(2022,12,29)</f>
        <v>44924</v>
      </c>
      <c r="AC57" s="13">
        <f>TIME(23,10,51)</f>
        <v>0.96586805555555555</v>
      </c>
      <c r="AD57" s="14">
        <f t="shared" si="11"/>
        <v>44924.965868055559</v>
      </c>
      <c r="AE57" s="12">
        <f>DATE(2023,1,1)</f>
        <v>44927</v>
      </c>
      <c r="AF57" s="13">
        <f>TIME(9,2,8)</f>
        <v>0.37648148148148147</v>
      </c>
      <c r="AG57" s="14">
        <f t="shared" si="12"/>
        <v>44927.376481481479</v>
      </c>
      <c r="AH57" s="32" t="str">
        <f t="shared" si="13"/>
        <v>2-h:51:17</v>
      </c>
      <c r="AI57" s="11">
        <f t="shared" si="14"/>
        <v>208276</v>
      </c>
      <c r="AJ57" s="11">
        <v>542</v>
      </c>
      <c r="AK57" s="18">
        <f t="shared" si="16"/>
        <v>0.40721262208865516</v>
      </c>
      <c r="AL57" s="9"/>
      <c r="AM57" s="9"/>
      <c r="AN57" s="9"/>
      <c r="AO57" s="9"/>
      <c r="AP57" s="9"/>
      <c r="AQ57" s="9"/>
    </row>
    <row r="58" spans="11:43">
      <c r="T58" s="9">
        <v>55</v>
      </c>
      <c r="U58" s="9">
        <v>2</v>
      </c>
      <c r="V58" s="11">
        <v>2006017</v>
      </c>
      <c r="W58" s="11">
        <v>45</v>
      </c>
      <c r="X58" s="11" t="s">
        <v>38</v>
      </c>
      <c r="Y58" s="16">
        <v>0.05</v>
      </c>
      <c r="Z58" s="11">
        <v>14801265</v>
      </c>
      <c r="AA58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58" s="12">
        <f>DATE(2022,12,30)</f>
        <v>44925</v>
      </c>
      <c r="AC58" s="13">
        <f>TIME(14,49,26)</f>
        <v>0.61766203703703704</v>
      </c>
      <c r="AD58" s="14">
        <f t="shared" si="11"/>
        <v>44925.617662037039</v>
      </c>
      <c r="AE58" s="12">
        <f>DATE(2023,1,2)</f>
        <v>44928</v>
      </c>
      <c r="AF58" s="13">
        <f>TIME(2,3,16)</f>
        <v>8.560185185185186E-2</v>
      </c>
      <c r="AG58" s="14">
        <f t="shared" si="12"/>
        <v>44928.085601851853</v>
      </c>
      <c r="AH58" s="32" t="str">
        <f t="shared" si="13"/>
        <v>2-h:13:50</v>
      </c>
      <c r="AI58" s="11">
        <f t="shared" si="14"/>
        <v>213229</v>
      </c>
      <c r="AJ58" s="11">
        <v>430</v>
      </c>
      <c r="AK58" s="18">
        <f t="shared" si="16"/>
        <v>0.32306536438767841</v>
      </c>
      <c r="AL58" s="9"/>
      <c r="AM58" s="9"/>
      <c r="AN58" s="9"/>
      <c r="AO58" s="9"/>
      <c r="AP58" s="9"/>
      <c r="AQ58" s="9"/>
    </row>
    <row r="59" spans="11:43">
      <c r="T59" s="9">
        <v>56</v>
      </c>
      <c r="U59" s="9">
        <v>2</v>
      </c>
      <c r="V59" s="11">
        <v>2006017</v>
      </c>
      <c r="W59" s="11">
        <v>45</v>
      </c>
      <c r="X59" s="11" t="s">
        <v>38</v>
      </c>
      <c r="Y59" s="16">
        <v>7.4999999999999997E-2</v>
      </c>
      <c r="Z59" s="11">
        <v>14814220</v>
      </c>
      <c r="AA59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59" s="12">
        <f>DATE(2023,1,2)</f>
        <v>44928</v>
      </c>
      <c r="AC59" s="13">
        <f>TIME(13,0,6)</f>
        <v>0.54173611111111108</v>
      </c>
      <c r="AD59" s="14">
        <f t="shared" si="11"/>
        <v>44928.54173611111</v>
      </c>
      <c r="AE59" s="12">
        <f>DATE(2023,1,4)</f>
        <v>44930</v>
      </c>
      <c r="AF59" s="13">
        <f>TIME(23,32,16)</f>
        <v>0.98074074074074069</v>
      </c>
      <c r="AG59" s="14">
        <f t="shared" si="12"/>
        <v>44930.980740740742</v>
      </c>
      <c r="AH59" s="32" t="str">
        <f t="shared" si="13"/>
        <v>2-h:32:10</v>
      </c>
      <c r="AI59" s="11">
        <f t="shared" si="14"/>
        <v>210730</v>
      </c>
      <c r="AJ59" s="11">
        <v>318</v>
      </c>
      <c r="AK59" s="18">
        <f t="shared" si="16"/>
        <v>0.23891810668670171</v>
      </c>
      <c r="AL59" s="9"/>
      <c r="AM59" s="9"/>
      <c r="AN59" s="9"/>
      <c r="AO59" s="9"/>
      <c r="AP59" s="9"/>
      <c r="AQ59" s="9"/>
    </row>
    <row r="60" spans="11:43">
      <c r="O60" s="21"/>
      <c r="T60" s="9">
        <v>57</v>
      </c>
      <c r="U60" s="11">
        <v>2</v>
      </c>
      <c r="V60" s="11">
        <v>2006017</v>
      </c>
      <c r="W60" s="11">
        <v>45</v>
      </c>
      <c r="X60" s="11" t="s">
        <v>38</v>
      </c>
      <c r="Y60" s="16">
        <v>0.1</v>
      </c>
      <c r="Z60" s="11">
        <v>14337679</v>
      </c>
      <c r="AA60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60" s="12">
        <f>DATE(2022,11,27)</f>
        <v>44892</v>
      </c>
      <c r="AC60" s="13">
        <f>TIME(15,42,37)</f>
        <v>0.65459490740740744</v>
      </c>
      <c r="AD60" s="14">
        <f t="shared" si="11"/>
        <v>44892.654594907406</v>
      </c>
      <c r="AE60" s="12">
        <f>DATE(2022,11,30)</f>
        <v>44895</v>
      </c>
      <c r="AF60" s="13">
        <f>TIME(2,8,51)</f>
        <v>8.9479166666666665E-2</v>
      </c>
      <c r="AG60" s="14">
        <f t="shared" si="12"/>
        <v>44895.089479166665</v>
      </c>
      <c r="AH60" s="32" t="str">
        <f t="shared" si="13"/>
        <v>2-h:26:14</v>
      </c>
      <c r="AI60" s="11">
        <f t="shared" si="14"/>
        <v>210373</v>
      </c>
      <c r="AJ60" s="11">
        <v>419</v>
      </c>
      <c r="AK60" s="18">
        <f t="shared" si="16"/>
        <v>0.31480090157776108</v>
      </c>
      <c r="AL60" s="9"/>
      <c r="AM60" s="9"/>
      <c r="AN60" s="9"/>
      <c r="AO60" s="9"/>
      <c r="AP60" s="9"/>
      <c r="AQ60" s="9"/>
    </row>
    <row r="61" spans="11:43">
      <c r="T61" s="9">
        <v>58</v>
      </c>
      <c r="U61" s="9">
        <v>2</v>
      </c>
      <c r="V61" s="11">
        <v>2006017</v>
      </c>
      <c r="W61" s="11">
        <v>45</v>
      </c>
      <c r="X61" s="11" t="s">
        <v>38</v>
      </c>
      <c r="Y61" s="16">
        <v>0.15</v>
      </c>
      <c r="Z61" s="11">
        <v>14814222</v>
      </c>
      <c r="AA61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61" s="12">
        <f>DATE(2023,1,2)</f>
        <v>44928</v>
      </c>
      <c r="AC61" s="13">
        <f>TIME(13,1,27)</f>
        <v>0.54267361111111112</v>
      </c>
      <c r="AD61" s="14">
        <f t="shared" si="11"/>
        <v>44928.542673611111</v>
      </c>
      <c r="AE61" s="12">
        <f>DATE(2023,1,4)</f>
        <v>44930</v>
      </c>
      <c r="AF61" s="13">
        <f>TIME(23,11,22)</f>
        <v>0.96622685185185186</v>
      </c>
      <c r="AG61" s="14">
        <f t="shared" si="12"/>
        <v>44930.966226851851</v>
      </c>
      <c r="AH61" s="32" t="str">
        <f t="shared" si="13"/>
        <v>2-h:9:55</v>
      </c>
      <c r="AI61" s="11">
        <f t="shared" si="14"/>
        <v>209394</v>
      </c>
      <c r="AJ61" s="11">
        <v>496</v>
      </c>
      <c r="AK61" s="18">
        <f t="shared" si="16"/>
        <v>0.37265214124718254</v>
      </c>
      <c r="AL61" s="9"/>
      <c r="AM61" s="9"/>
      <c r="AN61" s="9"/>
      <c r="AO61" s="9"/>
      <c r="AP61" s="9"/>
      <c r="AQ61" s="9"/>
    </row>
    <row r="62" spans="11:43">
      <c r="T62" s="9">
        <v>59</v>
      </c>
      <c r="U62" s="9">
        <v>2</v>
      </c>
      <c r="V62" s="11">
        <v>2006017</v>
      </c>
      <c r="W62" s="11">
        <v>45</v>
      </c>
      <c r="X62" s="11" t="s">
        <v>38</v>
      </c>
      <c r="Y62" s="16">
        <v>0.2</v>
      </c>
      <c r="Z62" s="11">
        <v>14814227</v>
      </c>
      <c r="AA62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62" s="12">
        <f>DATE(2023,1,2)</f>
        <v>44928</v>
      </c>
      <c r="AC62" s="13">
        <f>TIME(13,2,24)</f>
        <v>0.54333333333333333</v>
      </c>
      <c r="AD62" s="14">
        <f t="shared" si="11"/>
        <v>44928.543333333335</v>
      </c>
      <c r="AE62" s="12">
        <f>DATE(2023,1,4)</f>
        <v>44930</v>
      </c>
      <c r="AF62" s="13">
        <f>TIME(23,41,12)</f>
        <v>0.98694444444444451</v>
      </c>
      <c r="AG62" s="14">
        <f t="shared" si="12"/>
        <v>44930.986944444441</v>
      </c>
      <c r="AH62" s="32" t="str">
        <f t="shared" si="13"/>
        <v>2-h:38:48</v>
      </c>
      <c r="AI62" s="11">
        <f t="shared" si="14"/>
        <v>211127</v>
      </c>
      <c r="AJ62" s="11">
        <v>236</v>
      </c>
      <c r="AK62" s="18">
        <f t="shared" si="16"/>
        <v>0.17731029301277235</v>
      </c>
      <c r="AL62" s="9"/>
      <c r="AM62" s="9"/>
      <c r="AN62" s="9"/>
      <c r="AO62" s="9"/>
      <c r="AP62" s="9"/>
      <c r="AQ62" s="9"/>
    </row>
    <row r="63" spans="11:43" ht="16.149999999999999" customHeight="1">
      <c r="T63" s="9">
        <v>60</v>
      </c>
      <c r="U63" s="9">
        <v>2</v>
      </c>
      <c r="V63" s="11">
        <v>2006017</v>
      </c>
      <c r="W63" s="11">
        <v>45</v>
      </c>
      <c r="X63" s="11" t="s">
        <v>38</v>
      </c>
      <c r="Y63" s="16">
        <v>0.25</v>
      </c>
      <c r="Z63" s="11">
        <v>14814230</v>
      </c>
      <c r="AA63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63" s="12">
        <f>DATE(2023,1,2)</f>
        <v>44928</v>
      </c>
      <c r="AC63" s="13">
        <f>TIME(13,3,14)</f>
        <v>0.54391203703703705</v>
      </c>
      <c r="AD63" s="14">
        <f t="shared" si="11"/>
        <v>44928.543912037036</v>
      </c>
      <c r="AE63" s="12">
        <f>DATE(2023,1,4)</f>
        <v>44930</v>
      </c>
      <c r="AF63" s="13">
        <f>TIME(20,53,2)</f>
        <v>0.87016203703703709</v>
      </c>
      <c r="AG63" s="14">
        <f t="shared" si="12"/>
        <v>44930.870162037034</v>
      </c>
      <c r="AH63" s="32" t="str">
        <f t="shared" si="13"/>
        <v>2-h:49:48</v>
      </c>
      <c r="AI63" s="11">
        <f t="shared" si="14"/>
        <v>200987</v>
      </c>
      <c r="AJ63" s="11">
        <v>346</v>
      </c>
      <c r="AK63" s="18">
        <f t="shared" si="16"/>
        <v>0.2599549211119459</v>
      </c>
      <c r="AL63" s="9"/>
      <c r="AM63" s="9"/>
      <c r="AN63" s="9"/>
      <c r="AO63" s="9"/>
      <c r="AP63" s="9"/>
      <c r="AQ63" s="9"/>
    </row>
    <row r="64" spans="11:43" ht="14.45" customHeight="1">
      <c r="T64" s="9">
        <v>61</v>
      </c>
      <c r="U64" s="11">
        <v>2</v>
      </c>
      <c r="V64" s="11">
        <v>2006017</v>
      </c>
      <c r="W64" s="11">
        <v>60</v>
      </c>
      <c r="X64" s="11" t="s">
        <v>36</v>
      </c>
      <c r="Y64" s="15" t="s">
        <v>37</v>
      </c>
      <c r="Z64" s="11">
        <v>14337344</v>
      </c>
      <c r="AA64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15434875</v>
      </c>
      <c r="AB64" s="12">
        <f>DATE(2022,11,26)</f>
        <v>44891</v>
      </c>
      <c r="AC64" s="13">
        <f>TIME(23,17,28)</f>
        <v>0.97046296296296297</v>
      </c>
      <c r="AD64" s="14">
        <f t="shared" si="11"/>
        <v>44891.970462962963</v>
      </c>
      <c r="AE64" s="12">
        <f>DATE(2022,11,29)</f>
        <v>44894</v>
      </c>
      <c r="AF64" s="13">
        <f>TIME(9,9,13)</f>
        <v>0.38140046296296298</v>
      </c>
      <c r="AG64" s="14">
        <f t="shared" si="12"/>
        <v>44894.38140046296</v>
      </c>
      <c r="AH64" s="32" t="str">
        <f t="shared" si="13"/>
        <v>2-h:51:45</v>
      </c>
      <c r="AI64" s="11">
        <f t="shared" si="14"/>
        <v>208304</v>
      </c>
      <c r="AJ64" s="11">
        <v>495</v>
      </c>
      <c r="AK64" s="18">
        <f>AJ64/$M$7</f>
        <v>0.94827586206896552</v>
      </c>
      <c r="AL64" s="9"/>
      <c r="AM64" s="9"/>
      <c r="AN64" s="9"/>
      <c r="AO64" s="9"/>
      <c r="AP64" s="9"/>
      <c r="AQ64" s="9"/>
    </row>
    <row r="65" spans="1:43">
      <c r="T65" s="9">
        <v>62</v>
      </c>
      <c r="U65" s="9">
        <v>2</v>
      </c>
      <c r="V65" s="11">
        <v>2006017</v>
      </c>
      <c r="W65" s="11">
        <v>60</v>
      </c>
      <c r="X65" s="11" t="s">
        <v>38</v>
      </c>
      <c r="Y65" s="16">
        <v>1E-3</v>
      </c>
      <c r="Z65" s="11">
        <v>14814233</v>
      </c>
      <c r="AA65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65" s="12">
        <f>DATE(2023,1,2)</f>
        <v>44928</v>
      </c>
      <c r="AC65" s="13">
        <f>TIME(13,4,0)</f>
        <v>0.5444444444444444</v>
      </c>
      <c r="AD65" s="14">
        <f t="shared" si="11"/>
        <v>44928.544444444444</v>
      </c>
      <c r="AE65" s="12">
        <f>DATE(2023,1,4)</f>
        <v>44930</v>
      </c>
      <c r="AF65" s="13">
        <f>TIME(8,40,38)</f>
        <v>0.36155092592592591</v>
      </c>
      <c r="AG65" s="14">
        <f t="shared" si="12"/>
        <v>44930.361550925925</v>
      </c>
      <c r="AH65" s="32" t="str">
        <f t="shared" si="13"/>
        <v>1-h:36:38</v>
      </c>
      <c r="AI65" s="11">
        <f t="shared" si="14"/>
        <v>156997</v>
      </c>
      <c r="AJ65" s="11">
        <v>404</v>
      </c>
      <c r="AK65" s="18">
        <f t="shared" ref="AK65:AK73" si="17">AJ65/$M$7</f>
        <v>0.77394636015325668</v>
      </c>
      <c r="AL65" s="9"/>
      <c r="AM65" s="9"/>
      <c r="AN65" s="9"/>
      <c r="AO65" s="9"/>
      <c r="AP65" s="9"/>
      <c r="AQ65" s="9"/>
    </row>
    <row r="66" spans="1:43">
      <c r="T66" s="9">
        <v>63</v>
      </c>
      <c r="U66" s="9">
        <v>2</v>
      </c>
      <c r="V66" s="11">
        <v>2006017</v>
      </c>
      <c r="W66" s="11">
        <v>60</v>
      </c>
      <c r="X66" s="11" t="s">
        <v>38</v>
      </c>
      <c r="Y66" s="15">
        <v>5.0000000000000001E-3</v>
      </c>
      <c r="Z66" s="11">
        <v>14814238</v>
      </c>
      <c r="AA66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66" s="12">
        <f>DATE(2023,1,2)</f>
        <v>44928</v>
      </c>
      <c r="AC66" s="13">
        <f>TIME(13,4,48)</f>
        <v>0.54500000000000004</v>
      </c>
      <c r="AD66" s="14">
        <f t="shared" si="11"/>
        <v>44928.544999999998</v>
      </c>
      <c r="AE66" s="12">
        <f>DATE(2023,1,4)</f>
        <v>44930</v>
      </c>
      <c r="AF66" s="13">
        <f>TIME(8,57,12)</f>
        <v>0.37305555555555553</v>
      </c>
      <c r="AG66" s="14">
        <f t="shared" si="12"/>
        <v>44930.373055555552</v>
      </c>
      <c r="AH66" s="32" t="str">
        <f t="shared" si="13"/>
        <v>1-h:52:24</v>
      </c>
      <c r="AI66" s="11">
        <f t="shared" si="14"/>
        <v>157943</v>
      </c>
      <c r="AJ66" s="11">
        <v>372</v>
      </c>
      <c r="AK66" s="18">
        <f t="shared" si="17"/>
        <v>0.71264367816091956</v>
      </c>
      <c r="AL66" s="9"/>
      <c r="AM66" s="9"/>
      <c r="AN66" s="9"/>
      <c r="AO66" s="9"/>
      <c r="AP66" s="9"/>
      <c r="AQ66" s="9"/>
    </row>
    <row r="67" spans="1:43">
      <c r="C67" s="9"/>
      <c r="D67" s="20"/>
      <c r="T67" s="9">
        <v>64</v>
      </c>
      <c r="U67" s="9">
        <v>2</v>
      </c>
      <c r="V67" s="11">
        <v>2006017</v>
      </c>
      <c r="W67" s="11">
        <v>60</v>
      </c>
      <c r="X67" s="11" t="s">
        <v>38</v>
      </c>
      <c r="Y67" s="15">
        <v>2.5000000000000001E-2</v>
      </c>
      <c r="Z67" s="11">
        <v>14814240</v>
      </c>
      <c r="AA67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67" s="12">
        <f>DATE(2023,1,2)</f>
        <v>44928</v>
      </c>
      <c r="AC67" s="13">
        <f>TIME(21,1,7)</f>
        <v>0.87577546296296294</v>
      </c>
      <c r="AD67" s="14">
        <f t="shared" si="11"/>
        <v>44928.875775462962</v>
      </c>
      <c r="AE67" s="12">
        <f>DATE(2023,1,4)</f>
        <v>44930</v>
      </c>
      <c r="AF67" s="13">
        <f>TIME(16,48,50)</f>
        <v>0.70057870370370379</v>
      </c>
      <c r="AG67" s="14">
        <f t="shared" si="12"/>
        <v>44930.700578703705</v>
      </c>
      <c r="AH67" s="32" t="str">
        <f t="shared" si="13"/>
        <v>1-h:47:43</v>
      </c>
      <c r="AI67" s="11">
        <f t="shared" si="14"/>
        <v>157663</v>
      </c>
      <c r="AJ67" s="11">
        <v>244</v>
      </c>
      <c r="AK67" s="18">
        <f t="shared" si="17"/>
        <v>0.46743295019157088</v>
      </c>
      <c r="AL67" s="9"/>
      <c r="AM67" s="9"/>
      <c r="AN67" s="9"/>
      <c r="AO67" s="9"/>
      <c r="AP67" s="9"/>
      <c r="AQ67" s="9"/>
    </row>
    <row r="68" spans="1:43" ht="16.149999999999999" customHeight="1">
      <c r="A68" s="4"/>
      <c r="B68" s="4"/>
      <c r="C68" s="4"/>
      <c r="D68" s="4"/>
      <c r="E68" s="4"/>
      <c r="F68" s="4"/>
      <c r="G68" s="4"/>
      <c r="H68" s="4"/>
      <c r="T68" s="9">
        <v>65</v>
      </c>
      <c r="U68" s="9">
        <v>2</v>
      </c>
      <c r="V68" s="11">
        <v>2006017</v>
      </c>
      <c r="W68" s="11">
        <v>60</v>
      </c>
      <c r="X68" s="11" t="s">
        <v>38</v>
      </c>
      <c r="Y68" s="15">
        <v>0.05</v>
      </c>
      <c r="Z68" s="11">
        <v>14814242</v>
      </c>
      <c r="AA68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68" s="12">
        <f>DATE(2023,1,2)</f>
        <v>44928</v>
      </c>
      <c r="AC68" s="13">
        <f>TIME(21,1,7)</f>
        <v>0.87577546296296294</v>
      </c>
      <c r="AD68" s="14">
        <f t="shared" ref="AD68:AD83" si="18">AB68+AC68</f>
        <v>44928.875775462962</v>
      </c>
      <c r="AE68" s="12">
        <f>DATE(2023,1,4)</f>
        <v>44930</v>
      </c>
      <c r="AF68" s="13">
        <f>TIME(16,20,20)</f>
        <v>0.68078703703703702</v>
      </c>
      <c r="AG68" s="14">
        <f t="shared" ref="AG68:AG83" si="19">AE68+AF68</f>
        <v>44930.680787037039</v>
      </c>
      <c r="AH68" s="32" t="str">
        <f t="shared" ref="AH68:AH83" si="20">INT(AG68-AD68) &amp; "-"&amp; TEXT(AG68-AD68,"h"":""m"":""s""""")</f>
        <v>1-h:19:13</v>
      </c>
      <c r="AI68" s="11">
        <f t="shared" ref="AI68:AI83" si="21">INT((AG68-AD68) * 86400)</f>
        <v>155953</v>
      </c>
      <c r="AJ68" s="11">
        <v>274</v>
      </c>
      <c r="AK68" s="18">
        <f t="shared" si="17"/>
        <v>0.52490421455938696</v>
      </c>
      <c r="AL68" s="9"/>
      <c r="AM68" s="9"/>
      <c r="AN68" s="9"/>
      <c r="AO68" s="9"/>
      <c r="AP68" s="9"/>
      <c r="AQ68" s="9"/>
    </row>
    <row r="69" spans="1:43">
      <c r="A69" s="11"/>
      <c r="B69" s="11"/>
      <c r="C69" s="15"/>
      <c r="D69" s="9"/>
      <c r="F69" s="17"/>
      <c r="G69" s="17"/>
      <c r="H69" s="17"/>
      <c r="T69" s="9">
        <v>66</v>
      </c>
      <c r="U69" s="9">
        <v>2</v>
      </c>
      <c r="V69" s="11">
        <v>2006017</v>
      </c>
      <c r="W69" s="11">
        <v>60</v>
      </c>
      <c r="X69" s="11" t="s">
        <v>38</v>
      </c>
      <c r="Y69" s="15">
        <v>7.4999999999999997E-2</v>
      </c>
      <c r="Z69" s="11">
        <v>14814246</v>
      </c>
      <c r="AA69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69" s="12">
        <f>DATE(2023,1,2)</f>
        <v>44928</v>
      </c>
      <c r="AC69" s="13">
        <f>TIME(23,11,15)</f>
        <v>0.96614583333333337</v>
      </c>
      <c r="AD69" s="14">
        <f t="shared" si="18"/>
        <v>44928.966145833336</v>
      </c>
      <c r="AE69" s="12">
        <f>DATE(2023,1,4)</f>
        <v>44930</v>
      </c>
      <c r="AF69" s="13">
        <f>TIME(17,30,23)</f>
        <v>0.72943287037037041</v>
      </c>
      <c r="AG69" s="14">
        <f t="shared" si="19"/>
        <v>44930.729432870372</v>
      </c>
      <c r="AH69" s="32" t="str">
        <f t="shared" si="20"/>
        <v>1-h:19:8</v>
      </c>
      <c r="AI69" s="11">
        <f t="shared" si="21"/>
        <v>152347</v>
      </c>
      <c r="AJ69" s="11">
        <v>187</v>
      </c>
      <c r="AK69" s="18">
        <f t="shared" si="17"/>
        <v>0.35823754789272033</v>
      </c>
      <c r="AL69" s="9"/>
      <c r="AM69" s="9"/>
      <c r="AN69" s="9"/>
      <c r="AO69" s="9"/>
      <c r="AP69" s="9"/>
      <c r="AQ69" s="9"/>
    </row>
    <row r="70" spans="1:43">
      <c r="A70" s="11"/>
      <c r="B70" s="11"/>
      <c r="C70" s="15"/>
      <c r="D70" s="9"/>
      <c r="F70" s="17"/>
      <c r="G70" s="17"/>
      <c r="H70" s="17"/>
      <c r="T70" s="9">
        <v>67</v>
      </c>
      <c r="U70" s="11">
        <v>2</v>
      </c>
      <c r="V70" s="11">
        <v>2006017</v>
      </c>
      <c r="W70" s="11">
        <v>60</v>
      </c>
      <c r="X70" s="11" t="s">
        <v>38</v>
      </c>
      <c r="Y70" s="16">
        <v>0.1</v>
      </c>
      <c r="Z70" s="11">
        <v>14337696</v>
      </c>
      <c r="AA70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70" s="12">
        <f>DATE(2022,11,27)</f>
        <v>44892</v>
      </c>
      <c r="AC70" s="13">
        <f>TIME(18,27,34)</f>
        <v>0.76914351851851848</v>
      </c>
      <c r="AD70" s="14">
        <f t="shared" si="18"/>
        <v>44892.769143518519</v>
      </c>
      <c r="AE70" s="12">
        <f>DATE(2022,11,29)</f>
        <v>44894</v>
      </c>
      <c r="AF70" s="13">
        <f>TIME(12,49,34)</f>
        <v>0.53442129629629631</v>
      </c>
      <c r="AG70" s="14">
        <f t="shared" si="19"/>
        <v>44894.534421296295</v>
      </c>
      <c r="AH70" s="32" t="str">
        <f t="shared" si="20"/>
        <v>1-h:22:0</v>
      </c>
      <c r="AI70" s="11">
        <f t="shared" si="21"/>
        <v>152519</v>
      </c>
      <c r="AJ70" s="11">
        <v>299</v>
      </c>
      <c r="AK70" s="18">
        <f t="shared" si="17"/>
        <v>0.57279693486590033</v>
      </c>
      <c r="AL70" s="9"/>
      <c r="AM70" s="9"/>
      <c r="AN70" s="9"/>
      <c r="AO70" s="9"/>
      <c r="AP70" s="9"/>
      <c r="AQ70" s="9"/>
    </row>
    <row r="71" spans="1:43">
      <c r="A71" s="11"/>
      <c r="B71" s="11"/>
      <c r="C71" s="15"/>
      <c r="D71" s="9"/>
      <c r="F71" s="17"/>
      <c r="G71" s="17"/>
      <c r="H71" s="17"/>
      <c r="T71" s="9">
        <v>68</v>
      </c>
      <c r="U71" s="9">
        <v>2</v>
      </c>
      <c r="V71" s="11">
        <v>2006017</v>
      </c>
      <c r="W71" s="11">
        <v>60</v>
      </c>
      <c r="X71" s="11" t="s">
        <v>38</v>
      </c>
      <c r="Y71" s="16">
        <v>0.15</v>
      </c>
      <c r="Z71" s="11">
        <v>14814249</v>
      </c>
      <c r="AA71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71" s="12">
        <f>DATE(2023,1,3)</f>
        <v>44929</v>
      </c>
      <c r="AC71" s="13">
        <f>TIME(2,43,55)</f>
        <v>0.11383101851851851</v>
      </c>
      <c r="AD71" s="14">
        <f t="shared" si="18"/>
        <v>44929.11383101852</v>
      </c>
      <c r="AE71" s="12">
        <f>DATE(2023,1,4)</f>
        <v>44930</v>
      </c>
      <c r="AF71" s="13">
        <f>TIME(21,39,18)</f>
        <v>0.90229166666666671</v>
      </c>
      <c r="AG71" s="14">
        <f t="shared" si="19"/>
        <v>44930.902291666665</v>
      </c>
      <c r="AH71" s="32" t="str">
        <f t="shared" si="20"/>
        <v>1-h:55:23</v>
      </c>
      <c r="AI71" s="11">
        <f t="shared" si="21"/>
        <v>154522</v>
      </c>
      <c r="AJ71" s="11">
        <v>172</v>
      </c>
      <c r="AK71" s="18">
        <f t="shared" si="17"/>
        <v>0.32950191570881227</v>
      </c>
      <c r="AL71" s="9"/>
      <c r="AM71" s="9"/>
      <c r="AN71" s="9"/>
      <c r="AO71" s="9"/>
      <c r="AP71" s="9"/>
      <c r="AQ71" s="9"/>
    </row>
    <row r="72" spans="1:43">
      <c r="A72" s="11"/>
      <c r="B72" s="11"/>
      <c r="C72" s="15"/>
      <c r="D72" s="9"/>
      <c r="F72" s="17"/>
      <c r="G72" s="17"/>
      <c r="H72" s="17"/>
      <c r="T72" s="9">
        <v>69</v>
      </c>
      <c r="U72" s="9">
        <v>2</v>
      </c>
      <c r="V72" s="11">
        <v>2006017</v>
      </c>
      <c r="W72" s="11">
        <v>60</v>
      </c>
      <c r="X72" s="11" t="s">
        <v>38</v>
      </c>
      <c r="Y72" s="16">
        <v>0.2</v>
      </c>
      <c r="Z72" s="11">
        <v>14814250</v>
      </c>
      <c r="AA72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72" s="12">
        <f>DATE(2023,1,3)</f>
        <v>44929</v>
      </c>
      <c r="AC72" s="13">
        <f>TIME(2,51,37)</f>
        <v>0.11917824074074074</v>
      </c>
      <c r="AD72" s="14">
        <f t="shared" si="18"/>
        <v>44929.11917824074</v>
      </c>
      <c r="AE72" s="12">
        <f>DATE(2023,1,4)</f>
        <v>44930</v>
      </c>
      <c r="AF72" s="13">
        <f>TIME(20,51,13)</f>
        <v>0.86890046296296297</v>
      </c>
      <c r="AG72" s="14">
        <f t="shared" si="19"/>
        <v>44930.868900462963</v>
      </c>
      <c r="AH72" s="32" t="str">
        <f t="shared" si="20"/>
        <v>1-h:59:36</v>
      </c>
      <c r="AI72" s="11">
        <f t="shared" si="21"/>
        <v>151176</v>
      </c>
      <c r="AJ72" s="11">
        <v>278</v>
      </c>
      <c r="AK72" s="18">
        <f t="shared" si="17"/>
        <v>0.53256704980842917</v>
      </c>
      <c r="AL72" s="9"/>
      <c r="AM72" s="9"/>
      <c r="AN72" s="9"/>
      <c r="AO72" s="9"/>
      <c r="AP72" s="9"/>
      <c r="AQ72" s="9"/>
    </row>
    <row r="73" spans="1:43">
      <c r="A73" s="11"/>
      <c r="B73" s="11"/>
      <c r="C73" s="19"/>
      <c r="D73" s="11"/>
      <c r="E73" s="10"/>
      <c r="F73" s="17"/>
      <c r="G73" s="17"/>
      <c r="H73" s="17"/>
      <c r="T73" s="9">
        <v>70</v>
      </c>
      <c r="U73" s="9">
        <v>2</v>
      </c>
      <c r="V73" s="11">
        <v>2006017</v>
      </c>
      <c r="W73" s="11">
        <v>60</v>
      </c>
      <c r="X73" s="11" t="s">
        <v>38</v>
      </c>
      <c r="Y73" s="16">
        <v>0.25</v>
      </c>
      <c r="Z73" s="11">
        <v>14814252</v>
      </c>
      <c r="AA73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73" s="12">
        <f>DATE(2023,1,3)</f>
        <v>44929</v>
      </c>
      <c r="AC73" s="13">
        <f>TIME(6,1,3)</f>
        <v>0.25072916666666667</v>
      </c>
      <c r="AD73" s="14">
        <f t="shared" si="18"/>
        <v>44929.25072916667</v>
      </c>
      <c r="AE73" s="12">
        <f>DATE(2023,1,4)</f>
        <v>44930</v>
      </c>
      <c r="AF73" s="13">
        <f>TIME(23,56,46)</f>
        <v>0.99775462962962969</v>
      </c>
      <c r="AG73" s="14">
        <f t="shared" si="19"/>
        <v>44930.997754629629</v>
      </c>
      <c r="AH73" s="32" t="str">
        <f t="shared" si="20"/>
        <v>1-h:55:43</v>
      </c>
      <c r="AI73" s="11">
        <f t="shared" si="21"/>
        <v>150942</v>
      </c>
      <c r="AJ73" s="11">
        <v>129</v>
      </c>
      <c r="AK73" s="18">
        <f t="shared" si="17"/>
        <v>0.2471264367816092</v>
      </c>
      <c r="AL73" s="9"/>
      <c r="AM73" s="9"/>
      <c r="AN73" s="9"/>
      <c r="AO73" s="9"/>
      <c r="AP73" s="9"/>
      <c r="AQ73" s="9"/>
    </row>
    <row r="74" spans="1:43">
      <c r="A74" s="11"/>
      <c r="B74" s="11"/>
      <c r="C74" s="19"/>
      <c r="D74" s="11"/>
      <c r="E74" s="10"/>
      <c r="F74" s="17"/>
      <c r="G74" s="17"/>
      <c r="H74" s="17"/>
      <c r="T74" s="9">
        <v>71</v>
      </c>
      <c r="U74" s="11">
        <v>2</v>
      </c>
      <c r="V74" s="70">
        <v>2005341</v>
      </c>
      <c r="W74" s="11">
        <v>75</v>
      </c>
      <c r="X74" s="11" t="s">
        <v>36</v>
      </c>
      <c r="Y74" s="15" t="s">
        <v>37</v>
      </c>
      <c r="Z74" s="11">
        <v>14337488</v>
      </c>
      <c r="AA74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12347901</v>
      </c>
      <c r="AB74" s="12">
        <f>DATE(2022,11,23)</f>
        <v>44888</v>
      </c>
      <c r="AC74" s="13">
        <f>TIME(15,26,46)</f>
        <v>0.64358796296296295</v>
      </c>
      <c r="AD74" s="14">
        <f t="shared" si="18"/>
        <v>44888.643587962964</v>
      </c>
      <c r="AE74" s="12">
        <f>DATE(2022,11,25)</f>
        <v>44890</v>
      </c>
      <c r="AF74" s="13">
        <f>TIME(15,22,49)</f>
        <v>0.6408449074074074</v>
      </c>
      <c r="AG74" s="14">
        <f t="shared" si="19"/>
        <v>44890.640844907408</v>
      </c>
      <c r="AH74" s="32" t="str">
        <f t="shared" si="20"/>
        <v>1-h:56:3</v>
      </c>
      <c r="AI74" s="11">
        <f t="shared" si="21"/>
        <v>172562</v>
      </c>
      <c r="AJ74" s="11">
        <v>282</v>
      </c>
      <c r="AK74" s="18">
        <f>AJ74/$M$8</f>
        <v>0.92459016393442628</v>
      </c>
      <c r="AL74" s="9"/>
      <c r="AM74" s="9"/>
      <c r="AN74" s="9"/>
      <c r="AO74" s="9"/>
      <c r="AP74" s="9"/>
      <c r="AQ74" s="9"/>
    </row>
    <row r="75" spans="1:43">
      <c r="A75" s="11"/>
      <c r="B75" s="11"/>
      <c r="C75" s="19"/>
      <c r="D75" s="11"/>
      <c r="E75" s="10"/>
      <c r="F75" s="17"/>
      <c r="G75" s="17"/>
      <c r="H75" s="17"/>
      <c r="T75" s="9">
        <v>72</v>
      </c>
      <c r="U75" s="9">
        <v>2</v>
      </c>
      <c r="V75" s="11">
        <v>2006017</v>
      </c>
      <c r="W75" s="11">
        <v>75</v>
      </c>
      <c r="X75" s="11" t="s">
        <v>38</v>
      </c>
      <c r="Y75" s="16">
        <v>1E-3</v>
      </c>
      <c r="Z75" s="11">
        <v>14814253</v>
      </c>
      <c r="AA75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75" s="12">
        <f>DATE(2023,1,3)</f>
        <v>44929</v>
      </c>
      <c r="AC75" s="13">
        <f>TIME(7,1,35)</f>
        <v>0.29276620370370371</v>
      </c>
      <c r="AD75" s="14">
        <f t="shared" si="18"/>
        <v>44929.292766203704</v>
      </c>
      <c r="AE75" s="12">
        <f>DATE(2023,1,4)</f>
        <v>44930</v>
      </c>
      <c r="AF75" s="13">
        <f>TIME(17,39,18)</f>
        <v>0.73562500000000008</v>
      </c>
      <c r="AG75" s="14">
        <f t="shared" si="19"/>
        <v>44930.735625000001</v>
      </c>
      <c r="AH75" s="32" t="str">
        <f t="shared" si="20"/>
        <v>1-h:37:43</v>
      </c>
      <c r="AI75" s="11">
        <f t="shared" si="21"/>
        <v>124663</v>
      </c>
      <c r="AJ75" s="11">
        <v>224</v>
      </c>
      <c r="AK75" s="18">
        <f t="shared" ref="AK75:AK83" si="22">AJ75/$M$8</f>
        <v>0.73442622950819669</v>
      </c>
      <c r="AL75" s="9"/>
      <c r="AM75" s="9"/>
      <c r="AN75" s="9"/>
      <c r="AO75" s="9"/>
      <c r="AP75" s="9"/>
      <c r="AQ75" s="9"/>
    </row>
    <row r="76" spans="1:43">
      <c r="A76" s="11"/>
      <c r="B76" s="11"/>
      <c r="C76" s="19"/>
      <c r="D76" s="11"/>
      <c r="E76" s="10"/>
      <c r="F76" s="17"/>
      <c r="G76" s="17"/>
      <c r="H76" s="17"/>
      <c r="T76" s="9">
        <v>73</v>
      </c>
      <c r="U76" s="11">
        <v>2</v>
      </c>
      <c r="V76" s="70">
        <v>2005341</v>
      </c>
      <c r="W76" s="11">
        <v>75</v>
      </c>
      <c r="X76" s="11" t="s">
        <v>38</v>
      </c>
      <c r="Y76" s="16">
        <v>5.0000000000000001E-3</v>
      </c>
      <c r="Z76" s="11">
        <v>14337874</v>
      </c>
      <c r="AA76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76" s="12">
        <f>DATE(2022,11,27)</f>
        <v>44892</v>
      </c>
      <c r="AC76" s="13">
        <f>TIME(18,34,40)</f>
        <v>0.77407407407407414</v>
      </c>
      <c r="AD76" s="14">
        <f t="shared" si="18"/>
        <v>44892.774074074077</v>
      </c>
      <c r="AE76" s="12">
        <f>DATE(2022,11,29)</f>
        <v>44894</v>
      </c>
      <c r="AF76" s="13">
        <f>TIME(4,14,33)</f>
        <v>0.17677083333333332</v>
      </c>
      <c r="AG76" s="14">
        <f t="shared" si="19"/>
        <v>44894.176770833335</v>
      </c>
      <c r="AH76" s="32" t="str">
        <f t="shared" si="20"/>
        <v>1-h:39:53</v>
      </c>
      <c r="AI76" s="11">
        <f t="shared" si="21"/>
        <v>121192</v>
      </c>
      <c r="AJ76" s="11">
        <v>208</v>
      </c>
      <c r="AK76" s="18">
        <f t="shared" si="22"/>
        <v>0.68196721311475406</v>
      </c>
      <c r="AL76" s="9"/>
      <c r="AM76" s="9"/>
      <c r="AN76" s="9"/>
      <c r="AO76" s="9"/>
      <c r="AP76" s="9"/>
      <c r="AQ76" s="9"/>
    </row>
    <row r="77" spans="1:43">
      <c r="A77" s="11"/>
      <c r="B77" s="11"/>
      <c r="C77" s="19"/>
      <c r="D77" s="11"/>
      <c r="E77" s="10"/>
      <c r="F77" s="17"/>
      <c r="G77" s="17"/>
      <c r="H77" s="17"/>
      <c r="T77" s="9">
        <v>74</v>
      </c>
      <c r="U77" s="9">
        <v>2</v>
      </c>
      <c r="V77" s="11">
        <v>2006017</v>
      </c>
      <c r="W77" s="11">
        <v>75</v>
      </c>
      <c r="X77" s="11" t="s">
        <v>38</v>
      </c>
      <c r="Y77" s="16">
        <v>2.5000000000000001E-2</v>
      </c>
      <c r="Z77" s="11">
        <v>14814254</v>
      </c>
      <c r="AA77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77" s="12">
        <f>DATE(2023,1,3)</f>
        <v>44929</v>
      </c>
      <c r="AC77" s="13">
        <f>TIME(8,33,58)</f>
        <v>0.35692129629629626</v>
      </c>
      <c r="AD77" s="14">
        <f t="shared" si="18"/>
        <v>44929.356921296298</v>
      </c>
      <c r="AE77" s="12">
        <f>DATE(2023,1,4)</f>
        <v>44930</v>
      </c>
      <c r="AF77" s="13">
        <f>TIME(20,0,30)</f>
        <v>0.83368055555555554</v>
      </c>
      <c r="AG77" s="14">
        <f t="shared" si="19"/>
        <v>44930.833680555559</v>
      </c>
      <c r="AH77" s="32" t="str">
        <f t="shared" si="20"/>
        <v>1-h:26:32</v>
      </c>
      <c r="AI77" s="11">
        <f t="shared" si="21"/>
        <v>127592</v>
      </c>
      <c r="AJ77" s="11">
        <v>158</v>
      </c>
      <c r="AK77" s="18">
        <f t="shared" si="22"/>
        <v>0.5180327868852459</v>
      </c>
      <c r="AL77" s="9"/>
      <c r="AM77" s="9"/>
      <c r="AN77" s="9"/>
      <c r="AO77" s="9"/>
      <c r="AP77" s="9"/>
      <c r="AQ77" s="9"/>
    </row>
    <row r="78" spans="1:43">
      <c r="A78" s="11"/>
      <c r="B78" s="11"/>
      <c r="C78" s="19"/>
      <c r="D78" s="11"/>
      <c r="E78" s="10"/>
      <c r="F78" s="17"/>
      <c r="G78" s="17"/>
      <c r="H78" s="17"/>
      <c r="T78" s="9">
        <v>75</v>
      </c>
      <c r="U78" s="9">
        <v>2</v>
      </c>
      <c r="V78" s="11">
        <v>2006017</v>
      </c>
      <c r="W78" s="11">
        <v>75</v>
      </c>
      <c r="X78" s="11" t="s">
        <v>38</v>
      </c>
      <c r="Y78" s="16">
        <v>0.05</v>
      </c>
      <c r="Z78" s="11">
        <v>14814259</v>
      </c>
      <c r="AA78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78" s="12">
        <f>DATE(2023,1,4)</f>
        <v>44930</v>
      </c>
      <c r="AC78" s="13">
        <f>TIME(4,39,10)</f>
        <v>0.19386574074074073</v>
      </c>
      <c r="AD78" s="14">
        <f t="shared" si="18"/>
        <v>44930.193865740737</v>
      </c>
      <c r="AE78" s="12">
        <f>DATE(2023,1,5)</f>
        <v>44931</v>
      </c>
      <c r="AF78" s="13">
        <f>TIME(15,58,35)</f>
        <v>0.66568287037037044</v>
      </c>
      <c r="AG78" s="14">
        <f t="shared" si="19"/>
        <v>44931.665682870371</v>
      </c>
      <c r="AH78" s="32" t="str">
        <f t="shared" si="20"/>
        <v>1-h:19:25</v>
      </c>
      <c r="AI78" s="11">
        <f t="shared" si="21"/>
        <v>127165</v>
      </c>
      <c r="AJ78" s="11">
        <v>140</v>
      </c>
      <c r="AK78" s="18">
        <f t="shared" si="22"/>
        <v>0.45901639344262296</v>
      </c>
      <c r="AL78" s="9"/>
      <c r="AM78" s="9"/>
      <c r="AN78" s="9"/>
      <c r="AO78" s="9"/>
      <c r="AP78" s="9"/>
      <c r="AQ78" s="9"/>
    </row>
    <row r="79" spans="1:43">
      <c r="A79" s="11"/>
      <c r="B79" s="11"/>
      <c r="C79" s="19"/>
      <c r="D79" s="11"/>
      <c r="E79" s="10"/>
      <c r="F79" s="17"/>
      <c r="G79" s="17"/>
      <c r="H79" s="17"/>
      <c r="T79" s="9">
        <v>76</v>
      </c>
      <c r="U79" s="9">
        <v>2</v>
      </c>
      <c r="V79" s="11">
        <v>2006017</v>
      </c>
      <c r="W79" s="11">
        <v>75</v>
      </c>
      <c r="X79" s="11" t="s">
        <v>38</v>
      </c>
      <c r="Y79" s="15">
        <v>7.4999999999999997E-2</v>
      </c>
      <c r="Z79" s="11">
        <v>14814264</v>
      </c>
      <c r="AA79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79" s="12">
        <f>DATE(2023,1,6)</f>
        <v>44932</v>
      </c>
      <c r="AC79" s="13">
        <f>TIME(4,51,49)</f>
        <v>0.20265046296296296</v>
      </c>
      <c r="AD79" s="14">
        <f t="shared" si="18"/>
        <v>44932.202650462961</v>
      </c>
      <c r="AE79" s="12">
        <f>DATE(2023,1,7)</f>
        <v>44933</v>
      </c>
      <c r="AF79" s="13">
        <f>TIME(14,35,34)</f>
        <v>0.60803240740740738</v>
      </c>
      <c r="AG79" s="14">
        <f t="shared" si="19"/>
        <v>44933.608032407406</v>
      </c>
      <c r="AH79" s="32" t="str">
        <f t="shared" si="20"/>
        <v>1-h:43:45</v>
      </c>
      <c r="AI79" s="11">
        <f t="shared" si="21"/>
        <v>121425</v>
      </c>
      <c r="AJ79" s="11">
        <v>103</v>
      </c>
      <c r="AK79" s="18">
        <f t="shared" si="22"/>
        <v>0.3377049180327869</v>
      </c>
      <c r="AL79" s="9"/>
      <c r="AM79" s="9"/>
      <c r="AN79" s="9"/>
      <c r="AO79" s="9"/>
      <c r="AP79" s="9"/>
      <c r="AQ79" s="9"/>
    </row>
    <row r="80" spans="1:43">
      <c r="A80" s="11"/>
      <c r="B80" s="11"/>
      <c r="C80" s="19"/>
      <c r="D80" s="11"/>
      <c r="E80" s="10"/>
      <c r="F80" s="17"/>
      <c r="G80" s="17"/>
      <c r="H80" s="17"/>
      <c r="T80" s="9">
        <v>77</v>
      </c>
      <c r="U80" s="11">
        <v>2</v>
      </c>
      <c r="V80" s="70">
        <v>2005341</v>
      </c>
      <c r="W80" s="11">
        <v>75</v>
      </c>
      <c r="X80" s="11" t="s">
        <v>38</v>
      </c>
      <c r="Y80" s="16">
        <v>0.1</v>
      </c>
      <c r="Z80" s="11">
        <v>14337869</v>
      </c>
      <c r="AA80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80" s="12">
        <f>DATE(2022,11,24)</f>
        <v>44889</v>
      </c>
      <c r="AC80" s="13">
        <f>TIME(22,51,13)</f>
        <v>0.95223379629629623</v>
      </c>
      <c r="AD80" s="14">
        <f t="shared" si="18"/>
        <v>44889.952233796299</v>
      </c>
      <c r="AE80" s="12">
        <f>DATE(2022,11,26)</f>
        <v>44891</v>
      </c>
      <c r="AF80" s="13">
        <f>TIME(8,49,1)</f>
        <v>0.36737268518518523</v>
      </c>
      <c r="AG80" s="14">
        <f t="shared" si="19"/>
        <v>44891.367372685185</v>
      </c>
      <c r="AH80" s="32" t="str">
        <f t="shared" si="20"/>
        <v>1-h:57:48</v>
      </c>
      <c r="AI80" s="11">
        <f t="shared" si="21"/>
        <v>122267</v>
      </c>
      <c r="AJ80" s="11">
        <v>148</v>
      </c>
      <c r="AK80" s="18">
        <f t="shared" si="22"/>
        <v>0.48524590163934428</v>
      </c>
      <c r="AL80" s="9"/>
      <c r="AM80" s="9"/>
      <c r="AN80" s="9"/>
      <c r="AO80" s="9"/>
      <c r="AP80" s="9"/>
      <c r="AQ80" s="9"/>
    </row>
    <row r="81" spans="19:43">
      <c r="T81" s="9">
        <v>78</v>
      </c>
      <c r="U81" s="9">
        <v>2</v>
      </c>
      <c r="V81" s="11">
        <v>2006017</v>
      </c>
      <c r="W81" s="11">
        <v>75</v>
      </c>
      <c r="X81" s="11" t="s">
        <v>38</v>
      </c>
      <c r="Y81" s="15">
        <v>0.15</v>
      </c>
      <c r="Z81" s="11">
        <v>14814268</v>
      </c>
      <c r="AA81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81" s="12">
        <f>DATE(2023,1,6)</f>
        <v>44932</v>
      </c>
      <c r="AC81" s="13">
        <f>TIME(12,4,52)</f>
        <v>0.50337962962962968</v>
      </c>
      <c r="AD81" s="14">
        <f t="shared" si="18"/>
        <v>44932.503379629627</v>
      </c>
      <c r="AE81" s="12">
        <f>DATE(2023,1,7)</f>
        <v>44933</v>
      </c>
      <c r="AF81" s="13">
        <f>TIME(22,16,9)</f>
        <v>0.9278819444444445</v>
      </c>
      <c r="AG81" s="14">
        <f t="shared" si="19"/>
        <v>44933.927881944444</v>
      </c>
      <c r="AH81" s="32" t="str">
        <f t="shared" si="20"/>
        <v>1-h:11:17</v>
      </c>
      <c r="AI81" s="11">
        <f t="shared" si="21"/>
        <v>123077</v>
      </c>
      <c r="AJ81" s="11">
        <v>111</v>
      </c>
      <c r="AK81" s="18">
        <f t="shared" si="22"/>
        <v>0.36393442622950822</v>
      </c>
      <c r="AL81" s="9"/>
      <c r="AM81" s="9"/>
      <c r="AN81" s="9"/>
      <c r="AO81" s="9"/>
      <c r="AP81" s="9"/>
      <c r="AQ81" s="9"/>
    </row>
    <row r="82" spans="19:43">
      <c r="T82" s="9">
        <v>79</v>
      </c>
      <c r="U82" s="9">
        <v>2</v>
      </c>
      <c r="V82" s="11">
        <v>2006017</v>
      </c>
      <c r="W82" s="11">
        <v>75</v>
      </c>
      <c r="X82" s="11" t="s">
        <v>38</v>
      </c>
      <c r="Y82" s="15">
        <v>0.2</v>
      </c>
      <c r="Z82" s="11">
        <v>14814270</v>
      </c>
      <c r="AA82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82" s="12">
        <f>DATE(2023,1,6)</f>
        <v>44932</v>
      </c>
      <c r="AC82" s="13">
        <f>TIME(13,1,2)</f>
        <v>0.54238425925925926</v>
      </c>
      <c r="AD82" s="14">
        <f t="shared" si="18"/>
        <v>44932.542384259257</v>
      </c>
      <c r="AE82" s="12">
        <f>DATE(2023,1,7)</f>
        <v>44933</v>
      </c>
      <c r="AF82" s="13">
        <f>TIME(22,31,41)</f>
        <v>0.93866898148148159</v>
      </c>
      <c r="AG82" s="14">
        <f t="shared" si="19"/>
        <v>44933.938668981478</v>
      </c>
      <c r="AH82" s="32" t="str">
        <f t="shared" si="20"/>
        <v>1-h:30:39</v>
      </c>
      <c r="AI82" s="11">
        <f t="shared" si="21"/>
        <v>120638</v>
      </c>
      <c r="AJ82" s="11">
        <v>80</v>
      </c>
      <c r="AK82" s="18">
        <f t="shared" si="22"/>
        <v>0.26229508196721313</v>
      </c>
      <c r="AL82" s="9"/>
      <c r="AM82" s="9"/>
      <c r="AN82" s="9"/>
      <c r="AO82" s="9"/>
      <c r="AP82" s="106"/>
      <c r="AQ82" s="9"/>
    </row>
    <row r="83" spans="19:43">
      <c r="T83" s="63">
        <v>80</v>
      </c>
      <c r="U83" s="63">
        <v>2</v>
      </c>
      <c r="V83" s="64">
        <v>2006017</v>
      </c>
      <c r="W83" s="64">
        <v>75</v>
      </c>
      <c r="X83" s="64" t="s">
        <v>38</v>
      </c>
      <c r="Y83" s="71">
        <v>0.25</v>
      </c>
      <c r="Z83" s="64">
        <v>14814274</v>
      </c>
      <c r="AA83" s="91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83" s="65">
        <f>DATE(2023,1,6)</f>
        <v>44932</v>
      </c>
      <c r="AC83" s="66">
        <f>TIME(13,2,2)</f>
        <v>0.5430787037037037</v>
      </c>
      <c r="AD83" s="67">
        <f t="shared" si="18"/>
        <v>44932.543078703704</v>
      </c>
      <c r="AE83" s="65">
        <f>DATE(2023,1,7)</f>
        <v>44933</v>
      </c>
      <c r="AF83" s="66">
        <f>TIME(23,19,38)</f>
        <v>0.97196759259259258</v>
      </c>
      <c r="AG83" s="67">
        <f t="shared" si="19"/>
        <v>44933.971967592595</v>
      </c>
      <c r="AH83" s="68" t="str">
        <f t="shared" si="20"/>
        <v>1-h:17:36</v>
      </c>
      <c r="AI83" s="64">
        <f t="shared" si="21"/>
        <v>123456</v>
      </c>
      <c r="AJ83" s="64">
        <v>76</v>
      </c>
      <c r="AK83" s="69">
        <f t="shared" si="22"/>
        <v>0.24918032786885247</v>
      </c>
      <c r="AL83" s="9"/>
      <c r="AM83" s="9"/>
      <c r="AN83" s="9"/>
      <c r="AO83" s="9"/>
      <c r="AP83" s="107" t="s">
        <v>43</v>
      </c>
      <c r="AQ83" s="108"/>
    </row>
    <row r="84" spans="19:43">
      <c r="S84" s="95" t="s">
        <v>44</v>
      </c>
      <c r="T84" s="82" t="s">
        <v>37</v>
      </c>
      <c r="U84" s="82" t="s">
        <v>37</v>
      </c>
      <c r="V84" s="81" t="s">
        <v>37</v>
      </c>
      <c r="W84" s="56">
        <v>30</v>
      </c>
      <c r="X84" s="56" t="s">
        <v>45</v>
      </c>
      <c r="Y84" s="57">
        <v>0</v>
      </c>
      <c r="Z84" s="81" t="s">
        <v>37</v>
      </c>
      <c r="AA84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84" s="84" t="s">
        <v>37</v>
      </c>
      <c r="AC84" s="85" t="s">
        <v>37</v>
      </c>
      <c r="AD84" s="83" t="s">
        <v>37</v>
      </c>
      <c r="AE84" s="84" t="s">
        <v>37</v>
      </c>
      <c r="AF84" s="85" t="s">
        <v>37</v>
      </c>
      <c r="AG84" s="83" t="s">
        <v>37</v>
      </c>
      <c r="AH84" s="86" t="s">
        <v>37</v>
      </c>
      <c r="AI84" s="11">
        <f>AVERAGE(AI4,AI44)</f>
        <v>601823.5</v>
      </c>
      <c r="AJ84" s="11">
        <f>AVERAGE(AJ4,AJ44)</f>
        <v>4067</v>
      </c>
      <c r="AK84" s="18">
        <f>AJ84/$M$5</f>
        <v>0.9281150159744409</v>
      </c>
      <c r="AL84" s="18">
        <f>((ABS(AI4-AI44)/2)/Table1[[#This Row],[Time Elapsed (s)]])</f>
        <v>6.4578734462845001E-3</v>
      </c>
      <c r="AM84" s="18">
        <f>(ABS(AJ4-AJ44)/2)/Table1[[#This Row],[Number of Particles Conserved]]</f>
        <v>0</v>
      </c>
      <c r="AN84" s="87" t="s">
        <v>37</v>
      </c>
      <c r="AO84" s="87" t="s">
        <v>37</v>
      </c>
      <c r="AP84" s="104">
        <f>(AI84-(AVERAGE(AI85:AI93)))/AI84*100</f>
        <v>40.795183305404322</v>
      </c>
      <c r="AQ84" s="18">
        <f>AK85/Table1[[#This Row],[% of Particles Conserved  ]]</f>
        <v>0.52839931153184161</v>
      </c>
    </row>
    <row r="85" spans="19:43">
      <c r="S85" s="95"/>
      <c r="T85" s="82" t="s">
        <v>37</v>
      </c>
      <c r="U85" s="82" t="s">
        <v>37</v>
      </c>
      <c r="V85" s="81" t="s">
        <v>37</v>
      </c>
      <c r="W85" s="11">
        <v>30</v>
      </c>
      <c r="X85" s="11" t="s">
        <v>46</v>
      </c>
      <c r="Y85" s="16">
        <v>1E-3</v>
      </c>
      <c r="Z85" s="81" t="s">
        <v>37</v>
      </c>
      <c r="AA85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85" s="84" t="s">
        <v>37</v>
      </c>
      <c r="AC85" s="85" t="s">
        <v>37</v>
      </c>
      <c r="AD85" s="83" t="s">
        <v>37</v>
      </c>
      <c r="AE85" s="84" t="s">
        <v>37</v>
      </c>
      <c r="AF85" s="85" t="s">
        <v>37</v>
      </c>
      <c r="AG85" s="83" t="s">
        <v>37</v>
      </c>
      <c r="AH85" s="86" t="s">
        <v>37</v>
      </c>
      <c r="AI85" s="11">
        <f t="shared" ref="AI85:AJ123" si="23">AVERAGE(AI5,AI45)</f>
        <v>353758.5</v>
      </c>
      <c r="AJ85" s="11">
        <f t="shared" si="23"/>
        <v>2149</v>
      </c>
      <c r="AK85" s="18">
        <f t="shared" ref="AK85:AK93" si="24">AJ85/$M$5</f>
        <v>0.49041533546325877</v>
      </c>
      <c r="AL85" s="18">
        <f>((ABS(AI5-AI45)/2)/Table1[[#This Row],[Time Elapsed (s)]])</f>
        <v>6.7517812292849496E-3</v>
      </c>
      <c r="AM85" s="18">
        <f>(ABS(AJ5-AJ45)/2)/Table1[[#This Row],[Number of Particles Conserved]]</f>
        <v>0</v>
      </c>
      <c r="AN85" s="18">
        <f>($AI$84-Table1[[#This Row],[Time Elapsed (s)]])/$AI$84</f>
        <v>0.41218895573203773</v>
      </c>
      <c r="AO85" s="18">
        <f>($AJ$84-Table1[[#This Row],[Number of Particles Conserved]])/$AJ$84</f>
        <v>0.47160068846815834</v>
      </c>
      <c r="AP85" s="11"/>
      <c r="AQ85" s="9"/>
    </row>
    <row r="86" spans="19:43">
      <c r="S86" s="95"/>
      <c r="T86" s="82" t="s">
        <v>37</v>
      </c>
      <c r="U86" s="82" t="s">
        <v>37</v>
      </c>
      <c r="V86" s="81" t="s">
        <v>37</v>
      </c>
      <c r="W86" s="11">
        <v>30</v>
      </c>
      <c r="X86" s="11" t="s">
        <v>46</v>
      </c>
      <c r="Y86" s="16">
        <v>5.0000000000000001E-3</v>
      </c>
      <c r="Z86" s="81" t="s">
        <v>37</v>
      </c>
      <c r="AA86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86" s="84" t="s">
        <v>37</v>
      </c>
      <c r="AC86" s="85" t="s">
        <v>37</v>
      </c>
      <c r="AD86" s="83" t="s">
        <v>37</v>
      </c>
      <c r="AE86" s="84" t="s">
        <v>37</v>
      </c>
      <c r="AF86" s="85" t="s">
        <v>37</v>
      </c>
      <c r="AG86" s="83" t="s">
        <v>37</v>
      </c>
      <c r="AH86" s="86" t="s">
        <v>37</v>
      </c>
      <c r="AI86" s="11">
        <f t="shared" si="23"/>
        <v>376417</v>
      </c>
      <c r="AJ86" s="11">
        <f t="shared" si="23"/>
        <v>1079</v>
      </c>
      <c r="AK86" s="18">
        <f t="shared" si="24"/>
        <v>0.24623459607485165</v>
      </c>
      <c r="AL86" s="18">
        <f>((ABS(AI6-AI46)/2)/Table1[[#This Row],[Time Elapsed (s)]])</f>
        <v>9.5744878685075328E-3</v>
      </c>
      <c r="AM86" s="18">
        <f>(ABS(AJ6-AJ46)/2)/Table1[[#This Row],[Number of Particles Conserved]]</f>
        <v>0</v>
      </c>
      <c r="AN86" s="18">
        <f>($AI$84-Table1[[#This Row],[Time Elapsed (s)]])/$AI$84</f>
        <v>0.37453921290876813</v>
      </c>
      <c r="AO86" s="18">
        <f>($AJ$84-Table1[[#This Row],[Number of Particles Conserved]])/$AJ$84</f>
        <v>0.73469387755102045</v>
      </c>
      <c r="AP86" s="105"/>
      <c r="AQ86" s="9"/>
    </row>
    <row r="87" spans="19:43">
      <c r="S87" s="95"/>
      <c r="T87" s="82" t="s">
        <v>37</v>
      </c>
      <c r="U87" s="82" t="s">
        <v>37</v>
      </c>
      <c r="V87" s="81" t="s">
        <v>37</v>
      </c>
      <c r="W87" s="11">
        <v>30</v>
      </c>
      <c r="X87" s="11" t="s">
        <v>46</v>
      </c>
      <c r="Y87" s="16">
        <v>2.5000000000000001E-2</v>
      </c>
      <c r="Z87" s="81" t="s">
        <v>37</v>
      </c>
      <c r="AA87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87" s="84" t="s">
        <v>37</v>
      </c>
      <c r="AC87" s="85" t="s">
        <v>37</v>
      </c>
      <c r="AD87" s="83" t="s">
        <v>37</v>
      </c>
      <c r="AE87" s="84" t="s">
        <v>37</v>
      </c>
      <c r="AF87" s="85" t="s">
        <v>37</v>
      </c>
      <c r="AG87" s="83" t="s">
        <v>37</v>
      </c>
      <c r="AH87" s="86" t="s">
        <v>37</v>
      </c>
      <c r="AI87" s="11">
        <f t="shared" si="23"/>
        <v>373229.5</v>
      </c>
      <c r="AJ87" s="11">
        <f t="shared" si="23"/>
        <v>500</v>
      </c>
      <c r="AK87" s="18">
        <f t="shared" si="24"/>
        <v>0.11410314924691921</v>
      </c>
      <c r="AL87" s="18">
        <f>((ABS(AI7-AI47)/2)/Table1[[#This Row],[Time Elapsed (s)]])</f>
        <v>3.4965081806234504E-4</v>
      </c>
      <c r="AM87" s="18">
        <f>(ABS(AJ7-AJ47)/2)/Table1[[#This Row],[Number of Particles Conserved]]</f>
        <v>0</v>
      </c>
      <c r="AN87" s="18">
        <f>($AI$84-Table1[[#This Row],[Time Elapsed (s)]])/$AI$84</f>
        <v>0.37983561625626117</v>
      </c>
      <c r="AO87" s="18">
        <f>($AJ$84-Table1[[#This Row],[Number of Particles Conserved]])/$AJ$84</f>
        <v>0.87705925743791491</v>
      </c>
      <c r="AP87" s="9"/>
      <c r="AQ87" s="9"/>
    </row>
    <row r="88" spans="19:43">
      <c r="S88" s="95"/>
      <c r="T88" s="82" t="s">
        <v>37</v>
      </c>
      <c r="U88" s="82" t="s">
        <v>37</v>
      </c>
      <c r="V88" s="81" t="s">
        <v>37</v>
      </c>
      <c r="W88" s="11">
        <v>30</v>
      </c>
      <c r="X88" s="11" t="s">
        <v>46</v>
      </c>
      <c r="Y88" s="16">
        <v>0.05</v>
      </c>
      <c r="Z88" s="81" t="s">
        <v>37</v>
      </c>
      <c r="AA88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88" s="84" t="s">
        <v>37</v>
      </c>
      <c r="AC88" s="85" t="s">
        <v>37</v>
      </c>
      <c r="AD88" s="83" t="s">
        <v>37</v>
      </c>
      <c r="AE88" s="84" t="s">
        <v>37</v>
      </c>
      <c r="AF88" s="85" t="s">
        <v>37</v>
      </c>
      <c r="AG88" s="83" t="s">
        <v>37</v>
      </c>
      <c r="AH88" s="86" t="s">
        <v>37</v>
      </c>
      <c r="AI88" s="11">
        <f t="shared" si="23"/>
        <v>376020</v>
      </c>
      <c r="AJ88" s="11">
        <f t="shared" si="23"/>
        <v>296</v>
      </c>
      <c r="AK88" s="18">
        <f t="shared" si="24"/>
        <v>6.754906435417618E-2</v>
      </c>
      <c r="AL88" s="18">
        <f>((ABS(AI8-AI48)/2)/Table1[[#This Row],[Time Elapsed (s)]])</f>
        <v>3.9891495133237594E-5</v>
      </c>
      <c r="AM88" s="18">
        <f>(ABS(AJ8-AJ48)/2)/Table1[[#This Row],[Number of Particles Conserved]]</f>
        <v>0</v>
      </c>
      <c r="AN88" s="18">
        <f>($AI$84-Table1[[#This Row],[Time Elapsed (s)]])/$AI$84</f>
        <v>0.37519887475314606</v>
      </c>
      <c r="AO88" s="18">
        <f>($AJ$84-Table1[[#This Row],[Number of Particles Conserved]])/$AJ$84</f>
        <v>0.92721908040324563</v>
      </c>
      <c r="AP88" s="9"/>
      <c r="AQ88" s="9"/>
    </row>
    <row r="89" spans="19:43">
      <c r="S89" s="95"/>
      <c r="T89" s="82" t="s">
        <v>37</v>
      </c>
      <c r="U89" s="82" t="s">
        <v>37</v>
      </c>
      <c r="V89" s="81" t="s">
        <v>37</v>
      </c>
      <c r="W89" s="11">
        <v>30</v>
      </c>
      <c r="X89" s="11" t="s">
        <v>46</v>
      </c>
      <c r="Y89" s="16">
        <v>7.4999999999999997E-2</v>
      </c>
      <c r="Z89" s="81" t="s">
        <v>37</v>
      </c>
      <c r="AA89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89" s="84" t="s">
        <v>37</v>
      </c>
      <c r="AC89" s="85" t="s">
        <v>37</v>
      </c>
      <c r="AD89" s="83" t="s">
        <v>37</v>
      </c>
      <c r="AE89" s="84" t="s">
        <v>37</v>
      </c>
      <c r="AF89" s="85" t="s">
        <v>37</v>
      </c>
      <c r="AG89" s="83" t="s">
        <v>37</v>
      </c>
      <c r="AH89" s="86" t="s">
        <v>37</v>
      </c>
      <c r="AI89" s="11">
        <f t="shared" si="23"/>
        <v>370474.5</v>
      </c>
      <c r="AJ89" s="11">
        <f t="shared" si="23"/>
        <v>342</v>
      </c>
      <c r="AK89" s="18">
        <f t="shared" si="24"/>
        <v>7.804655408489275E-2</v>
      </c>
      <c r="AL89" s="18">
        <f>((ABS(AI9-AI49)/2)/Table1[[#This Row],[Time Elapsed (s)]])</f>
        <v>2.1458966811480952E-4</v>
      </c>
      <c r="AM89" s="18">
        <f>(ABS(AJ9-AJ49)/2)/Table1[[#This Row],[Number of Particles Conserved]]</f>
        <v>0</v>
      </c>
      <c r="AN89" s="18">
        <f>($AI$84-Table1[[#This Row],[Time Elapsed (s)]])/$AI$84</f>
        <v>0.38441337036523165</v>
      </c>
      <c r="AO89" s="18">
        <f>($AJ$84-Table1[[#This Row],[Number of Particles Conserved]])/$AJ$84</f>
        <v>0.91590853208753376</v>
      </c>
      <c r="AP89" s="9"/>
      <c r="AQ89" s="9"/>
    </row>
    <row r="90" spans="19:43">
      <c r="S90" s="95"/>
      <c r="T90" s="82" t="s">
        <v>37</v>
      </c>
      <c r="U90" s="82" t="s">
        <v>37</v>
      </c>
      <c r="V90" s="81" t="s">
        <v>37</v>
      </c>
      <c r="W90" s="11">
        <v>30</v>
      </c>
      <c r="X90" s="11" t="s">
        <v>46</v>
      </c>
      <c r="Y90" s="16">
        <v>0.1</v>
      </c>
      <c r="Z90" s="81" t="s">
        <v>37</v>
      </c>
      <c r="AA90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90" s="84" t="s">
        <v>37</v>
      </c>
      <c r="AC90" s="85" t="s">
        <v>37</v>
      </c>
      <c r="AD90" s="83" t="s">
        <v>37</v>
      </c>
      <c r="AE90" s="84" t="s">
        <v>37</v>
      </c>
      <c r="AF90" s="85" t="s">
        <v>37</v>
      </c>
      <c r="AG90" s="83" t="s">
        <v>37</v>
      </c>
      <c r="AH90" s="86" t="s">
        <v>37</v>
      </c>
      <c r="AI90" s="11">
        <f t="shared" si="23"/>
        <v>349060.5</v>
      </c>
      <c r="AJ90" s="11">
        <f t="shared" si="23"/>
        <v>312</v>
      </c>
      <c r="AK90" s="18">
        <f t="shared" si="24"/>
        <v>7.1200365130077589E-2</v>
      </c>
      <c r="AL90" s="18">
        <f>((ABS(AI10-AI50)/2)/Table1[[#This Row],[Time Elapsed (s)]])</f>
        <v>3.1155057647599773E-3</v>
      </c>
      <c r="AM90" s="18">
        <f>(ABS(AJ10-AJ50)/2)/Table1[[#This Row],[Number of Particles Conserved]]</f>
        <v>0</v>
      </c>
      <c r="AN90" s="18">
        <f>($AI$84-Table1[[#This Row],[Time Elapsed (s)]])/$AI$84</f>
        <v>0.41999523115996634</v>
      </c>
      <c r="AO90" s="18">
        <f>($AJ$84-Table1[[#This Row],[Number of Particles Conserved]])/$AJ$84</f>
        <v>0.92328497664125886</v>
      </c>
      <c r="AP90" s="9"/>
      <c r="AQ90" s="9"/>
    </row>
    <row r="91" spans="19:43">
      <c r="S91" s="95"/>
      <c r="T91" s="82" t="s">
        <v>37</v>
      </c>
      <c r="U91" s="82" t="s">
        <v>37</v>
      </c>
      <c r="V91" s="81" t="s">
        <v>37</v>
      </c>
      <c r="W91" s="11">
        <v>30</v>
      </c>
      <c r="X91" s="11" t="s">
        <v>46</v>
      </c>
      <c r="Y91" s="15">
        <v>0.15</v>
      </c>
      <c r="Z91" s="81" t="s">
        <v>37</v>
      </c>
      <c r="AA91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91" s="84" t="s">
        <v>37</v>
      </c>
      <c r="AC91" s="85" t="s">
        <v>37</v>
      </c>
      <c r="AD91" s="83" t="s">
        <v>37</v>
      </c>
      <c r="AE91" s="84" t="s">
        <v>37</v>
      </c>
      <c r="AF91" s="85" t="s">
        <v>37</v>
      </c>
      <c r="AG91" s="83" t="s">
        <v>37</v>
      </c>
      <c r="AH91" s="86" t="s">
        <v>37</v>
      </c>
      <c r="AI91" s="11">
        <f t="shared" si="23"/>
        <v>348494</v>
      </c>
      <c r="AJ91" s="11">
        <f t="shared" si="23"/>
        <v>251</v>
      </c>
      <c r="AK91" s="18">
        <f t="shared" si="24"/>
        <v>5.7279780921953447E-2</v>
      </c>
      <c r="AL91" s="18">
        <f>((ABS(AI11-AI51)/2)/Table1[[#This Row],[Time Elapsed (s)]])</f>
        <v>2.7461017980223478E-3</v>
      </c>
      <c r="AM91" s="18">
        <f>(ABS(AJ11-AJ51)/2)/Table1[[#This Row],[Number of Particles Conserved]]</f>
        <v>0</v>
      </c>
      <c r="AN91" s="18">
        <f>($AI$84-Table1[[#This Row],[Time Elapsed (s)]])/$AI$84</f>
        <v>0.42093653704117567</v>
      </c>
      <c r="AO91" s="18">
        <f>($AJ$84-Table1[[#This Row],[Number of Particles Conserved]])/$AJ$84</f>
        <v>0.93828374723383334</v>
      </c>
      <c r="AP91" s="9"/>
      <c r="AQ91" s="9"/>
    </row>
    <row r="92" spans="19:43">
      <c r="S92" s="95"/>
      <c r="T92" s="82" t="s">
        <v>37</v>
      </c>
      <c r="U92" s="82" t="s">
        <v>37</v>
      </c>
      <c r="V92" s="81" t="s">
        <v>37</v>
      </c>
      <c r="W92" s="11">
        <v>30</v>
      </c>
      <c r="X92" s="11" t="s">
        <v>46</v>
      </c>
      <c r="Y92" s="15">
        <v>0.2</v>
      </c>
      <c r="Z92" s="81" t="s">
        <v>37</v>
      </c>
      <c r="AA92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92" s="84" t="s">
        <v>37</v>
      </c>
      <c r="AC92" s="85" t="s">
        <v>37</v>
      </c>
      <c r="AD92" s="83" t="s">
        <v>37</v>
      </c>
      <c r="AE92" s="84" t="s">
        <v>37</v>
      </c>
      <c r="AF92" s="85" t="s">
        <v>37</v>
      </c>
      <c r="AG92" s="83" t="s">
        <v>37</v>
      </c>
      <c r="AH92" s="86" t="s">
        <v>37</v>
      </c>
      <c r="AI92" s="11">
        <f t="shared" si="23"/>
        <v>339197.5</v>
      </c>
      <c r="AJ92" s="11">
        <f t="shared" si="23"/>
        <v>302</v>
      </c>
      <c r="AK92" s="18">
        <f t="shared" si="24"/>
        <v>6.8918302145139207E-2</v>
      </c>
      <c r="AL92" s="18">
        <f>((ABS(AI12-AI52)/2)/Table1[[#This Row],[Time Elapsed (s)]])</f>
        <v>1.3598272392927425E-2</v>
      </c>
      <c r="AM92" s="18">
        <f>(ABS(AJ12-AJ52)/2)/Table1[[#This Row],[Number of Particles Conserved]]</f>
        <v>0</v>
      </c>
      <c r="AN92" s="18">
        <f>($AI$84-Table1[[#This Row],[Time Elapsed (s)]])/$AI$84</f>
        <v>0.4363837570317543</v>
      </c>
      <c r="AO92" s="18">
        <f>($AJ$84-Table1[[#This Row],[Number of Particles Conserved]])/$AJ$84</f>
        <v>0.92574379149250063</v>
      </c>
      <c r="AP92" s="9"/>
      <c r="AQ92" s="9"/>
    </row>
    <row r="93" spans="19:43">
      <c r="S93" s="95"/>
      <c r="T93" s="82" t="s">
        <v>37</v>
      </c>
      <c r="U93" s="82" t="s">
        <v>37</v>
      </c>
      <c r="V93" s="81" t="s">
        <v>37</v>
      </c>
      <c r="W93" s="11">
        <v>30</v>
      </c>
      <c r="X93" s="11" t="s">
        <v>46</v>
      </c>
      <c r="Y93" s="15">
        <v>0.25</v>
      </c>
      <c r="Z93" s="81" t="s">
        <v>37</v>
      </c>
      <c r="AA93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30864102</v>
      </c>
      <c r="AB93" s="84" t="s">
        <v>37</v>
      </c>
      <c r="AC93" s="85" t="s">
        <v>37</v>
      </c>
      <c r="AD93" s="83" t="s">
        <v>37</v>
      </c>
      <c r="AE93" s="84" t="s">
        <v>37</v>
      </c>
      <c r="AF93" s="85" t="s">
        <v>37</v>
      </c>
      <c r="AG93" s="83" t="s">
        <v>37</v>
      </c>
      <c r="AH93" s="86" t="s">
        <v>37</v>
      </c>
      <c r="AI93" s="11">
        <f t="shared" si="23"/>
        <v>320125</v>
      </c>
      <c r="AJ93" s="11">
        <f t="shared" si="23"/>
        <v>413</v>
      </c>
      <c r="AK93" s="18">
        <f t="shared" si="24"/>
        <v>9.4249201277955275E-2</v>
      </c>
      <c r="AL93" s="18">
        <f>((ABS(AI13-AI53)/2)/Table1[[#This Row],[Time Elapsed (s)]])</f>
        <v>1.176415462709879E-2</v>
      </c>
      <c r="AM93" s="18">
        <f>(ABS(AJ13-AJ53)/2)/Table1[[#This Row],[Number of Particles Conserved]]</f>
        <v>0</v>
      </c>
      <c r="AN93" s="18">
        <f>($AI$84-Table1[[#This Row],[Time Elapsed (s)]])/$AI$84</f>
        <v>0.46807494223804819</v>
      </c>
      <c r="AO93" s="18">
        <f>($AJ$84-Table1[[#This Row],[Number of Particles Conserved]])/$AJ$84</f>
        <v>0.89845094664371772</v>
      </c>
      <c r="AP93" s="9"/>
      <c r="AQ93" s="9"/>
    </row>
    <row r="94" spans="19:43">
      <c r="S94" s="95"/>
      <c r="T94" s="82" t="s">
        <v>37</v>
      </c>
      <c r="U94" s="82" t="s">
        <v>37</v>
      </c>
      <c r="V94" s="81" t="s">
        <v>37</v>
      </c>
      <c r="W94" s="11">
        <v>45</v>
      </c>
      <c r="X94" s="11" t="s">
        <v>45</v>
      </c>
      <c r="Y94" s="15">
        <v>0</v>
      </c>
      <c r="Z94" s="81" t="s">
        <v>37</v>
      </c>
      <c r="AA94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94" s="84" t="s">
        <v>37</v>
      </c>
      <c r="AC94" s="85" t="s">
        <v>37</v>
      </c>
      <c r="AD94" s="83" t="s">
        <v>37</v>
      </c>
      <c r="AE94" s="84" t="s">
        <v>37</v>
      </c>
      <c r="AF94" s="85" t="s">
        <v>37</v>
      </c>
      <c r="AG94" s="83" t="s">
        <v>37</v>
      </c>
      <c r="AH94" s="86" t="s">
        <v>37</v>
      </c>
      <c r="AI94" s="11">
        <f t="shared" si="23"/>
        <v>315084</v>
      </c>
      <c r="AJ94" s="11">
        <f t="shared" si="23"/>
        <v>1226</v>
      </c>
      <c r="AK94" s="18">
        <f>AJ94/$M$6</f>
        <v>0.9211119459053343</v>
      </c>
      <c r="AL94" s="18">
        <f>((ABS(AI14-AI54)/2)/Table1[[#This Row],[Time Elapsed (s)]])</f>
        <v>4.4749971436188444E-4</v>
      </c>
      <c r="AM94" s="18">
        <f>(ABS(AJ14-AJ54)/2)/Table1[[#This Row],[Number of Particles Conserved]]</f>
        <v>0</v>
      </c>
      <c r="AN94" s="87" t="s">
        <v>37</v>
      </c>
      <c r="AO94" s="87" t="s">
        <v>37</v>
      </c>
      <c r="AP94" s="104">
        <f>(AI94-(AVERAGE(AI95:AI103)))/AI94*100</f>
        <v>33.493079094252124</v>
      </c>
      <c r="AQ94" s="18">
        <f>AK95/Table1[[#This Row],[% of Particles Conserved  ]]</f>
        <v>0.60848287112561183</v>
      </c>
    </row>
    <row r="95" spans="19:43">
      <c r="S95" s="95"/>
      <c r="T95" s="82" t="s">
        <v>37</v>
      </c>
      <c r="U95" s="82" t="s">
        <v>37</v>
      </c>
      <c r="V95" s="81" t="s">
        <v>37</v>
      </c>
      <c r="W95" s="11">
        <v>45</v>
      </c>
      <c r="X95" s="11" t="s">
        <v>46</v>
      </c>
      <c r="Y95" s="15">
        <v>1E-3</v>
      </c>
      <c r="Z95" s="81" t="s">
        <v>37</v>
      </c>
      <c r="AA95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95" s="84" t="s">
        <v>37</v>
      </c>
      <c r="AC95" s="85" t="s">
        <v>37</v>
      </c>
      <c r="AD95" s="83" t="s">
        <v>37</v>
      </c>
      <c r="AE95" s="84" t="s">
        <v>37</v>
      </c>
      <c r="AF95" s="85" t="s">
        <v>37</v>
      </c>
      <c r="AG95" s="83" t="s">
        <v>37</v>
      </c>
      <c r="AH95" s="86" t="s">
        <v>37</v>
      </c>
      <c r="AI95" s="11">
        <f t="shared" si="23"/>
        <v>211958.5</v>
      </c>
      <c r="AJ95" s="11">
        <f t="shared" si="23"/>
        <v>746</v>
      </c>
      <c r="AK95" s="18">
        <f t="shared" ref="AK95:AK103" si="25">AJ95/$M$6</f>
        <v>0.56048084147257704</v>
      </c>
      <c r="AL95" s="18">
        <f>((ABS(AI15-AI55)/2)/Table1[[#This Row],[Time Elapsed (s)]])</f>
        <v>1.626969430336599E-2</v>
      </c>
      <c r="AM95" s="18">
        <f>(ABS(AJ15-AJ55)/2)/Table1[[#This Row],[Number of Particles Conserved]]</f>
        <v>0</v>
      </c>
      <c r="AN95" s="18">
        <f>($AI$94-Table1[[#This Row],[Time Elapsed (s)]])/$AI$94</f>
        <v>0.32729526094628736</v>
      </c>
      <c r="AO95" s="18">
        <f>($AJ$94-Table1[[#This Row],[Number of Particles Conserved]])/$AJ$94</f>
        <v>0.39151712887438828</v>
      </c>
      <c r="AP95" s="11"/>
      <c r="AQ95" s="9"/>
    </row>
    <row r="96" spans="19:43">
      <c r="S96" s="95"/>
      <c r="T96" s="82" t="s">
        <v>37</v>
      </c>
      <c r="U96" s="82" t="s">
        <v>37</v>
      </c>
      <c r="V96" s="81" t="s">
        <v>37</v>
      </c>
      <c r="W96" s="11">
        <v>45</v>
      </c>
      <c r="X96" s="11" t="s">
        <v>46</v>
      </c>
      <c r="Y96" s="16">
        <v>5.0000000000000001E-3</v>
      </c>
      <c r="Z96" s="81" t="s">
        <v>37</v>
      </c>
      <c r="AA96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96" s="84" t="s">
        <v>37</v>
      </c>
      <c r="AC96" s="85" t="s">
        <v>37</v>
      </c>
      <c r="AD96" s="83" t="s">
        <v>37</v>
      </c>
      <c r="AE96" s="84" t="s">
        <v>37</v>
      </c>
      <c r="AF96" s="85" t="s">
        <v>37</v>
      </c>
      <c r="AG96" s="83" t="s">
        <v>37</v>
      </c>
      <c r="AH96" s="86" t="s">
        <v>37</v>
      </c>
      <c r="AI96" s="11">
        <f t="shared" si="23"/>
        <v>208758.5</v>
      </c>
      <c r="AJ96" s="11">
        <f t="shared" si="23"/>
        <v>680</v>
      </c>
      <c r="AK96" s="18">
        <f t="shared" si="25"/>
        <v>0.51089406461307285</v>
      </c>
      <c r="AL96" s="18">
        <f>((ABS(AI16-AI56)/2)/Table1[[#This Row],[Time Elapsed (s)]])</f>
        <v>7.676334137292613E-3</v>
      </c>
      <c r="AM96" s="18">
        <f>(ABS(AJ16-AJ56)/2)/Table1[[#This Row],[Number of Particles Conserved]]</f>
        <v>0</v>
      </c>
      <c r="AN96" s="18">
        <f>($AI$94-Table1[[#This Row],[Time Elapsed (s)]])/$AI$94</f>
        <v>0.33745128283251452</v>
      </c>
      <c r="AO96" s="18">
        <f>($AJ$94-Table1[[#This Row],[Number of Particles Conserved]])/$AJ$94</f>
        <v>0.44535073409461662</v>
      </c>
      <c r="AP96" s="105"/>
      <c r="AQ96" s="9"/>
    </row>
    <row r="97" spans="19:43">
      <c r="S97" s="95"/>
      <c r="T97" s="82" t="s">
        <v>37</v>
      </c>
      <c r="U97" s="82" t="s">
        <v>37</v>
      </c>
      <c r="V97" s="81" t="s">
        <v>37</v>
      </c>
      <c r="W97" s="11">
        <v>45</v>
      </c>
      <c r="X97" s="11" t="s">
        <v>46</v>
      </c>
      <c r="Y97" s="16">
        <v>2.5000000000000001E-2</v>
      </c>
      <c r="Z97" s="81" t="s">
        <v>37</v>
      </c>
      <c r="AA97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97" s="84" t="s">
        <v>37</v>
      </c>
      <c r="AC97" s="85" t="s">
        <v>37</v>
      </c>
      <c r="AD97" s="83" t="s">
        <v>37</v>
      </c>
      <c r="AE97" s="84" t="s">
        <v>37</v>
      </c>
      <c r="AF97" s="85" t="s">
        <v>37</v>
      </c>
      <c r="AG97" s="83" t="s">
        <v>37</v>
      </c>
      <c r="AH97" s="86" t="s">
        <v>37</v>
      </c>
      <c r="AI97" s="11">
        <f t="shared" si="23"/>
        <v>207147.5</v>
      </c>
      <c r="AJ97" s="11">
        <f t="shared" si="23"/>
        <v>542</v>
      </c>
      <c r="AK97" s="18">
        <f t="shared" si="25"/>
        <v>0.40721262208865516</v>
      </c>
      <c r="AL97" s="18">
        <f>((ABS(AI17-AI57)/2)/Table1[[#This Row],[Time Elapsed (s)]])</f>
        <v>5.4478089284205698E-3</v>
      </c>
      <c r="AM97" s="18">
        <f>(ABS(AJ17-AJ57)/2)/Table1[[#This Row],[Number of Particles Conserved]]</f>
        <v>0</v>
      </c>
      <c r="AN97" s="18">
        <f>($AI$94-Table1[[#This Row],[Time Elapsed (s)]])/$AI$94</f>
        <v>0.342564205100862</v>
      </c>
      <c r="AO97" s="18">
        <f>($AJ$94-Table1[[#This Row],[Number of Particles Conserved]])/$AJ$94</f>
        <v>0.55791190864600326</v>
      </c>
      <c r="AP97" s="9"/>
      <c r="AQ97" s="9"/>
    </row>
    <row r="98" spans="19:43">
      <c r="S98" s="95"/>
      <c r="T98" s="82" t="s">
        <v>37</v>
      </c>
      <c r="U98" s="82" t="s">
        <v>37</v>
      </c>
      <c r="V98" s="81" t="s">
        <v>37</v>
      </c>
      <c r="W98" s="11">
        <v>45</v>
      </c>
      <c r="X98" s="11" t="s">
        <v>46</v>
      </c>
      <c r="Y98" s="16">
        <v>0.05</v>
      </c>
      <c r="Z98" s="81" t="s">
        <v>37</v>
      </c>
      <c r="AA98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98" s="84" t="s">
        <v>37</v>
      </c>
      <c r="AC98" s="85" t="s">
        <v>37</v>
      </c>
      <c r="AD98" s="83" t="s">
        <v>37</v>
      </c>
      <c r="AE98" s="84" t="s">
        <v>37</v>
      </c>
      <c r="AF98" s="85" t="s">
        <v>37</v>
      </c>
      <c r="AG98" s="83" t="s">
        <v>37</v>
      </c>
      <c r="AH98" s="86" t="s">
        <v>37</v>
      </c>
      <c r="AI98" s="11">
        <f t="shared" si="23"/>
        <v>214324</v>
      </c>
      <c r="AJ98" s="11">
        <f t="shared" si="23"/>
        <v>430</v>
      </c>
      <c r="AK98" s="18">
        <f t="shared" si="25"/>
        <v>0.32306536438767841</v>
      </c>
      <c r="AL98" s="18">
        <f>((ABS(AI18-AI58)/2)/Table1[[#This Row],[Time Elapsed (s)]])</f>
        <v>5.1090871764244792E-3</v>
      </c>
      <c r="AM98" s="18">
        <f>(ABS(AJ18-AJ58)/2)/Table1[[#This Row],[Number of Particles Conserved]]</f>
        <v>0</v>
      </c>
      <c r="AN98" s="18">
        <f>($AI$94-Table1[[#This Row],[Time Elapsed (s)]])/$AI$94</f>
        <v>0.31978773914257785</v>
      </c>
      <c r="AO98" s="18">
        <f>($AJ$94-Table1[[#This Row],[Number of Particles Conserved]])/$AJ$94</f>
        <v>0.64926590538336049</v>
      </c>
      <c r="AP98" s="9"/>
      <c r="AQ98" s="9"/>
    </row>
    <row r="99" spans="19:43">
      <c r="S99" s="95"/>
      <c r="T99" s="82" t="s">
        <v>37</v>
      </c>
      <c r="U99" s="82" t="s">
        <v>37</v>
      </c>
      <c r="V99" s="81" t="s">
        <v>37</v>
      </c>
      <c r="W99" s="11">
        <v>45</v>
      </c>
      <c r="X99" s="11" t="s">
        <v>46</v>
      </c>
      <c r="Y99" s="16">
        <v>7.4999999999999997E-2</v>
      </c>
      <c r="Z99" s="81" t="s">
        <v>37</v>
      </c>
      <c r="AA99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99" s="84" t="s">
        <v>37</v>
      </c>
      <c r="AC99" s="85" t="s">
        <v>37</v>
      </c>
      <c r="AD99" s="83" t="s">
        <v>37</v>
      </c>
      <c r="AE99" s="84" t="s">
        <v>37</v>
      </c>
      <c r="AF99" s="85" t="s">
        <v>37</v>
      </c>
      <c r="AG99" s="83" t="s">
        <v>37</v>
      </c>
      <c r="AH99" s="86" t="s">
        <v>37</v>
      </c>
      <c r="AI99" s="11">
        <f t="shared" si="23"/>
        <v>211598.5</v>
      </c>
      <c r="AJ99" s="11">
        <f t="shared" si="23"/>
        <v>318</v>
      </c>
      <c r="AK99" s="18">
        <f t="shared" si="25"/>
        <v>0.23891810668670171</v>
      </c>
      <c r="AL99" s="18">
        <f>((ABS(AI19-AI59)/2)/Table1[[#This Row],[Time Elapsed (s)]])</f>
        <v>4.1044714400149344E-3</v>
      </c>
      <c r="AM99" s="18">
        <f>(ABS(AJ19-AJ59)/2)/Table1[[#This Row],[Number of Particles Conserved]]</f>
        <v>0</v>
      </c>
      <c r="AN99" s="18">
        <f>($AI$94-Table1[[#This Row],[Time Elapsed (s)]])/$AI$94</f>
        <v>0.32843781340848788</v>
      </c>
      <c r="AO99" s="18">
        <f>($AJ$94-Table1[[#This Row],[Number of Particles Conserved]])/$AJ$94</f>
        <v>0.74061990212071782</v>
      </c>
      <c r="AP99" s="9"/>
      <c r="AQ99" s="9"/>
    </row>
    <row r="100" spans="19:43">
      <c r="S100" s="95"/>
      <c r="T100" s="82" t="s">
        <v>37</v>
      </c>
      <c r="U100" s="82" t="s">
        <v>37</v>
      </c>
      <c r="V100" s="81" t="s">
        <v>37</v>
      </c>
      <c r="W100" s="11">
        <v>45</v>
      </c>
      <c r="X100" s="11" t="s">
        <v>46</v>
      </c>
      <c r="Y100" s="16">
        <v>0.1</v>
      </c>
      <c r="Z100" s="81" t="s">
        <v>37</v>
      </c>
      <c r="AA100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100" s="84" t="s">
        <v>37</v>
      </c>
      <c r="AC100" s="85" t="s">
        <v>37</v>
      </c>
      <c r="AD100" s="83" t="s">
        <v>37</v>
      </c>
      <c r="AE100" s="84" t="s">
        <v>37</v>
      </c>
      <c r="AF100" s="85" t="s">
        <v>37</v>
      </c>
      <c r="AG100" s="83" t="s">
        <v>37</v>
      </c>
      <c r="AH100" s="86" t="s">
        <v>37</v>
      </c>
      <c r="AI100" s="11">
        <f t="shared" si="23"/>
        <v>210996.5</v>
      </c>
      <c r="AJ100" s="11">
        <f t="shared" si="23"/>
        <v>419</v>
      </c>
      <c r="AK100" s="18">
        <f t="shared" si="25"/>
        <v>0.31480090157776108</v>
      </c>
      <c r="AL100" s="18">
        <f>((ABS(AI20-AI60)/2)/Table1[[#This Row],[Time Elapsed (s)]])</f>
        <v>2.9550253203252186E-3</v>
      </c>
      <c r="AM100" s="18">
        <f>(ABS(AJ20-AJ60)/2)/Table1[[#This Row],[Number of Particles Conserved]]</f>
        <v>0</v>
      </c>
      <c r="AN100" s="18">
        <f>($AI$94-Table1[[#This Row],[Time Elapsed (s)]])/$AI$94</f>
        <v>0.3303484150258344</v>
      </c>
      <c r="AO100" s="18">
        <f>($AJ$94-Table1[[#This Row],[Number of Particles Conserved]])/$AJ$94</f>
        <v>0.65823817292006526</v>
      </c>
      <c r="AP100" s="9"/>
      <c r="AQ100" s="9"/>
    </row>
    <row r="101" spans="19:43">
      <c r="S101" s="95"/>
      <c r="T101" s="82" t="s">
        <v>37</v>
      </c>
      <c r="U101" s="82" t="s">
        <v>37</v>
      </c>
      <c r="V101" s="81" t="s">
        <v>37</v>
      </c>
      <c r="W101" s="11">
        <v>45</v>
      </c>
      <c r="X101" s="11" t="s">
        <v>46</v>
      </c>
      <c r="Y101" s="16">
        <v>0.15</v>
      </c>
      <c r="Z101" s="81" t="s">
        <v>37</v>
      </c>
      <c r="AA101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101" s="84" t="s">
        <v>37</v>
      </c>
      <c r="AC101" s="85" t="s">
        <v>37</v>
      </c>
      <c r="AD101" s="83" t="s">
        <v>37</v>
      </c>
      <c r="AE101" s="84" t="s">
        <v>37</v>
      </c>
      <c r="AF101" s="85" t="s">
        <v>37</v>
      </c>
      <c r="AG101" s="83" t="s">
        <v>37</v>
      </c>
      <c r="AH101" s="86" t="s">
        <v>37</v>
      </c>
      <c r="AI101" s="11">
        <f t="shared" si="23"/>
        <v>208076</v>
      </c>
      <c r="AJ101" s="11">
        <f t="shared" si="23"/>
        <v>496</v>
      </c>
      <c r="AK101" s="18">
        <f t="shared" si="25"/>
        <v>0.37265214124718254</v>
      </c>
      <c r="AL101" s="18">
        <f>((ABS(AI21-AI61)/2)/Table1[[#This Row],[Time Elapsed (s)]])</f>
        <v>6.3342240335262116E-3</v>
      </c>
      <c r="AM101" s="18">
        <f>(ABS(AJ21-AJ61)/2)/Table1[[#This Row],[Number of Particles Conserved]]</f>
        <v>0</v>
      </c>
      <c r="AN101" s="18">
        <f>($AI$94-Table1[[#This Row],[Time Elapsed (s)]])/$AI$94</f>
        <v>0.33961737187543639</v>
      </c>
      <c r="AO101" s="18">
        <f>($AJ$94-Table1[[#This Row],[Number of Particles Conserved]])/$AJ$94</f>
        <v>0.59543230016313209</v>
      </c>
      <c r="AP101" s="9"/>
      <c r="AQ101" s="9"/>
    </row>
    <row r="102" spans="19:43">
      <c r="S102" s="95"/>
      <c r="T102" s="82" t="s">
        <v>37</v>
      </c>
      <c r="U102" s="82" t="s">
        <v>37</v>
      </c>
      <c r="V102" s="81" t="s">
        <v>37</v>
      </c>
      <c r="W102" s="11">
        <v>45</v>
      </c>
      <c r="X102" s="11" t="s">
        <v>46</v>
      </c>
      <c r="Y102" s="16">
        <v>0.2</v>
      </c>
      <c r="Z102" s="81" t="s">
        <v>37</v>
      </c>
      <c r="AA102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102" s="84" t="s">
        <v>37</v>
      </c>
      <c r="AC102" s="85" t="s">
        <v>37</v>
      </c>
      <c r="AD102" s="83" t="s">
        <v>37</v>
      </c>
      <c r="AE102" s="84" t="s">
        <v>37</v>
      </c>
      <c r="AF102" s="85" t="s">
        <v>37</v>
      </c>
      <c r="AG102" s="83" t="s">
        <v>37</v>
      </c>
      <c r="AH102" s="86" t="s">
        <v>37</v>
      </c>
      <c r="AI102" s="11">
        <f t="shared" si="23"/>
        <v>209009</v>
      </c>
      <c r="AJ102" s="11">
        <f t="shared" si="23"/>
        <v>236</v>
      </c>
      <c r="AK102" s="18">
        <f t="shared" si="25"/>
        <v>0.17731029301277235</v>
      </c>
      <c r="AL102" s="18">
        <f>((ABS(AI22-AI62)/2)/Table1[[#This Row],[Time Elapsed (s)]])</f>
        <v>1.0133534919548919E-2</v>
      </c>
      <c r="AM102" s="18">
        <f>(ABS(AJ22-AJ62)/2)/Table1[[#This Row],[Number of Particles Conserved]]</f>
        <v>0</v>
      </c>
      <c r="AN102" s="18">
        <f>($AI$94-Table1[[#This Row],[Time Elapsed (s)]])/$AI$94</f>
        <v>0.33665625674423327</v>
      </c>
      <c r="AO102" s="18">
        <f>($AJ$94-Table1[[#This Row],[Number of Particles Conserved]])/$AJ$94</f>
        <v>0.80750407830342574</v>
      </c>
      <c r="AP102" s="9"/>
      <c r="AQ102" s="9"/>
    </row>
    <row r="103" spans="19:43">
      <c r="S103" s="95"/>
      <c r="T103" s="82" t="s">
        <v>37</v>
      </c>
      <c r="U103" s="82" t="s">
        <v>37</v>
      </c>
      <c r="V103" s="81" t="s">
        <v>37</v>
      </c>
      <c r="W103" s="11">
        <v>45</v>
      </c>
      <c r="X103" s="11" t="s">
        <v>46</v>
      </c>
      <c r="Y103" s="16">
        <v>0.25</v>
      </c>
      <c r="Z103" s="81" t="s">
        <v>37</v>
      </c>
      <c r="AA103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20576132</v>
      </c>
      <c r="AB103" s="84" t="s">
        <v>37</v>
      </c>
      <c r="AC103" s="85" t="s">
        <v>37</v>
      </c>
      <c r="AD103" s="83" t="s">
        <v>37</v>
      </c>
      <c r="AE103" s="84" t="s">
        <v>37</v>
      </c>
      <c r="AF103" s="85" t="s">
        <v>37</v>
      </c>
      <c r="AG103" s="83" t="s">
        <v>37</v>
      </c>
      <c r="AH103" s="86" t="s">
        <v>37</v>
      </c>
      <c r="AI103" s="11">
        <f t="shared" si="23"/>
        <v>204105.5</v>
      </c>
      <c r="AJ103" s="11">
        <f t="shared" si="23"/>
        <v>346</v>
      </c>
      <c r="AK103" s="18">
        <f t="shared" si="25"/>
        <v>0.2599549211119459</v>
      </c>
      <c r="AL103" s="18">
        <f>((ABS(AI23-AI63)/2)/Table1[[#This Row],[Time Elapsed (s)]])</f>
        <v>1.5278863136956132E-2</v>
      </c>
      <c r="AM103" s="18">
        <f>(ABS(AJ23-AJ63)/2)/Table1[[#This Row],[Number of Particles Conserved]]</f>
        <v>0</v>
      </c>
      <c r="AN103" s="18">
        <f>($AI$94-Table1[[#This Row],[Time Elapsed (s)]])/$AI$94</f>
        <v>0.35221877340645669</v>
      </c>
      <c r="AO103" s="18">
        <f>($AJ$94-Table1[[#This Row],[Number of Particles Conserved]])/$AJ$94</f>
        <v>0.71778140293637849</v>
      </c>
      <c r="AP103" s="9"/>
      <c r="AQ103" s="9"/>
    </row>
    <row r="104" spans="19:43">
      <c r="S104" s="95"/>
      <c r="T104" s="82" t="s">
        <v>37</v>
      </c>
      <c r="U104" s="82" t="s">
        <v>37</v>
      </c>
      <c r="V104" s="81" t="s">
        <v>37</v>
      </c>
      <c r="W104" s="11">
        <v>60</v>
      </c>
      <c r="X104" s="11" t="s">
        <v>45</v>
      </c>
      <c r="Y104" s="15">
        <v>0</v>
      </c>
      <c r="Z104" s="81" t="s">
        <v>37</v>
      </c>
      <c r="AA104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104" s="84" t="s">
        <v>37</v>
      </c>
      <c r="AC104" s="85" t="s">
        <v>37</v>
      </c>
      <c r="AD104" s="83" t="s">
        <v>37</v>
      </c>
      <c r="AE104" s="84" t="s">
        <v>37</v>
      </c>
      <c r="AF104" s="85" t="s">
        <v>37</v>
      </c>
      <c r="AG104" s="83" t="s">
        <v>37</v>
      </c>
      <c r="AH104" s="86" t="s">
        <v>37</v>
      </c>
      <c r="AI104" s="11">
        <f t="shared" si="23"/>
        <v>214389.5</v>
      </c>
      <c r="AJ104" s="11">
        <f t="shared" si="23"/>
        <v>495</v>
      </c>
      <c r="AK104" s="18">
        <f>AJ104/$M$7</f>
        <v>0.94827586206896552</v>
      </c>
      <c r="AL104" s="18">
        <f>((ABS(AI24-AI64)/2)/Table1[[#This Row],[Time Elapsed (s)]])</f>
        <v>2.8385252076244406E-2</v>
      </c>
      <c r="AM104" s="18">
        <f>(ABS(AJ24-AJ64)/2)/Table1[[#This Row],[Number of Particles Conserved]]</f>
        <v>0</v>
      </c>
      <c r="AN104" s="87" t="s">
        <v>37</v>
      </c>
      <c r="AO104" s="87" t="s">
        <v>37</v>
      </c>
      <c r="AP104" s="104">
        <f>(AI104-(AVERAGE(AI105:AI113)))/AI104*100</f>
        <v>27.699221380814926</v>
      </c>
      <c r="AQ104" s="18">
        <f>AK105/Table1[[#This Row],[% of Particles Conserved  ]]</f>
        <v>0.81616161616161609</v>
      </c>
    </row>
    <row r="105" spans="19:43">
      <c r="S105" s="95"/>
      <c r="T105" s="82" t="s">
        <v>37</v>
      </c>
      <c r="U105" s="82" t="s">
        <v>37</v>
      </c>
      <c r="V105" s="81" t="s">
        <v>37</v>
      </c>
      <c r="W105" s="11">
        <v>60</v>
      </c>
      <c r="X105" s="11" t="s">
        <v>46</v>
      </c>
      <c r="Y105" s="16">
        <v>1E-3</v>
      </c>
      <c r="Z105" s="81" t="s">
        <v>37</v>
      </c>
      <c r="AA105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105" s="84" t="s">
        <v>37</v>
      </c>
      <c r="AC105" s="85" t="s">
        <v>37</v>
      </c>
      <c r="AD105" s="83" t="s">
        <v>37</v>
      </c>
      <c r="AE105" s="84" t="s">
        <v>37</v>
      </c>
      <c r="AF105" s="85" t="s">
        <v>37</v>
      </c>
      <c r="AG105" s="83" t="s">
        <v>37</v>
      </c>
      <c r="AH105" s="86" t="s">
        <v>37</v>
      </c>
      <c r="AI105" s="11">
        <f t="shared" si="23"/>
        <v>154672</v>
      </c>
      <c r="AJ105" s="11">
        <f t="shared" si="23"/>
        <v>404</v>
      </c>
      <c r="AK105" s="18">
        <f t="shared" ref="AK105:AK113" si="26">AJ105/$M$7</f>
        <v>0.77394636015325668</v>
      </c>
      <c r="AL105" s="18">
        <f>((ABS(AI25-AI65)/2)/Table1[[#This Row],[Time Elapsed (s)]])</f>
        <v>1.5031809247956968E-2</v>
      </c>
      <c r="AM105" s="18">
        <f>(ABS(AJ25-AJ65)/2)/Table1[[#This Row],[Number of Particles Conserved]]</f>
        <v>0</v>
      </c>
      <c r="AN105" s="18">
        <f>($AI$104-Table1[[#This Row],[Time Elapsed (s)]])/$AI$104</f>
        <v>0.27854675718726896</v>
      </c>
      <c r="AO105" s="18">
        <f>($AJ$104-Table1[[#This Row],[Number of Particles Conserved]])/$AJ$104</f>
        <v>0.18383838383838383</v>
      </c>
      <c r="AP105" s="11"/>
      <c r="AQ105" s="9"/>
    </row>
    <row r="106" spans="19:43">
      <c r="S106" s="95"/>
      <c r="T106" s="82" t="s">
        <v>37</v>
      </c>
      <c r="U106" s="82" t="s">
        <v>37</v>
      </c>
      <c r="V106" s="81" t="s">
        <v>37</v>
      </c>
      <c r="W106" s="11">
        <v>60</v>
      </c>
      <c r="X106" s="11" t="s">
        <v>46</v>
      </c>
      <c r="Y106" s="15">
        <v>5.0000000000000001E-3</v>
      </c>
      <c r="Z106" s="81" t="s">
        <v>37</v>
      </c>
      <c r="AA106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106" s="84" t="s">
        <v>37</v>
      </c>
      <c r="AC106" s="85" t="s">
        <v>37</v>
      </c>
      <c r="AD106" s="83" t="s">
        <v>37</v>
      </c>
      <c r="AE106" s="84" t="s">
        <v>37</v>
      </c>
      <c r="AF106" s="85" t="s">
        <v>37</v>
      </c>
      <c r="AG106" s="83" t="s">
        <v>37</v>
      </c>
      <c r="AH106" s="86" t="s">
        <v>37</v>
      </c>
      <c r="AI106" s="11">
        <f t="shared" si="23"/>
        <v>159048</v>
      </c>
      <c r="AJ106" s="11">
        <f t="shared" si="23"/>
        <v>372</v>
      </c>
      <c r="AK106" s="18">
        <f t="shared" si="26"/>
        <v>0.71264367816091956</v>
      </c>
      <c r="AL106" s="18">
        <f>((ABS(AI26-AI66)/2)/Table1[[#This Row],[Time Elapsed (s)]])</f>
        <v>6.9475881494894627E-3</v>
      </c>
      <c r="AM106" s="18">
        <f>(ABS(AJ26-AJ66)/2)/Table1[[#This Row],[Number of Particles Conserved]]</f>
        <v>0</v>
      </c>
      <c r="AN106" s="18">
        <f>($AI$104-Table1[[#This Row],[Time Elapsed (s)]])/$AI$104</f>
        <v>0.25813530979828769</v>
      </c>
      <c r="AO106" s="18">
        <f>($AJ$104-Table1[[#This Row],[Number of Particles Conserved]])/$AJ$104</f>
        <v>0.24848484848484848</v>
      </c>
      <c r="AP106" s="105"/>
      <c r="AQ106" s="9"/>
    </row>
    <row r="107" spans="19:43">
      <c r="S107" s="95"/>
      <c r="T107" s="82" t="s">
        <v>37</v>
      </c>
      <c r="U107" s="82" t="s">
        <v>37</v>
      </c>
      <c r="V107" s="81" t="s">
        <v>37</v>
      </c>
      <c r="W107" s="11">
        <v>60</v>
      </c>
      <c r="X107" s="11" t="s">
        <v>46</v>
      </c>
      <c r="Y107" s="15">
        <v>2.5000000000000001E-2</v>
      </c>
      <c r="Z107" s="81" t="s">
        <v>37</v>
      </c>
      <c r="AA107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107" s="84" t="s">
        <v>37</v>
      </c>
      <c r="AC107" s="85" t="s">
        <v>37</v>
      </c>
      <c r="AD107" s="83" t="s">
        <v>37</v>
      </c>
      <c r="AE107" s="84" t="s">
        <v>37</v>
      </c>
      <c r="AF107" s="85" t="s">
        <v>37</v>
      </c>
      <c r="AG107" s="83" t="s">
        <v>37</v>
      </c>
      <c r="AH107" s="86" t="s">
        <v>37</v>
      </c>
      <c r="AI107" s="11">
        <f t="shared" si="23"/>
        <v>155014</v>
      </c>
      <c r="AJ107" s="11">
        <f t="shared" si="23"/>
        <v>244</v>
      </c>
      <c r="AK107" s="18">
        <f t="shared" si="26"/>
        <v>0.46743295019157088</v>
      </c>
      <c r="AL107" s="18">
        <f>((ABS(AI27-AI67)/2)/Table1[[#This Row],[Time Elapsed (s)]])</f>
        <v>1.708877907801876E-2</v>
      </c>
      <c r="AM107" s="18">
        <f>(ABS(AJ27-AJ67)/2)/Table1[[#This Row],[Number of Particles Conserved]]</f>
        <v>0</v>
      </c>
      <c r="AN107" s="18">
        <f>($AI$104-Table1[[#This Row],[Time Elapsed (s)]])/$AI$104</f>
        <v>0.27695152980906246</v>
      </c>
      <c r="AO107" s="18">
        <f>($AJ$104-Table1[[#This Row],[Number of Particles Conserved]])/$AJ$104</f>
        <v>0.50707070707070712</v>
      </c>
      <c r="AP107" s="9"/>
      <c r="AQ107" s="9"/>
    </row>
    <row r="108" spans="19:43">
      <c r="S108" s="95"/>
      <c r="T108" s="82" t="s">
        <v>37</v>
      </c>
      <c r="U108" s="82" t="s">
        <v>37</v>
      </c>
      <c r="V108" s="81" t="s">
        <v>37</v>
      </c>
      <c r="W108" s="11">
        <v>60</v>
      </c>
      <c r="X108" s="11" t="s">
        <v>46</v>
      </c>
      <c r="Y108" s="15">
        <v>0.05</v>
      </c>
      <c r="Z108" s="81" t="s">
        <v>37</v>
      </c>
      <c r="AA108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108" s="84" t="s">
        <v>37</v>
      </c>
      <c r="AC108" s="85" t="s">
        <v>37</v>
      </c>
      <c r="AD108" s="83" t="s">
        <v>37</v>
      </c>
      <c r="AE108" s="84" t="s">
        <v>37</v>
      </c>
      <c r="AF108" s="85" t="s">
        <v>37</v>
      </c>
      <c r="AG108" s="83" t="s">
        <v>37</v>
      </c>
      <c r="AH108" s="86" t="s">
        <v>37</v>
      </c>
      <c r="AI108" s="11">
        <f t="shared" si="23"/>
        <v>157100</v>
      </c>
      <c r="AJ108" s="11">
        <f t="shared" si="23"/>
        <v>274</v>
      </c>
      <c r="AK108" s="18">
        <f t="shared" si="26"/>
        <v>0.52490421455938696</v>
      </c>
      <c r="AL108" s="18">
        <f>((ABS(AI28-AI68)/2)/Table1[[#This Row],[Time Elapsed (s)]])</f>
        <v>7.3010821133036282E-3</v>
      </c>
      <c r="AM108" s="18">
        <f>(ABS(AJ28-AJ68)/2)/Table1[[#This Row],[Number of Particles Conserved]]</f>
        <v>0</v>
      </c>
      <c r="AN108" s="18">
        <f>($AI$104-Table1[[#This Row],[Time Elapsed (s)]])/$AI$104</f>
        <v>0.26722157568351063</v>
      </c>
      <c r="AO108" s="18">
        <f>($AJ$104-Table1[[#This Row],[Number of Particles Conserved]])/$AJ$104</f>
        <v>0.44646464646464645</v>
      </c>
      <c r="AP108" s="9"/>
      <c r="AQ108" s="9"/>
    </row>
    <row r="109" spans="19:43">
      <c r="S109" s="95"/>
      <c r="T109" s="82" t="s">
        <v>37</v>
      </c>
      <c r="U109" s="82" t="s">
        <v>37</v>
      </c>
      <c r="V109" s="81" t="s">
        <v>37</v>
      </c>
      <c r="W109" s="11">
        <v>60</v>
      </c>
      <c r="X109" s="11" t="s">
        <v>46</v>
      </c>
      <c r="Y109" s="15">
        <v>7.4999999999999997E-2</v>
      </c>
      <c r="Z109" s="81" t="s">
        <v>37</v>
      </c>
      <c r="AA109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109" s="84" t="s">
        <v>37</v>
      </c>
      <c r="AC109" s="85" t="s">
        <v>37</v>
      </c>
      <c r="AD109" s="83" t="s">
        <v>37</v>
      </c>
      <c r="AE109" s="84" t="s">
        <v>37</v>
      </c>
      <c r="AF109" s="85" t="s">
        <v>37</v>
      </c>
      <c r="AG109" s="83" t="s">
        <v>37</v>
      </c>
      <c r="AH109" s="86" t="s">
        <v>37</v>
      </c>
      <c r="AI109" s="11">
        <f t="shared" si="23"/>
        <v>154803</v>
      </c>
      <c r="AJ109" s="11">
        <f t="shared" si="23"/>
        <v>187</v>
      </c>
      <c r="AK109" s="18">
        <f t="shared" si="26"/>
        <v>0.35823754789272033</v>
      </c>
      <c r="AL109" s="18">
        <f>((ABS(AI29-AI69)/2)/Table1[[#This Row],[Time Elapsed (s)]])</f>
        <v>1.5865325607384871E-2</v>
      </c>
      <c r="AM109" s="18">
        <f>(ABS(AJ29-AJ69)/2)/Table1[[#This Row],[Number of Particles Conserved]]</f>
        <v>0</v>
      </c>
      <c r="AN109" s="18">
        <f>($AI$104-Table1[[#This Row],[Time Elapsed (s)]])/$AI$104</f>
        <v>0.27793571979971032</v>
      </c>
      <c r="AO109" s="18">
        <f>($AJ$104-Table1[[#This Row],[Number of Particles Conserved]])/$AJ$104</f>
        <v>0.62222222222222223</v>
      </c>
      <c r="AP109" s="9"/>
      <c r="AQ109" s="9"/>
    </row>
    <row r="110" spans="19:43">
      <c r="S110" s="95"/>
      <c r="T110" s="82" t="s">
        <v>37</v>
      </c>
      <c r="U110" s="82" t="s">
        <v>37</v>
      </c>
      <c r="V110" s="81" t="s">
        <v>37</v>
      </c>
      <c r="W110" s="11">
        <v>60</v>
      </c>
      <c r="X110" s="11" t="s">
        <v>46</v>
      </c>
      <c r="Y110" s="16">
        <v>0.1</v>
      </c>
      <c r="Z110" s="81" t="s">
        <v>37</v>
      </c>
      <c r="AA110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110" s="84" t="s">
        <v>37</v>
      </c>
      <c r="AC110" s="85" t="s">
        <v>37</v>
      </c>
      <c r="AD110" s="83" t="s">
        <v>37</v>
      </c>
      <c r="AE110" s="84" t="s">
        <v>37</v>
      </c>
      <c r="AF110" s="85" t="s">
        <v>37</v>
      </c>
      <c r="AG110" s="83" t="s">
        <v>37</v>
      </c>
      <c r="AH110" s="86" t="s">
        <v>37</v>
      </c>
      <c r="AI110" s="11">
        <f t="shared" si="23"/>
        <v>152996</v>
      </c>
      <c r="AJ110" s="11">
        <f t="shared" si="23"/>
        <v>299</v>
      </c>
      <c r="AK110" s="18">
        <f t="shared" si="26"/>
        <v>0.57279693486590033</v>
      </c>
      <c r="AL110" s="18">
        <f>((ABS(AI30-AI70)/2)/Table1[[#This Row],[Time Elapsed (s)]])</f>
        <v>3.1177285680671391E-3</v>
      </c>
      <c r="AM110" s="18">
        <f>(ABS(AJ30-AJ70)/2)/Table1[[#This Row],[Number of Particles Conserved]]</f>
        <v>0</v>
      </c>
      <c r="AN110" s="18">
        <f>($AI$104-Table1[[#This Row],[Time Elapsed (s)]])/$AI$104</f>
        <v>0.2863643042219885</v>
      </c>
      <c r="AO110" s="18">
        <f>($AJ$104-Table1[[#This Row],[Number of Particles Conserved]])/$AJ$104</f>
        <v>0.39595959595959596</v>
      </c>
      <c r="AP110" s="9"/>
      <c r="AQ110" s="9"/>
    </row>
    <row r="111" spans="19:43">
      <c r="S111" s="95"/>
      <c r="T111" s="82" t="s">
        <v>37</v>
      </c>
      <c r="U111" s="82" t="s">
        <v>37</v>
      </c>
      <c r="V111" s="81" t="s">
        <v>37</v>
      </c>
      <c r="W111" s="11">
        <v>60</v>
      </c>
      <c r="X111" s="11" t="s">
        <v>46</v>
      </c>
      <c r="Y111" s="16">
        <v>0.15</v>
      </c>
      <c r="Z111" s="81" t="s">
        <v>37</v>
      </c>
      <c r="AA111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111" s="84" t="s">
        <v>37</v>
      </c>
      <c r="AC111" s="85" t="s">
        <v>37</v>
      </c>
      <c r="AD111" s="83" t="s">
        <v>37</v>
      </c>
      <c r="AE111" s="84" t="s">
        <v>37</v>
      </c>
      <c r="AF111" s="85" t="s">
        <v>37</v>
      </c>
      <c r="AG111" s="83" t="s">
        <v>37</v>
      </c>
      <c r="AH111" s="86" t="s">
        <v>37</v>
      </c>
      <c r="AI111" s="11">
        <f t="shared" si="23"/>
        <v>156447</v>
      </c>
      <c r="AJ111" s="11">
        <f t="shared" si="23"/>
        <v>172</v>
      </c>
      <c r="AK111" s="18">
        <f t="shared" si="26"/>
        <v>0.32950191570881227</v>
      </c>
      <c r="AL111" s="18">
        <f>((ABS(AI31-AI71)/2)/Table1[[#This Row],[Time Elapsed (s)]])</f>
        <v>1.2304486503416492E-2</v>
      </c>
      <c r="AM111" s="18">
        <f>(ABS(AJ31-AJ71)/2)/Table1[[#This Row],[Number of Particles Conserved]]</f>
        <v>0</v>
      </c>
      <c r="AN111" s="18">
        <f>($AI$104-Table1[[#This Row],[Time Elapsed (s)]])/$AI$104</f>
        <v>0.27026743380622653</v>
      </c>
      <c r="AO111" s="18">
        <f>($AJ$104-Table1[[#This Row],[Number of Particles Conserved]])/$AJ$104</f>
        <v>0.65252525252525251</v>
      </c>
      <c r="AP111" s="9"/>
      <c r="AQ111" s="9"/>
    </row>
    <row r="112" spans="19:43">
      <c r="S112" s="95"/>
      <c r="T112" s="82" t="s">
        <v>37</v>
      </c>
      <c r="U112" s="82" t="s">
        <v>37</v>
      </c>
      <c r="V112" s="81" t="s">
        <v>37</v>
      </c>
      <c r="W112" s="11">
        <v>60</v>
      </c>
      <c r="X112" s="11" t="s">
        <v>46</v>
      </c>
      <c r="Y112" s="16">
        <v>0.2</v>
      </c>
      <c r="Z112" s="81" t="s">
        <v>37</v>
      </c>
      <c r="AA112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112" s="84" t="s">
        <v>37</v>
      </c>
      <c r="AC112" s="85" t="s">
        <v>37</v>
      </c>
      <c r="AD112" s="83" t="s">
        <v>37</v>
      </c>
      <c r="AE112" s="84" t="s">
        <v>37</v>
      </c>
      <c r="AF112" s="85" t="s">
        <v>37</v>
      </c>
      <c r="AG112" s="83" t="s">
        <v>37</v>
      </c>
      <c r="AH112" s="86" t="s">
        <v>37</v>
      </c>
      <c r="AI112" s="11">
        <f t="shared" si="23"/>
        <v>152906</v>
      </c>
      <c r="AJ112" s="11">
        <f t="shared" si="23"/>
        <v>278</v>
      </c>
      <c r="AK112" s="18">
        <f t="shared" si="26"/>
        <v>0.53256704980842917</v>
      </c>
      <c r="AL112" s="18">
        <f>((ABS(AI32-AI72)/2)/Table1[[#This Row],[Time Elapsed (s)]])</f>
        <v>1.131414071390266E-2</v>
      </c>
      <c r="AM112" s="18">
        <f>(ABS(AJ32-AJ72)/2)/Table1[[#This Row],[Number of Particles Conserved]]</f>
        <v>0</v>
      </c>
      <c r="AN112" s="18">
        <f>($AI$104-Table1[[#This Row],[Time Elapsed (s)]])/$AI$104</f>
        <v>0.28678410090046386</v>
      </c>
      <c r="AO112" s="18">
        <f>($AJ$104-Table1[[#This Row],[Number of Particles Conserved]])/$AJ$104</f>
        <v>0.43838383838383838</v>
      </c>
      <c r="AP112" s="9"/>
      <c r="AQ112" s="9"/>
    </row>
    <row r="113" spans="1:43">
      <c r="S113" s="95"/>
      <c r="T113" s="82" t="s">
        <v>37</v>
      </c>
      <c r="U113" s="82" t="s">
        <v>37</v>
      </c>
      <c r="V113" s="81" t="s">
        <v>37</v>
      </c>
      <c r="W113" s="11">
        <v>60</v>
      </c>
      <c r="X113" s="11" t="s">
        <v>46</v>
      </c>
      <c r="Y113" s="16">
        <v>0.25</v>
      </c>
      <c r="Z113" s="81" t="s">
        <v>37</v>
      </c>
      <c r="AA113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15432099</v>
      </c>
      <c r="AB113" s="84" t="s">
        <v>37</v>
      </c>
      <c r="AC113" s="85" t="s">
        <v>37</v>
      </c>
      <c r="AD113" s="83" t="s">
        <v>37</v>
      </c>
      <c r="AE113" s="84" t="s">
        <v>37</v>
      </c>
      <c r="AF113" s="85" t="s">
        <v>37</v>
      </c>
      <c r="AG113" s="83" t="s">
        <v>37</v>
      </c>
      <c r="AH113" s="86" t="s">
        <v>37</v>
      </c>
      <c r="AI113" s="11">
        <f t="shared" si="23"/>
        <v>152061.5</v>
      </c>
      <c r="AJ113" s="11">
        <f t="shared" si="23"/>
        <v>129</v>
      </c>
      <c r="AK113" s="18">
        <f t="shared" si="26"/>
        <v>0.2471264367816092</v>
      </c>
      <c r="AL113" s="18">
        <f>((ABS(AI33-AI73)/2)/Table1[[#This Row],[Time Elapsed (s)]])</f>
        <v>7.3621528131709866E-3</v>
      </c>
      <c r="AM113" s="18">
        <f>(ABS(AJ33-AJ73)/2)/Table1[[#This Row],[Number of Particles Conserved]]</f>
        <v>0</v>
      </c>
      <c r="AN113" s="18">
        <f>($AI$104-Table1[[#This Row],[Time Elapsed (s)]])/$AI$104</f>
        <v>0.29072319306682465</v>
      </c>
      <c r="AO113" s="18">
        <f>($AJ$104-Table1[[#This Row],[Number of Particles Conserved]])/$AJ$104</f>
        <v>0.73939393939393938</v>
      </c>
      <c r="AP113" s="9"/>
      <c r="AQ113" s="9"/>
    </row>
    <row r="114" spans="1:43">
      <c r="S114" s="95"/>
      <c r="T114" s="82" t="s">
        <v>37</v>
      </c>
      <c r="U114" s="82" t="s">
        <v>37</v>
      </c>
      <c r="V114" s="81" t="s">
        <v>37</v>
      </c>
      <c r="W114" s="11">
        <v>75</v>
      </c>
      <c r="X114" s="11" t="s">
        <v>45</v>
      </c>
      <c r="Y114" s="15">
        <v>0</v>
      </c>
      <c r="Z114" s="81" t="s">
        <v>37</v>
      </c>
      <c r="AA114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114" s="84" t="s">
        <v>37</v>
      </c>
      <c r="AC114" s="85" t="s">
        <v>37</v>
      </c>
      <c r="AD114" s="83" t="s">
        <v>37</v>
      </c>
      <c r="AE114" s="84" t="s">
        <v>37</v>
      </c>
      <c r="AF114" s="85" t="s">
        <v>37</v>
      </c>
      <c r="AG114" s="83" t="s">
        <v>37</v>
      </c>
      <c r="AH114" s="86" t="s">
        <v>37</v>
      </c>
      <c r="AI114" s="11">
        <f t="shared" si="23"/>
        <v>171250.5</v>
      </c>
      <c r="AJ114" s="11">
        <f t="shared" si="23"/>
        <v>282</v>
      </c>
      <c r="AK114" s="18">
        <f>AJ114/$M$8</f>
        <v>0.92459016393442628</v>
      </c>
      <c r="AL114" s="18">
        <f>((ABS(AI34-AI74)/2)/Table1[[#This Row],[Time Elapsed (s)]])</f>
        <v>7.6583718003743056E-3</v>
      </c>
      <c r="AM114" s="18">
        <f>(ABS(AJ34-AJ74)/2)/Table1[[#This Row],[Number of Particles Conserved]]</f>
        <v>0</v>
      </c>
      <c r="AN114" s="87" t="s">
        <v>37</v>
      </c>
      <c r="AO114" s="87" t="s">
        <v>37</v>
      </c>
      <c r="AP114" s="104">
        <f>(AI114-(AVERAGE(AI115:AI123)))/AI114*100</f>
        <v>27.662173897951309</v>
      </c>
      <c r="AQ114" s="18">
        <f>AK115/Table1[[#This Row],[% of Particles Conserved  ]]</f>
        <v>0.7943262411347517</v>
      </c>
    </row>
    <row r="115" spans="1:43">
      <c r="S115" s="95"/>
      <c r="T115" s="82" t="s">
        <v>37</v>
      </c>
      <c r="U115" s="82" t="s">
        <v>37</v>
      </c>
      <c r="V115" s="81" t="s">
        <v>37</v>
      </c>
      <c r="W115" s="11">
        <v>75</v>
      </c>
      <c r="X115" s="11" t="s">
        <v>46</v>
      </c>
      <c r="Y115" s="16">
        <v>1E-3</v>
      </c>
      <c r="Z115" s="81" t="s">
        <v>37</v>
      </c>
      <c r="AA115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115" s="84" t="s">
        <v>37</v>
      </c>
      <c r="AC115" s="85" t="s">
        <v>37</v>
      </c>
      <c r="AD115" s="83" t="s">
        <v>37</v>
      </c>
      <c r="AE115" s="84" t="s">
        <v>37</v>
      </c>
      <c r="AF115" s="85" t="s">
        <v>37</v>
      </c>
      <c r="AG115" s="83" t="s">
        <v>37</v>
      </c>
      <c r="AH115" s="86" t="s">
        <v>37</v>
      </c>
      <c r="AI115" s="11">
        <f t="shared" si="23"/>
        <v>122320.5</v>
      </c>
      <c r="AJ115" s="11">
        <f t="shared" si="23"/>
        <v>224</v>
      </c>
      <c r="AK115" s="18">
        <f t="shared" ref="AK115:AK122" si="27">AJ115/$M$8</f>
        <v>0.73442622950819669</v>
      </c>
      <c r="AL115" s="18">
        <f>((ABS(AI35-AI75)/2)/Table1[[#This Row],[Time Elapsed (s)]])</f>
        <v>1.9150510339640534E-2</v>
      </c>
      <c r="AM115" s="18">
        <f>(ABS(AJ35-AJ75)/2)/Table1[[#This Row],[Number of Particles Conserved]]</f>
        <v>0</v>
      </c>
      <c r="AN115" s="18">
        <f>($AI$114-Table1[[#This Row],[Time Elapsed (s)]])/$AI$114</f>
        <v>0.28572179351301163</v>
      </c>
      <c r="AO115" s="18">
        <f>($AJ$114-Table1[[#This Row],[Number of Particles Conserved]])/$AJ$114</f>
        <v>0.20567375886524822</v>
      </c>
      <c r="AP115" s="11"/>
      <c r="AQ115" s="9"/>
    </row>
    <row r="116" spans="1:43">
      <c r="S116" s="95"/>
      <c r="T116" s="82" t="s">
        <v>37</v>
      </c>
      <c r="U116" s="82" t="s">
        <v>37</v>
      </c>
      <c r="V116" s="81" t="s">
        <v>37</v>
      </c>
      <c r="W116" s="11">
        <v>75</v>
      </c>
      <c r="X116" s="11" t="s">
        <v>46</v>
      </c>
      <c r="Y116" s="16">
        <v>5.0000000000000001E-3</v>
      </c>
      <c r="Z116" s="81" t="s">
        <v>37</v>
      </c>
      <c r="AA116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116" s="84" t="s">
        <v>37</v>
      </c>
      <c r="AC116" s="85" t="s">
        <v>37</v>
      </c>
      <c r="AD116" s="83" t="s">
        <v>37</v>
      </c>
      <c r="AE116" s="84" t="s">
        <v>37</v>
      </c>
      <c r="AF116" s="85" t="s">
        <v>37</v>
      </c>
      <c r="AG116" s="83" t="s">
        <v>37</v>
      </c>
      <c r="AH116" s="86" t="s">
        <v>37</v>
      </c>
      <c r="AI116" s="11">
        <f t="shared" si="23"/>
        <v>123257.5</v>
      </c>
      <c r="AJ116" s="11">
        <f t="shared" si="23"/>
        <v>208</v>
      </c>
      <c r="AK116" s="18">
        <f t="shared" si="27"/>
        <v>0.68196721311475406</v>
      </c>
      <c r="AL116" s="18">
        <f>((ABS(AI36-AI76)/2)/Table1[[#This Row],[Time Elapsed (s)]])</f>
        <v>1.6757600957345395E-2</v>
      </c>
      <c r="AM116" s="18">
        <f>(ABS(AJ36-AJ76)/2)/Table1[[#This Row],[Number of Particles Conserved]]</f>
        <v>0</v>
      </c>
      <c r="AN116" s="18">
        <f>($AI$114-Table1[[#This Row],[Time Elapsed (s)]])/$AI$114</f>
        <v>0.28025027664152807</v>
      </c>
      <c r="AO116" s="18">
        <f>($AJ$114-Table1[[#This Row],[Number of Particles Conserved]])/$AJ$114</f>
        <v>0.26241134751773049</v>
      </c>
      <c r="AP116" s="105"/>
      <c r="AQ116" s="9"/>
    </row>
    <row r="117" spans="1:43">
      <c r="S117" s="95"/>
      <c r="T117" s="82" t="s">
        <v>37</v>
      </c>
      <c r="U117" s="82" t="s">
        <v>37</v>
      </c>
      <c r="V117" s="81" t="s">
        <v>37</v>
      </c>
      <c r="W117" s="11">
        <v>75</v>
      </c>
      <c r="X117" s="11" t="s">
        <v>46</v>
      </c>
      <c r="Y117" s="16">
        <v>2.5000000000000001E-2</v>
      </c>
      <c r="Z117" s="81" t="s">
        <v>37</v>
      </c>
      <c r="AA117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117" s="84" t="s">
        <v>37</v>
      </c>
      <c r="AC117" s="85" t="s">
        <v>37</v>
      </c>
      <c r="AD117" s="83" t="s">
        <v>37</v>
      </c>
      <c r="AE117" s="84" t="s">
        <v>37</v>
      </c>
      <c r="AF117" s="85" t="s">
        <v>37</v>
      </c>
      <c r="AG117" s="83" t="s">
        <v>37</v>
      </c>
      <c r="AH117" s="86" t="s">
        <v>37</v>
      </c>
      <c r="AI117" s="11">
        <f t="shared" si="23"/>
        <v>128665.5</v>
      </c>
      <c r="AJ117" s="11">
        <f t="shared" si="23"/>
        <v>158</v>
      </c>
      <c r="AK117" s="18">
        <f t="shared" si="27"/>
        <v>0.5180327868852459</v>
      </c>
      <c r="AL117" s="18">
        <f>((ABS(AI37-AI77)/2)/Table1[[#This Row],[Time Elapsed (s)]])</f>
        <v>8.3433399007503961E-3</v>
      </c>
      <c r="AM117" s="18">
        <f>(ABS(AJ37-AJ77)/2)/Table1[[#This Row],[Number of Particles Conserved]]</f>
        <v>0</v>
      </c>
      <c r="AN117" s="18">
        <f>($AI$114-Table1[[#This Row],[Time Elapsed (s)]])/$AI$114</f>
        <v>0.24867080680056408</v>
      </c>
      <c r="AO117" s="18">
        <f>($AJ$114-Table1[[#This Row],[Number of Particles Conserved]])/$AJ$114</f>
        <v>0.43971631205673761</v>
      </c>
      <c r="AP117" s="9"/>
      <c r="AQ117" s="9"/>
    </row>
    <row r="118" spans="1:43">
      <c r="S118" s="95"/>
      <c r="T118" s="82" t="s">
        <v>37</v>
      </c>
      <c r="U118" s="82" t="s">
        <v>37</v>
      </c>
      <c r="V118" s="81" t="s">
        <v>37</v>
      </c>
      <c r="W118" s="11">
        <v>75</v>
      </c>
      <c r="X118" s="11" t="s">
        <v>46</v>
      </c>
      <c r="Y118" s="16">
        <v>0.05</v>
      </c>
      <c r="Z118" s="81" t="s">
        <v>37</v>
      </c>
      <c r="AA118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118" s="84" t="s">
        <v>37</v>
      </c>
      <c r="AC118" s="85" t="s">
        <v>37</v>
      </c>
      <c r="AD118" s="83" t="s">
        <v>37</v>
      </c>
      <c r="AE118" s="84" t="s">
        <v>37</v>
      </c>
      <c r="AF118" s="85" t="s">
        <v>37</v>
      </c>
      <c r="AG118" s="83" t="s">
        <v>37</v>
      </c>
      <c r="AH118" s="86" t="s">
        <v>37</v>
      </c>
      <c r="AI118" s="11">
        <f t="shared" si="23"/>
        <v>125860.5</v>
      </c>
      <c r="AJ118" s="11">
        <f t="shared" si="23"/>
        <v>140</v>
      </c>
      <c r="AK118" s="18">
        <f t="shared" si="27"/>
        <v>0.45901639344262296</v>
      </c>
      <c r="AL118" s="18">
        <f>((ABS(AI38-AI78)/2)/Table1[[#This Row],[Time Elapsed (s)]])</f>
        <v>1.0364649751113337E-2</v>
      </c>
      <c r="AM118" s="18">
        <f>(ABS(AJ38-AJ78)/2)/Table1[[#This Row],[Number of Particles Conserved]]</f>
        <v>0</v>
      </c>
      <c r="AN118" s="18">
        <f>($AI$114-Table1[[#This Row],[Time Elapsed (s)]])/$AI$114</f>
        <v>0.26505032102096054</v>
      </c>
      <c r="AO118" s="18">
        <f>($AJ$114-Table1[[#This Row],[Number of Particles Conserved]])/$AJ$114</f>
        <v>0.50354609929078009</v>
      </c>
      <c r="AP118" s="9"/>
      <c r="AQ118" s="9"/>
    </row>
    <row r="119" spans="1:43">
      <c r="S119" s="95"/>
      <c r="T119" s="82" t="s">
        <v>37</v>
      </c>
      <c r="U119" s="82" t="s">
        <v>37</v>
      </c>
      <c r="V119" s="81" t="s">
        <v>37</v>
      </c>
      <c r="W119" s="11">
        <v>75</v>
      </c>
      <c r="X119" s="11" t="s">
        <v>46</v>
      </c>
      <c r="Y119" s="15">
        <v>7.4999999999999997E-2</v>
      </c>
      <c r="Z119" s="81" t="s">
        <v>37</v>
      </c>
      <c r="AA119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119" s="84" t="s">
        <v>37</v>
      </c>
      <c r="AC119" s="85" t="s">
        <v>37</v>
      </c>
      <c r="AD119" s="83" t="s">
        <v>37</v>
      </c>
      <c r="AE119" s="84" t="s">
        <v>37</v>
      </c>
      <c r="AF119" s="85" t="s">
        <v>37</v>
      </c>
      <c r="AG119" s="83" t="s">
        <v>37</v>
      </c>
      <c r="AH119" s="86" t="s">
        <v>37</v>
      </c>
      <c r="AI119" s="11">
        <f t="shared" si="23"/>
        <v>123980</v>
      </c>
      <c r="AJ119" s="11">
        <f t="shared" si="23"/>
        <v>103</v>
      </c>
      <c r="AK119" s="18">
        <f t="shared" si="27"/>
        <v>0.3377049180327869</v>
      </c>
      <c r="AL119" s="18">
        <f>((ABS(AI39-AI79)/2)/Table1[[#This Row],[Time Elapsed (s)]])</f>
        <v>2.0608162606872076E-2</v>
      </c>
      <c r="AM119" s="18">
        <f>(ABS(AJ39-AJ79)/2)/Table1[[#This Row],[Number of Particles Conserved]]</f>
        <v>0</v>
      </c>
      <c r="AN119" s="18">
        <f>($AI$114-Table1[[#This Row],[Time Elapsed (s)]])/$AI$114</f>
        <v>0.27603131085748656</v>
      </c>
      <c r="AO119" s="18">
        <f>($AJ$114-Table1[[#This Row],[Number of Particles Conserved]])/$AJ$114</f>
        <v>0.63475177304964536</v>
      </c>
      <c r="AP119" s="9"/>
      <c r="AQ119" s="9"/>
    </row>
    <row r="120" spans="1:43">
      <c r="S120" s="95"/>
      <c r="T120" s="82" t="s">
        <v>37</v>
      </c>
      <c r="U120" s="82" t="s">
        <v>37</v>
      </c>
      <c r="V120" s="81" t="s">
        <v>37</v>
      </c>
      <c r="W120" s="11">
        <v>75</v>
      </c>
      <c r="X120" s="11" t="s">
        <v>46</v>
      </c>
      <c r="Y120" s="16">
        <v>0.1</v>
      </c>
      <c r="Z120" s="81" t="s">
        <v>37</v>
      </c>
      <c r="AA120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120" s="84" t="s">
        <v>37</v>
      </c>
      <c r="AC120" s="85" t="s">
        <v>37</v>
      </c>
      <c r="AD120" s="83" t="s">
        <v>37</v>
      </c>
      <c r="AE120" s="84" t="s">
        <v>37</v>
      </c>
      <c r="AF120" s="85" t="s">
        <v>37</v>
      </c>
      <c r="AG120" s="83" t="s">
        <v>37</v>
      </c>
      <c r="AH120" s="86" t="s">
        <v>37</v>
      </c>
      <c r="AI120" s="11">
        <f t="shared" si="23"/>
        <v>119883</v>
      </c>
      <c r="AJ120" s="11">
        <f t="shared" si="23"/>
        <v>148</v>
      </c>
      <c r="AK120" s="18">
        <f t="shared" si="27"/>
        <v>0.48524590163934428</v>
      </c>
      <c r="AL120" s="18">
        <f>((ABS(AI40-AI80)/2)/Table1[[#This Row],[Time Elapsed (s)]])</f>
        <v>1.9886055570848243E-2</v>
      </c>
      <c r="AM120" s="18">
        <f>(ABS(AJ40-AJ80)/2)/Table1[[#This Row],[Number of Particles Conserved]]</f>
        <v>0</v>
      </c>
      <c r="AN120" s="18">
        <f>($AI$114-Table1[[#This Row],[Time Elapsed (s)]])/$AI$114</f>
        <v>0.29995532859758073</v>
      </c>
      <c r="AO120" s="18">
        <f>($AJ$114-Table1[[#This Row],[Number of Particles Conserved]])/$AJ$114</f>
        <v>0.47517730496453903</v>
      </c>
      <c r="AP120" s="9"/>
      <c r="AQ120" s="9"/>
    </row>
    <row r="121" spans="1:43">
      <c r="S121" s="95"/>
      <c r="T121" s="82" t="s">
        <v>37</v>
      </c>
      <c r="U121" s="82" t="s">
        <v>37</v>
      </c>
      <c r="V121" s="81" t="s">
        <v>37</v>
      </c>
      <c r="W121" s="11">
        <v>75</v>
      </c>
      <c r="X121" s="11" t="s">
        <v>46</v>
      </c>
      <c r="Y121" s="15">
        <v>0.15</v>
      </c>
      <c r="Z121" s="81" t="s">
        <v>37</v>
      </c>
      <c r="AA121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121" s="84" t="s">
        <v>37</v>
      </c>
      <c r="AC121" s="85" t="s">
        <v>37</v>
      </c>
      <c r="AD121" s="83" t="s">
        <v>37</v>
      </c>
      <c r="AE121" s="84" t="s">
        <v>37</v>
      </c>
      <c r="AF121" s="85" t="s">
        <v>37</v>
      </c>
      <c r="AG121" s="83" t="s">
        <v>37</v>
      </c>
      <c r="AH121" s="86" t="s">
        <v>37</v>
      </c>
      <c r="AI121" s="11">
        <f t="shared" si="23"/>
        <v>124377.5</v>
      </c>
      <c r="AJ121" s="11">
        <f t="shared" si="23"/>
        <v>111</v>
      </c>
      <c r="AK121" s="18">
        <f t="shared" si="27"/>
        <v>0.36393442622950822</v>
      </c>
      <c r="AL121" s="18">
        <f>((ABS(AI41-AI81)/2)/Table1[[#This Row],[Time Elapsed (s)]])</f>
        <v>1.0456071234749051E-2</v>
      </c>
      <c r="AM121" s="18">
        <f>(ABS(AJ41-AJ81)/2)/Table1[[#This Row],[Number of Particles Conserved]]</f>
        <v>0</v>
      </c>
      <c r="AN121" s="18">
        <f>($AI$114-Table1[[#This Row],[Time Elapsed (s)]])/$AI$114</f>
        <v>0.27371014975138758</v>
      </c>
      <c r="AO121" s="18">
        <f>($AJ$114-Table1[[#This Row],[Number of Particles Conserved]])/$AJ$114</f>
        <v>0.6063829787234043</v>
      </c>
      <c r="AP121" s="9"/>
      <c r="AQ121" s="9"/>
    </row>
    <row r="122" spans="1:43">
      <c r="S122" s="95"/>
      <c r="T122" s="82" t="s">
        <v>37</v>
      </c>
      <c r="U122" s="82" t="s">
        <v>37</v>
      </c>
      <c r="V122" s="81" t="s">
        <v>37</v>
      </c>
      <c r="W122" s="11">
        <v>75</v>
      </c>
      <c r="X122" s="11" t="s">
        <v>46</v>
      </c>
      <c r="Y122" s="15">
        <v>0.2</v>
      </c>
      <c r="Z122" s="81" t="s">
        <v>37</v>
      </c>
      <c r="AA122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122" s="84" t="s">
        <v>37</v>
      </c>
      <c r="AC122" s="85" t="s">
        <v>37</v>
      </c>
      <c r="AD122" s="83" t="s">
        <v>37</v>
      </c>
      <c r="AE122" s="84" t="s">
        <v>37</v>
      </c>
      <c r="AF122" s="85" t="s">
        <v>37</v>
      </c>
      <c r="AG122" s="83" t="s">
        <v>37</v>
      </c>
      <c r="AH122" s="86" t="s">
        <v>37</v>
      </c>
      <c r="AI122" s="11">
        <f t="shared" si="23"/>
        <v>122398</v>
      </c>
      <c r="AJ122" s="11">
        <f t="shared" si="23"/>
        <v>80</v>
      </c>
      <c r="AK122" s="18">
        <f t="shared" si="27"/>
        <v>0.26229508196721313</v>
      </c>
      <c r="AL122" s="18">
        <f>((ABS(AI42-AI82)/2)/Table1[[#This Row],[Time Elapsed (s)]])</f>
        <v>1.4379319923528162E-2</v>
      </c>
      <c r="AM122" s="18">
        <f>(ABS(AJ42-AJ82)/2)/Table1[[#This Row],[Number of Particles Conserved]]</f>
        <v>0</v>
      </c>
      <c r="AN122" s="18">
        <f>($AI$114-Table1[[#This Row],[Time Elapsed (s)]])/$AI$114</f>
        <v>0.28526924008980997</v>
      </c>
      <c r="AO122" s="18">
        <f>($AJ$114-Table1[[#This Row],[Number of Particles Conserved]])/$AJ$114</f>
        <v>0.71631205673758869</v>
      </c>
      <c r="AP122" s="9"/>
      <c r="AQ122" s="9"/>
    </row>
    <row r="123" spans="1:43">
      <c r="S123" s="95"/>
      <c r="T123" s="82" t="s">
        <v>37</v>
      </c>
      <c r="U123" s="82" t="s">
        <v>37</v>
      </c>
      <c r="V123" s="81" t="s">
        <v>37</v>
      </c>
      <c r="W123" s="11">
        <v>75</v>
      </c>
      <c r="X123" s="11" t="s">
        <v>46</v>
      </c>
      <c r="Y123" s="16">
        <v>0.25</v>
      </c>
      <c r="Z123" s="81" t="s">
        <v>37</v>
      </c>
      <c r="AA123" s="89">
        <f>IF(Table1[[#This Row],[Size multiplier]]=30, IF(Table1[[#This Row],[Mesh/Primitive]]="M",$I$5,$J$5),IF(Table1[[#This Row],[Size multiplier]]=45,IF(Table1[[#This Row],[Mesh/Primitive]]="M",$I$6,$J$6),IF(Table1[[#This Row],[Size multiplier]]=60,IF(Table1[[#This Row],[Mesh/Primitive]]="M",$I$7,$J$7),IF(Table1[[#This Row],[Mesh/Primitive]]="M",$I$8,$J$8))))</f>
        <v>12345680</v>
      </c>
      <c r="AB123" s="84" t="s">
        <v>37</v>
      </c>
      <c r="AC123" s="85" t="s">
        <v>37</v>
      </c>
      <c r="AD123" s="83" t="s">
        <v>37</v>
      </c>
      <c r="AE123" s="84" t="s">
        <v>37</v>
      </c>
      <c r="AF123" s="85" t="s">
        <v>37</v>
      </c>
      <c r="AG123" s="83" t="s">
        <v>37</v>
      </c>
      <c r="AH123" s="86" t="s">
        <v>37</v>
      </c>
      <c r="AI123" s="11">
        <f t="shared" si="23"/>
        <v>124167.5</v>
      </c>
      <c r="AJ123" s="11">
        <f t="shared" si="23"/>
        <v>76</v>
      </c>
      <c r="AK123" s="18">
        <f>AJ123/$M$8</f>
        <v>0.24918032786885247</v>
      </c>
      <c r="AL123" s="18">
        <f>((ABS(AI43-AI83)/2)/Table1[[#This Row],[Time Elapsed (s)]])</f>
        <v>5.7301628848128536E-3</v>
      </c>
      <c r="AM123" s="18">
        <f>(ABS(AJ43-AJ83)/2)/Table1[[#This Row],[Number of Particles Conserved]]</f>
        <v>0</v>
      </c>
      <c r="AN123" s="18">
        <f>($AI$114-Table1[[#This Row],[Time Elapsed (s)]])/$AI$114</f>
        <v>0.2749364235432889</v>
      </c>
      <c r="AO123" s="18">
        <f>($AJ$114-Table1[[#This Row],[Number of Particles Conserved]])/$AJ$114</f>
        <v>0.73049645390070927</v>
      </c>
      <c r="AP123" s="9"/>
      <c r="AQ123" s="9"/>
    </row>
    <row r="126" spans="1:43"/>
    <row r="127" spans="1:43">
      <c r="A127" s="97" t="s">
        <v>47</v>
      </c>
      <c r="B127" s="98"/>
      <c r="C127" s="99" t="s">
        <v>48</v>
      </c>
      <c r="D127" s="99"/>
      <c r="E127" s="99"/>
      <c r="F127" s="100"/>
      <c r="G127" s="101" t="s">
        <v>49</v>
      </c>
      <c r="H127" s="101"/>
      <c r="I127" s="93" t="s">
        <v>48</v>
      </c>
      <c r="J127" s="93"/>
      <c r="K127" s="93"/>
      <c r="L127" s="94"/>
    </row>
    <row r="128" spans="1:43">
      <c r="A128" s="77" t="s">
        <v>13</v>
      </c>
      <c r="B128" s="5" t="s">
        <v>50</v>
      </c>
      <c r="C128" s="5" t="s">
        <v>51</v>
      </c>
      <c r="D128" s="5" t="s">
        <v>52</v>
      </c>
      <c r="E128" s="5" t="s">
        <v>53</v>
      </c>
      <c r="F128" s="78" t="s">
        <v>54</v>
      </c>
      <c r="G128" s="34" t="s">
        <v>50</v>
      </c>
      <c r="H128" s="34" t="s">
        <v>51</v>
      </c>
      <c r="I128" s="34" t="s">
        <v>55</v>
      </c>
      <c r="J128" s="34" t="s">
        <v>52</v>
      </c>
      <c r="K128" s="34" t="s">
        <v>18</v>
      </c>
      <c r="L128" s="35" t="s">
        <v>56</v>
      </c>
    </row>
    <row r="129" spans="1:12">
      <c r="A129" s="74">
        <v>1</v>
      </c>
      <c r="B129" s="39" t="s">
        <v>57</v>
      </c>
      <c r="C129" s="39">
        <v>30</v>
      </c>
      <c r="D129" s="40">
        <v>1E-3</v>
      </c>
      <c r="E129" s="41">
        <v>14676458</v>
      </c>
      <c r="F129" s="75">
        <v>6</v>
      </c>
      <c r="G129" s="34" t="s">
        <v>58</v>
      </c>
      <c r="H129" s="34">
        <v>30</v>
      </c>
      <c r="I129" s="34" t="s">
        <v>59</v>
      </c>
      <c r="J129" s="34"/>
      <c r="K129" s="34"/>
      <c r="L129" s="35">
        <v>11</v>
      </c>
    </row>
    <row r="130" spans="1:12">
      <c r="A130" s="74">
        <v>2</v>
      </c>
      <c r="B130" s="39" t="s">
        <v>57</v>
      </c>
      <c r="C130" s="39">
        <v>30</v>
      </c>
      <c r="D130" s="40">
        <v>2.5000000000000001E-2</v>
      </c>
      <c r="E130" s="41">
        <v>14676680</v>
      </c>
      <c r="F130" s="75">
        <v>6</v>
      </c>
      <c r="G130" s="9" t="s">
        <v>58</v>
      </c>
      <c r="H130" s="9">
        <v>30</v>
      </c>
      <c r="I130" s="9" t="s">
        <v>60</v>
      </c>
      <c r="J130" s="9" t="s">
        <v>61</v>
      </c>
      <c r="K130" s="9"/>
      <c r="L130" s="36">
        <v>6</v>
      </c>
    </row>
    <row r="131" spans="1:12">
      <c r="A131" s="74">
        <v>3</v>
      </c>
      <c r="B131" s="39" t="s">
        <v>57</v>
      </c>
      <c r="C131" s="39">
        <v>30</v>
      </c>
      <c r="D131" s="40">
        <v>0.05</v>
      </c>
      <c r="E131" s="41">
        <v>14676705</v>
      </c>
      <c r="F131" s="75">
        <v>6</v>
      </c>
      <c r="G131" s="9" t="s">
        <v>58</v>
      </c>
      <c r="H131" s="9">
        <v>45</v>
      </c>
      <c r="I131" s="9" t="s">
        <v>59</v>
      </c>
      <c r="J131" s="9"/>
      <c r="K131" s="9"/>
      <c r="L131" s="36">
        <v>6</v>
      </c>
    </row>
    <row r="132" spans="1:12">
      <c r="A132" s="74">
        <v>4</v>
      </c>
      <c r="B132" s="39" t="s">
        <v>57</v>
      </c>
      <c r="C132" s="39">
        <v>30</v>
      </c>
      <c r="D132" s="40">
        <v>7.4999999999999997E-2</v>
      </c>
      <c r="E132" s="41">
        <v>14676708</v>
      </c>
      <c r="F132" s="75">
        <v>6</v>
      </c>
      <c r="G132" s="9" t="s">
        <v>58</v>
      </c>
      <c r="H132" s="9">
        <v>45</v>
      </c>
      <c r="I132" s="9" t="s">
        <v>60</v>
      </c>
      <c r="J132" s="9" t="s">
        <v>61</v>
      </c>
      <c r="K132" s="9"/>
      <c r="L132" s="36">
        <v>4</v>
      </c>
    </row>
    <row r="133" spans="1:12">
      <c r="A133" s="74">
        <v>5</v>
      </c>
      <c r="B133" s="39" t="s">
        <v>57</v>
      </c>
      <c r="C133" s="39">
        <v>30</v>
      </c>
      <c r="D133" s="40">
        <v>0.15</v>
      </c>
      <c r="E133" s="41">
        <v>14676713</v>
      </c>
      <c r="F133" s="75">
        <v>6</v>
      </c>
      <c r="G133" s="9" t="s">
        <v>58</v>
      </c>
      <c r="H133" s="9">
        <v>60</v>
      </c>
      <c r="I133" s="9" t="s">
        <v>59</v>
      </c>
      <c r="J133" s="9"/>
      <c r="K133" s="9"/>
      <c r="L133" s="36">
        <v>4</v>
      </c>
    </row>
    <row r="134" spans="1:12">
      <c r="A134" s="74">
        <v>6</v>
      </c>
      <c r="B134" s="39" t="s">
        <v>57</v>
      </c>
      <c r="C134" s="39">
        <v>30</v>
      </c>
      <c r="D134" s="40">
        <v>0.2</v>
      </c>
      <c r="E134" s="41">
        <v>14676731</v>
      </c>
      <c r="F134" s="75">
        <v>6</v>
      </c>
      <c r="G134" s="9" t="s">
        <v>58</v>
      </c>
      <c r="H134" s="9">
        <v>60</v>
      </c>
      <c r="I134" s="9" t="s">
        <v>60</v>
      </c>
      <c r="J134" s="9" t="s">
        <v>61</v>
      </c>
      <c r="K134" s="9"/>
      <c r="L134" s="36">
        <v>3</v>
      </c>
    </row>
    <row r="135" spans="1:12">
      <c r="A135" s="74">
        <v>7</v>
      </c>
      <c r="B135" s="39" t="s">
        <v>57</v>
      </c>
      <c r="C135" s="39">
        <v>30</v>
      </c>
      <c r="D135" s="40">
        <v>0.25</v>
      </c>
      <c r="E135" s="41">
        <v>14676744</v>
      </c>
      <c r="F135" s="75">
        <v>6</v>
      </c>
      <c r="G135" s="9" t="s">
        <v>58</v>
      </c>
      <c r="H135" s="9">
        <v>75</v>
      </c>
      <c r="I135" s="9" t="s">
        <v>59</v>
      </c>
      <c r="J135" s="9"/>
      <c r="K135" s="9"/>
      <c r="L135" s="36">
        <v>3</v>
      </c>
    </row>
    <row r="136" spans="1:12">
      <c r="A136" s="74">
        <v>8</v>
      </c>
      <c r="B136" s="39" t="s">
        <v>57</v>
      </c>
      <c r="C136" s="39">
        <v>45</v>
      </c>
      <c r="D136" s="40">
        <v>1E-3</v>
      </c>
      <c r="E136" s="41">
        <v>14676764</v>
      </c>
      <c r="F136" s="75">
        <v>4</v>
      </c>
      <c r="G136" s="33" t="s">
        <v>58</v>
      </c>
      <c r="H136" s="33">
        <v>75</v>
      </c>
      <c r="I136" s="33" t="s">
        <v>60</v>
      </c>
      <c r="J136" s="33" t="s">
        <v>61</v>
      </c>
      <c r="K136" s="33"/>
      <c r="L136" s="37">
        <v>3</v>
      </c>
    </row>
    <row r="137" spans="1:12">
      <c r="A137" s="74">
        <v>9</v>
      </c>
      <c r="B137" s="39" t="s">
        <v>57</v>
      </c>
      <c r="C137" s="39">
        <v>45</v>
      </c>
      <c r="D137" s="40">
        <v>5.0000000000000001E-3</v>
      </c>
      <c r="E137" s="41">
        <v>14676768</v>
      </c>
      <c r="F137" s="75">
        <v>4</v>
      </c>
      <c r="G137" s="9" t="s">
        <v>57</v>
      </c>
      <c r="H137" s="9">
        <v>30</v>
      </c>
      <c r="I137" s="9" t="s">
        <v>59</v>
      </c>
      <c r="J137" s="9"/>
      <c r="K137" s="9"/>
      <c r="L137" s="36">
        <v>11</v>
      </c>
    </row>
    <row r="138" spans="1:12">
      <c r="A138" s="74">
        <v>10</v>
      </c>
      <c r="B138" s="39" t="s">
        <v>57</v>
      </c>
      <c r="C138" s="39">
        <v>45</v>
      </c>
      <c r="D138" s="40">
        <v>2.5000000000000001E-2</v>
      </c>
      <c r="E138" s="41">
        <v>14676776</v>
      </c>
      <c r="F138" s="75">
        <v>4</v>
      </c>
      <c r="G138" s="9" t="s">
        <v>57</v>
      </c>
      <c r="H138" s="9">
        <v>30</v>
      </c>
      <c r="I138" s="9" t="s">
        <v>60</v>
      </c>
      <c r="J138" s="9" t="s">
        <v>61</v>
      </c>
      <c r="K138" s="9"/>
      <c r="L138" s="36">
        <v>6</v>
      </c>
    </row>
    <row r="139" spans="1:12">
      <c r="A139" s="74">
        <v>11</v>
      </c>
      <c r="B139" s="39" t="s">
        <v>57</v>
      </c>
      <c r="C139" s="39">
        <v>45</v>
      </c>
      <c r="D139" s="40">
        <v>0.05</v>
      </c>
      <c r="E139" s="41">
        <v>14676788</v>
      </c>
      <c r="F139" s="75">
        <v>4</v>
      </c>
      <c r="G139" s="9" t="s">
        <v>57</v>
      </c>
      <c r="H139" s="9">
        <v>45</v>
      </c>
      <c r="I139" s="9" t="s">
        <v>59</v>
      </c>
      <c r="J139" s="9"/>
      <c r="K139" s="9"/>
      <c r="L139" s="36">
        <v>6</v>
      </c>
    </row>
    <row r="140" spans="1:12">
      <c r="A140" s="74">
        <v>12</v>
      </c>
      <c r="B140" s="39" t="s">
        <v>57</v>
      </c>
      <c r="C140" s="39">
        <v>45</v>
      </c>
      <c r="D140" s="40">
        <v>7.4999999999999997E-2</v>
      </c>
      <c r="E140" s="41">
        <v>14676796</v>
      </c>
      <c r="F140" s="75">
        <v>4</v>
      </c>
      <c r="G140" s="9" t="s">
        <v>57</v>
      </c>
      <c r="H140" s="9">
        <v>45</v>
      </c>
      <c r="I140" s="9" t="s">
        <v>60</v>
      </c>
      <c r="J140" s="9" t="s">
        <v>61</v>
      </c>
      <c r="K140" s="9"/>
      <c r="L140" s="36">
        <v>4</v>
      </c>
    </row>
    <row r="141" spans="1:12">
      <c r="A141" s="74">
        <v>13</v>
      </c>
      <c r="B141" s="39" t="s">
        <v>57</v>
      </c>
      <c r="C141" s="39">
        <v>45</v>
      </c>
      <c r="D141" s="40">
        <v>0.15</v>
      </c>
      <c r="E141" s="41">
        <v>14676803</v>
      </c>
      <c r="F141" s="75">
        <v>4</v>
      </c>
      <c r="G141" s="9" t="s">
        <v>57</v>
      </c>
      <c r="H141" s="9">
        <v>60</v>
      </c>
      <c r="I141" s="9" t="s">
        <v>59</v>
      </c>
      <c r="J141" s="9"/>
      <c r="K141" s="9"/>
      <c r="L141" s="36">
        <v>4</v>
      </c>
    </row>
    <row r="142" spans="1:12">
      <c r="A142" s="74">
        <v>14</v>
      </c>
      <c r="B142" s="39" t="s">
        <v>57</v>
      </c>
      <c r="C142" s="39">
        <v>45</v>
      </c>
      <c r="D142" s="40">
        <v>0.2</v>
      </c>
      <c r="E142" s="41">
        <v>14676806</v>
      </c>
      <c r="F142" s="75">
        <v>4</v>
      </c>
      <c r="G142" s="9" t="s">
        <v>57</v>
      </c>
      <c r="H142" s="9">
        <v>60</v>
      </c>
      <c r="I142" s="9" t="s">
        <v>60</v>
      </c>
      <c r="J142" s="9" t="s">
        <v>61</v>
      </c>
      <c r="K142" s="9"/>
      <c r="L142" s="36">
        <v>3</v>
      </c>
    </row>
    <row r="143" spans="1:12">
      <c r="A143" s="74">
        <v>15</v>
      </c>
      <c r="B143" s="39" t="s">
        <v>57</v>
      </c>
      <c r="C143" s="39">
        <v>45</v>
      </c>
      <c r="D143" s="40">
        <v>0.25</v>
      </c>
      <c r="E143" s="41">
        <v>14676807</v>
      </c>
      <c r="F143" s="75">
        <v>4</v>
      </c>
      <c r="G143" s="9" t="s">
        <v>57</v>
      </c>
      <c r="H143" s="9">
        <v>75</v>
      </c>
      <c r="I143" s="9" t="s">
        <v>59</v>
      </c>
      <c r="J143" s="9"/>
      <c r="K143" s="9"/>
      <c r="L143" s="36">
        <v>3</v>
      </c>
    </row>
    <row r="144" spans="1:12">
      <c r="A144" s="74">
        <v>16</v>
      </c>
      <c r="B144" s="39" t="s">
        <v>57</v>
      </c>
      <c r="C144" s="39">
        <v>60</v>
      </c>
      <c r="D144" s="40">
        <v>1E-3</v>
      </c>
      <c r="E144" s="41">
        <v>14676809</v>
      </c>
      <c r="F144" s="75">
        <v>3</v>
      </c>
      <c r="G144" s="33" t="s">
        <v>57</v>
      </c>
      <c r="H144" s="33">
        <v>75</v>
      </c>
      <c r="I144" s="33" t="s">
        <v>60</v>
      </c>
      <c r="J144" s="33" t="s">
        <v>61</v>
      </c>
      <c r="K144" s="33"/>
      <c r="L144" s="37">
        <v>3</v>
      </c>
    </row>
    <row r="145" spans="1:6">
      <c r="A145" s="74">
        <v>17</v>
      </c>
      <c r="B145" s="39" t="s">
        <v>57</v>
      </c>
      <c r="C145" s="39">
        <v>60</v>
      </c>
      <c r="D145" s="40">
        <v>5.0000000000000001E-3</v>
      </c>
      <c r="E145" s="41">
        <v>14801266</v>
      </c>
      <c r="F145" s="75">
        <v>3</v>
      </c>
    </row>
    <row r="146" spans="1:6">
      <c r="A146" s="74">
        <v>18</v>
      </c>
      <c r="B146" s="39" t="s">
        <v>57</v>
      </c>
      <c r="C146" s="39">
        <v>60</v>
      </c>
      <c r="D146" s="40">
        <v>2.5000000000000001E-2</v>
      </c>
      <c r="E146" s="41">
        <v>14814281</v>
      </c>
      <c r="F146" s="75">
        <v>3</v>
      </c>
    </row>
    <row r="147" spans="1:6">
      <c r="A147" s="74">
        <v>19</v>
      </c>
      <c r="B147" s="39" t="s">
        <v>57</v>
      </c>
      <c r="C147" s="39">
        <v>60</v>
      </c>
      <c r="D147" s="40">
        <v>0.05</v>
      </c>
      <c r="E147" s="41">
        <v>14814290</v>
      </c>
      <c r="F147" s="75">
        <v>3</v>
      </c>
    </row>
    <row r="148" spans="1:6">
      <c r="A148" s="74">
        <v>20</v>
      </c>
      <c r="B148" s="39" t="s">
        <v>57</v>
      </c>
      <c r="C148" s="39">
        <v>60</v>
      </c>
      <c r="D148" s="40">
        <v>7.4999999999999997E-2</v>
      </c>
      <c r="E148" s="41">
        <v>14814294</v>
      </c>
      <c r="F148" s="75">
        <v>3</v>
      </c>
    </row>
    <row r="149" spans="1:6">
      <c r="A149" s="74">
        <v>21</v>
      </c>
      <c r="B149" s="39" t="s">
        <v>57</v>
      </c>
      <c r="C149" s="39">
        <v>60</v>
      </c>
      <c r="D149" s="40">
        <v>0.15</v>
      </c>
      <c r="E149" s="41">
        <v>14814295</v>
      </c>
      <c r="F149" s="75">
        <v>3</v>
      </c>
    </row>
    <row r="150" spans="1:6">
      <c r="A150" s="74">
        <v>22</v>
      </c>
      <c r="B150" s="39" t="s">
        <v>57</v>
      </c>
      <c r="C150" s="39">
        <v>60</v>
      </c>
      <c r="D150" s="40">
        <v>0.2</v>
      </c>
      <c r="E150" s="41">
        <v>14814297</v>
      </c>
      <c r="F150" s="75">
        <v>3</v>
      </c>
    </row>
    <row r="151" spans="1:6">
      <c r="A151" s="74">
        <v>23</v>
      </c>
      <c r="B151" s="39" t="s">
        <v>57</v>
      </c>
      <c r="C151" s="39">
        <v>60</v>
      </c>
      <c r="D151" s="40">
        <v>0.25</v>
      </c>
      <c r="E151" s="41">
        <v>14814298</v>
      </c>
      <c r="F151" s="75">
        <v>3</v>
      </c>
    </row>
    <row r="152" spans="1:6">
      <c r="A152" s="74">
        <v>24</v>
      </c>
      <c r="B152" s="39" t="s">
        <v>57</v>
      </c>
      <c r="C152" s="39">
        <v>75</v>
      </c>
      <c r="D152" s="40">
        <v>1E-3</v>
      </c>
      <c r="E152" s="41">
        <v>14814302</v>
      </c>
      <c r="F152" s="75">
        <v>3</v>
      </c>
    </row>
    <row r="153" spans="1:6">
      <c r="A153" s="74">
        <v>25</v>
      </c>
      <c r="B153" s="39" t="s">
        <v>57</v>
      </c>
      <c r="C153" s="39">
        <v>75</v>
      </c>
      <c r="D153" s="40">
        <v>2.5000000000000001E-2</v>
      </c>
      <c r="E153" s="41">
        <v>14814305</v>
      </c>
      <c r="F153" s="75">
        <v>3</v>
      </c>
    </row>
    <row r="154" spans="1:6">
      <c r="A154" s="74">
        <v>26</v>
      </c>
      <c r="B154" s="39" t="s">
        <v>57</v>
      </c>
      <c r="C154" s="39">
        <v>75</v>
      </c>
      <c r="D154" s="40">
        <v>0.05</v>
      </c>
      <c r="E154" s="41">
        <v>14814306</v>
      </c>
      <c r="F154" s="75">
        <v>3</v>
      </c>
    </row>
    <row r="155" spans="1:6">
      <c r="A155" s="74">
        <v>27</v>
      </c>
      <c r="B155" s="39" t="s">
        <v>57</v>
      </c>
      <c r="C155" s="39">
        <v>75</v>
      </c>
      <c r="D155" s="40">
        <v>7.4999999999999997E-2</v>
      </c>
      <c r="E155" s="41">
        <v>14814307</v>
      </c>
      <c r="F155" s="75">
        <v>3</v>
      </c>
    </row>
    <row r="156" spans="1:6">
      <c r="A156" s="74">
        <v>28</v>
      </c>
      <c r="B156" s="39" t="s">
        <v>57</v>
      </c>
      <c r="C156" s="39">
        <v>75</v>
      </c>
      <c r="D156" s="40">
        <v>0.15</v>
      </c>
      <c r="E156" s="41">
        <v>14814396</v>
      </c>
      <c r="F156" s="75">
        <v>3</v>
      </c>
    </row>
    <row r="157" spans="1:6">
      <c r="A157" s="74">
        <v>29</v>
      </c>
      <c r="B157" s="39" t="s">
        <v>57</v>
      </c>
      <c r="C157" s="39">
        <v>75</v>
      </c>
      <c r="D157" s="40">
        <v>0.2</v>
      </c>
      <c r="E157" s="41">
        <v>14814400</v>
      </c>
      <c r="F157" s="75">
        <v>3</v>
      </c>
    </row>
    <row r="158" spans="1:6">
      <c r="A158" s="72">
        <v>30</v>
      </c>
      <c r="B158" s="76" t="s">
        <v>57</v>
      </c>
      <c r="C158" s="76">
        <v>75</v>
      </c>
      <c r="D158" s="79">
        <v>0.25</v>
      </c>
      <c r="E158" s="80">
        <v>14814402</v>
      </c>
      <c r="F158" s="73">
        <v>3</v>
      </c>
    </row>
    <row r="159" spans="1:6">
      <c r="A159" s="38">
        <v>31</v>
      </c>
      <c r="B159" s="39" t="s">
        <v>58</v>
      </c>
      <c r="C159" s="39">
        <v>30</v>
      </c>
      <c r="D159" s="40">
        <v>1E-3</v>
      </c>
      <c r="E159" s="41">
        <v>14706084</v>
      </c>
      <c r="F159" s="42">
        <v>6</v>
      </c>
    </row>
    <row r="160" spans="1:6">
      <c r="A160" s="38">
        <v>32</v>
      </c>
      <c r="B160" s="39" t="s">
        <v>58</v>
      </c>
      <c r="C160" s="39">
        <v>30</v>
      </c>
      <c r="D160" s="40">
        <v>2.5000000000000001E-2</v>
      </c>
      <c r="E160" s="41">
        <v>14706088</v>
      </c>
      <c r="F160" s="42">
        <v>6</v>
      </c>
    </row>
    <row r="161" spans="1:6">
      <c r="A161" s="38">
        <v>33</v>
      </c>
      <c r="B161" s="39" t="s">
        <v>58</v>
      </c>
      <c r="C161" s="39">
        <v>30</v>
      </c>
      <c r="D161" s="40">
        <v>0.05</v>
      </c>
      <c r="E161" s="41">
        <v>14706094</v>
      </c>
      <c r="F161" s="42">
        <v>6</v>
      </c>
    </row>
    <row r="162" spans="1:6">
      <c r="A162" s="38">
        <v>34</v>
      </c>
      <c r="B162" s="39" t="s">
        <v>58</v>
      </c>
      <c r="C162" s="39">
        <v>30</v>
      </c>
      <c r="D162" s="40">
        <v>7.4999999999999997E-2</v>
      </c>
      <c r="E162" s="41">
        <v>14706096</v>
      </c>
      <c r="F162" s="42">
        <v>6</v>
      </c>
    </row>
    <row r="163" spans="1:6">
      <c r="A163" s="38">
        <v>35</v>
      </c>
      <c r="B163" s="39" t="s">
        <v>58</v>
      </c>
      <c r="C163" s="39">
        <v>30</v>
      </c>
      <c r="D163" s="40">
        <v>0.15</v>
      </c>
      <c r="E163" s="41">
        <v>14706098</v>
      </c>
      <c r="F163" s="42">
        <v>6</v>
      </c>
    </row>
    <row r="164" spans="1:6">
      <c r="A164" s="38">
        <v>36</v>
      </c>
      <c r="B164" s="39" t="s">
        <v>58</v>
      </c>
      <c r="C164" s="39">
        <v>30</v>
      </c>
      <c r="D164" s="40">
        <v>0.2</v>
      </c>
      <c r="E164" s="41">
        <v>14706100</v>
      </c>
      <c r="F164" s="42">
        <v>6</v>
      </c>
    </row>
    <row r="165" spans="1:6">
      <c r="A165" s="38">
        <v>37</v>
      </c>
      <c r="B165" s="39" t="s">
        <v>58</v>
      </c>
      <c r="C165" s="39">
        <v>30</v>
      </c>
      <c r="D165" s="40">
        <v>0.25</v>
      </c>
      <c r="E165" s="41">
        <v>14706102</v>
      </c>
      <c r="F165" s="42">
        <v>6</v>
      </c>
    </row>
    <row r="166" spans="1:6">
      <c r="A166" s="38">
        <v>38</v>
      </c>
      <c r="B166" s="39" t="s">
        <v>58</v>
      </c>
      <c r="C166" s="39">
        <v>45</v>
      </c>
      <c r="D166" s="40">
        <v>1E-3</v>
      </c>
      <c r="E166" s="41">
        <v>14706124</v>
      </c>
      <c r="F166" s="42">
        <v>4</v>
      </c>
    </row>
    <row r="167" spans="1:6">
      <c r="A167" s="38">
        <v>39</v>
      </c>
      <c r="B167" s="39" t="s">
        <v>58</v>
      </c>
      <c r="C167" s="39">
        <v>45</v>
      </c>
      <c r="D167" s="40">
        <v>5.0000000000000001E-3</v>
      </c>
      <c r="E167" s="41">
        <v>14706127</v>
      </c>
      <c r="F167" s="42">
        <v>4</v>
      </c>
    </row>
    <row r="168" spans="1:6">
      <c r="A168" s="38">
        <v>40</v>
      </c>
      <c r="B168" s="39" t="s">
        <v>58</v>
      </c>
      <c r="C168" s="39">
        <v>45</v>
      </c>
      <c r="D168" s="40">
        <v>2.5000000000000001E-2</v>
      </c>
      <c r="E168" s="41">
        <v>14706131</v>
      </c>
      <c r="F168" s="42">
        <v>4</v>
      </c>
    </row>
    <row r="169" spans="1:6">
      <c r="A169" s="38">
        <v>41</v>
      </c>
      <c r="B169" s="39" t="s">
        <v>58</v>
      </c>
      <c r="C169" s="39">
        <v>45</v>
      </c>
      <c r="D169" s="40">
        <v>0.05</v>
      </c>
      <c r="E169" s="41">
        <v>14801265</v>
      </c>
      <c r="F169" s="42">
        <v>4</v>
      </c>
    </row>
    <row r="170" spans="1:6">
      <c r="A170" s="38">
        <v>42</v>
      </c>
      <c r="B170" s="39" t="s">
        <v>58</v>
      </c>
      <c r="C170" s="39">
        <v>45</v>
      </c>
      <c r="D170" s="40">
        <v>7.4999999999999997E-2</v>
      </c>
      <c r="E170" s="41">
        <v>14814220</v>
      </c>
      <c r="F170" s="42">
        <v>4</v>
      </c>
    </row>
    <row r="171" spans="1:6">
      <c r="A171" s="38">
        <v>43</v>
      </c>
      <c r="B171" s="39" t="s">
        <v>58</v>
      </c>
      <c r="C171" s="39">
        <v>45</v>
      </c>
      <c r="D171" s="40">
        <v>0.15</v>
      </c>
      <c r="E171" s="41">
        <v>14814222</v>
      </c>
      <c r="F171" s="42">
        <v>4</v>
      </c>
    </row>
    <row r="172" spans="1:6">
      <c r="A172" s="38">
        <v>44</v>
      </c>
      <c r="B172" s="39" t="s">
        <v>58</v>
      </c>
      <c r="C172" s="39">
        <v>45</v>
      </c>
      <c r="D172" s="40">
        <v>0.2</v>
      </c>
      <c r="E172" s="41">
        <v>14814227</v>
      </c>
      <c r="F172" s="42">
        <v>4</v>
      </c>
    </row>
    <row r="173" spans="1:6">
      <c r="A173" s="38">
        <v>45</v>
      </c>
      <c r="B173" s="39" t="s">
        <v>58</v>
      </c>
      <c r="C173" s="39">
        <v>45</v>
      </c>
      <c r="D173" s="40">
        <v>0.25</v>
      </c>
      <c r="E173" s="41">
        <v>14814230</v>
      </c>
      <c r="F173" s="42">
        <v>4</v>
      </c>
    </row>
    <row r="174" spans="1:6">
      <c r="A174" s="38">
        <v>46</v>
      </c>
      <c r="B174" s="39" t="s">
        <v>58</v>
      </c>
      <c r="C174" s="39">
        <v>60</v>
      </c>
      <c r="D174" s="40">
        <v>1E-3</v>
      </c>
      <c r="E174" s="41">
        <v>14814233</v>
      </c>
      <c r="F174" s="42">
        <v>3</v>
      </c>
    </row>
    <row r="175" spans="1:6">
      <c r="A175" s="38">
        <v>47</v>
      </c>
      <c r="B175" s="39" t="s">
        <v>58</v>
      </c>
      <c r="C175" s="39">
        <v>60</v>
      </c>
      <c r="D175" s="40">
        <v>5.0000000000000001E-3</v>
      </c>
      <c r="E175" s="41">
        <v>14814238</v>
      </c>
      <c r="F175" s="42">
        <v>3</v>
      </c>
    </row>
    <row r="176" spans="1:6">
      <c r="A176" s="38">
        <v>48</v>
      </c>
      <c r="B176" s="39" t="s">
        <v>58</v>
      </c>
      <c r="C176" s="39">
        <v>60</v>
      </c>
      <c r="D176" s="40">
        <v>2.5000000000000001E-2</v>
      </c>
      <c r="E176" s="41">
        <v>14814240</v>
      </c>
      <c r="F176" s="42">
        <v>3</v>
      </c>
    </row>
    <row r="177" spans="1:6">
      <c r="A177" s="38">
        <v>49</v>
      </c>
      <c r="B177" s="39" t="s">
        <v>58</v>
      </c>
      <c r="C177" s="39">
        <v>60</v>
      </c>
      <c r="D177" s="40">
        <v>0.05</v>
      </c>
      <c r="E177" s="41">
        <v>14814242</v>
      </c>
      <c r="F177" s="42">
        <v>3</v>
      </c>
    </row>
    <row r="178" spans="1:6">
      <c r="A178" s="38">
        <v>50</v>
      </c>
      <c r="B178" s="39" t="s">
        <v>58</v>
      </c>
      <c r="C178" s="39">
        <v>60</v>
      </c>
      <c r="D178" s="40">
        <v>7.4999999999999997E-2</v>
      </c>
      <c r="E178" s="41">
        <v>14814246</v>
      </c>
      <c r="F178" s="42">
        <v>3</v>
      </c>
    </row>
    <row r="179" spans="1:6">
      <c r="A179" s="38">
        <v>51</v>
      </c>
      <c r="B179" s="39" t="s">
        <v>58</v>
      </c>
      <c r="C179" s="39">
        <v>60</v>
      </c>
      <c r="D179" s="40">
        <v>0.15</v>
      </c>
      <c r="E179" s="41">
        <v>14814249</v>
      </c>
      <c r="F179" s="42">
        <v>3</v>
      </c>
    </row>
    <row r="180" spans="1:6">
      <c r="A180" s="38">
        <v>52</v>
      </c>
      <c r="B180" s="39" t="s">
        <v>58</v>
      </c>
      <c r="C180" s="39">
        <v>60</v>
      </c>
      <c r="D180" s="40">
        <v>0.2</v>
      </c>
      <c r="E180" s="41">
        <v>14814250</v>
      </c>
      <c r="F180" s="42">
        <v>3</v>
      </c>
    </row>
    <row r="181" spans="1:6">
      <c r="A181" s="38">
        <v>53</v>
      </c>
      <c r="B181" s="39" t="s">
        <v>58</v>
      </c>
      <c r="C181" s="39">
        <v>60</v>
      </c>
      <c r="D181" s="40">
        <v>0.25</v>
      </c>
      <c r="E181" s="41">
        <v>14814252</v>
      </c>
      <c r="F181" s="42">
        <v>3</v>
      </c>
    </row>
    <row r="182" spans="1:6">
      <c r="A182" s="38">
        <v>54</v>
      </c>
      <c r="B182" s="39" t="s">
        <v>58</v>
      </c>
      <c r="C182" s="39">
        <v>75</v>
      </c>
      <c r="D182" s="40">
        <v>1E-3</v>
      </c>
      <c r="E182" s="41">
        <v>14814253</v>
      </c>
      <c r="F182" s="42">
        <v>3</v>
      </c>
    </row>
    <row r="183" spans="1:6">
      <c r="A183" s="38">
        <v>55</v>
      </c>
      <c r="B183" s="39" t="s">
        <v>58</v>
      </c>
      <c r="C183" s="39">
        <v>75</v>
      </c>
      <c r="D183" s="40">
        <v>2.5000000000000001E-2</v>
      </c>
      <c r="E183" s="41">
        <v>14814254</v>
      </c>
      <c r="F183" s="42">
        <v>3</v>
      </c>
    </row>
    <row r="184" spans="1:6">
      <c r="A184" s="38">
        <v>56</v>
      </c>
      <c r="B184" s="39" t="s">
        <v>58</v>
      </c>
      <c r="C184" s="39">
        <v>75</v>
      </c>
      <c r="D184" s="40">
        <v>0.05</v>
      </c>
      <c r="E184" s="41">
        <v>14814259</v>
      </c>
      <c r="F184" s="42">
        <v>3</v>
      </c>
    </row>
    <row r="185" spans="1:6">
      <c r="A185" s="38">
        <v>57</v>
      </c>
      <c r="B185" s="39" t="s">
        <v>58</v>
      </c>
      <c r="C185" s="39">
        <v>75</v>
      </c>
      <c r="D185" s="40">
        <v>7.4999999999999997E-2</v>
      </c>
      <c r="E185" s="41">
        <v>14814264</v>
      </c>
      <c r="F185" s="42">
        <v>3</v>
      </c>
    </row>
    <row r="186" spans="1:6">
      <c r="A186" s="38">
        <v>58</v>
      </c>
      <c r="B186" s="39" t="s">
        <v>58</v>
      </c>
      <c r="C186" s="39">
        <v>75</v>
      </c>
      <c r="D186" s="40">
        <v>0.15</v>
      </c>
      <c r="E186" s="41">
        <v>14814268</v>
      </c>
      <c r="F186" s="42">
        <v>3</v>
      </c>
    </row>
    <row r="187" spans="1:6">
      <c r="A187" s="38">
        <v>59</v>
      </c>
      <c r="B187" s="39" t="s">
        <v>58</v>
      </c>
      <c r="C187" s="39">
        <v>75</v>
      </c>
      <c r="D187" s="40">
        <v>0.2</v>
      </c>
      <c r="E187" s="41">
        <v>14814270</v>
      </c>
      <c r="F187" s="42">
        <v>3</v>
      </c>
    </row>
    <row r="188" spans="1:6">
      <c r="A188" s="48">
        <v>60</v>
      </c>
      <c r="B188" s="39" t="s">
        <v>58</v>
      </c>
      <c r="C188" s="49">
        <v>75</v>
      </c>
      <c r="D188" s="50">
        <v>0.25</v>
      </c>
      <c r="E188" s="51">
        <v>14814274</v>
      </c>
      <c r="F188" s="52">
        <v>3</v>
      </c>
    </row>
    <row r="189" spans="1:6">
      <c r="A189" s="9"/>
      <c r="B189" s="9"/>
    </row>
    <row r="190" spans="1:6">
      <c r="A190" s="43" t="s">
        <v>62</v>
      </c>
      <c r="B190" s="44" t="s">
        <v>63</v>
      </c>
      <c r="C190" s="45" t="s">
        <v>64</v>
      </c>
      <c r="D190" s="46" t="s">
        <v>65</v>
      </c>
      <c r="E190" s="47" t="s">
        <v>66</v>
      </c>
    </row>
    <row r="191" spans="1:6">
      <c r="A191" s="9"/>
      <c r="B191" s="9"/>
    </row>
    <row r="192" spans="1:6">
      <c r="A192" s="9"/>
      <c r="B192" s="9"/>
    </row>
  </sheetData>
  <mergeCells count="7">
    <mergeCell ref="I127:L127"/>
    <mergeCell ref="S84:S123"/>
    <mergeCell ref="A4:A9"/>
    <mergeCell ref="P4:P9"/>
    <mergeCell ref="A127:B127"/>
    <mergeCell ref="C127:F127"/>
    <mergeCell ref="G127:H127"/>
  </mergeCells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EC-DD36-4817-A60E-14C32230D109}">
  <dimension ref="A1:H15"/>
  <sheetViews>
    <sheetView workbookViewId="0">
      <selection activeCell="E8" sqref="E8"/>
    </sheetView>
  </sheetViews>
  <sheetFormatPr defaultRowHeight="14.45"/>
  <cols>
    <col min="1" max="1" width="23.5703125" bestFit="1" customWidth="1"/>
    <col min="5" max="5" width="10.7109375" bestFit="1" customWidth="1"/>
    <col min="6" max="6" width="23.140625" customWidth="1"/>
  </cols>
  <sheetData>
    <row r="1" spans="1:8">
      <c r="B1" t="s">
        <v>77</v>
      </c>
      <c r="C1" t="s">
        <v>78</v>
      </c>
      <c r="D1" t="s">
        <v>79</v>
      </c>
      <c r="E1" t="s">
        <v>80</v>
      </c>
    </row>
    <row r="2" spans="1:8">
      <c r="A2" t="s">
        <v>81</v>
      </c>
      <c r="B2">
        <v>0.85089999999999999</v>
      </c>
      <c r="C2">
        <v>0.81599999999999995</v>
      </c>
      <c r="D2">
        <v>0.92679999999999996</v>
      </c>
      <c r="E2">
        <v>1064</v>
      </c>
    </row>
    <row r="3" spans="1:8">
      <c r="A3" t="s">
        <v>82</v>
      </c>
      <c r="B3">
        <v>0.81289999999999996</v>
      </c>
      <c r="C3">
        <v>0.77539999999999998</v>
      </c>
      <c r="D3">
        <v>0.9042</v>
      </c>
      <c r="E3">
        <v>682</v>
      </c>
    </row>
    <row r="4" spans="1:8">
      <c r="A4" t="s">
        <v>83</v>
      </c>
      <c r="B4">
        <v>0.80640000000000001</v>
      </c>
      <c r="C4">
        <v>0.77280000000000004</v>
      </c>
      <c r="D4">
        <v>0.90839999999999999</v>
      </c>
      <c r="E4">
        <v>868</v>
      </c>
    </row>
    <row r="5" spans="1:8">
      <c r="A5" t="s">
        <v>84</v>
      </c>
      <c r="B5">
        <v>0.86309999999999998</v>
      </c>
      <c r="C5">
        <v>0.82599999999999996</v>
      </c>
      <c r="D5">
        <v>0.92869999999999997</v>
      </c>
      <c r="E5">
        <v>1280</v>
      </c>
    </row>
    <row r="6" spans="1:8">
      <c r="A6" t="s">
        <v>85</v>
      </c>
      <c r="B6">
        <v>0.8014</v>
      </c>
      <c r="C6">
        <v>0.74870000000000003</v>
      </c>
      <c r="D6">
        <v>0.87280000000000002</v>
      </c>
      <c r="E6">
        <v>1682</v>
      </c>
    </row>
    <row r="7" spans="1:8">
      <c r="A7" t="s">
        <v>86</v>
      </c>
      <c r="B7">
        <v>0.80459999999999998</v>
      </c>
      <c r="C7">
        <v>0.77680000000000005</v>
      </c>
      <c r="D7">
        <v>0.91859999999999997</v>
      </c>
      <c r="E7">
        <v>1144</v>
      </c>
    </row>
    <row r="8" spans="1:8">
      <c r="A8" t="s">
        <v>87</v>
      </c>
      <c r="E8">
        <f>SUM(E2:E7)</f>
        <v>6720</v>
      </c>
    </row>
    <row r="9" spans="1:8" ht="28.9">
      <c r="A9" t="s">
        <v>88</v>
      </c>
      <c r="B9" t="s">
        <v>77</v>
      </c>
      <c r="C9" t="s">
        <v>78</v>
      </c>
      <c r="D9" t="s">
        <v>79</v>
      </c>
      <c r="E9" t="s">
        <v>80</v>
      </c>
      <c r="F9" s="7" t="s">
        <v>89</v>
      </c>
      <c r="G9" t="s">
        <v>10</v>
      </c>
      <c r="H9" t="s">
        <v>11</v>
      </c>
    </row>
    <row r="10" spans="1:8">
      <c r="A10">
        <v>15</v>
      </c>
      <c r="B10">
        <v>0.92259999999999998</v>
      </c>
      <c r="C10">
        <v>0.90859999999999996</v>
      </c>
      <c r="D10">
        <v>0.96040000000000003</v>
      </c>
      <c r="E10">
        <v>686940</v>
      </c>
      <c r="F10">
        <f>E10+$E$8</f>
        <v>693660</v>
      </c>
      <c r="G10">
        <v>36</v>
      </c>
      <c r="H10">
        <v>6</v>
      </c>
    </row>
    <row r="11" spans="1:8">
      <c r="A11">
        <v>30</v>
      </c>
      <c r="B11">
        <v>0.92500000000000004</v>
      </c>
      <c r="C11">
        <v>0.9113</v>
      </c>
      <c r="D11">
        <v>0.96179999999999999</v>
      </c>
      <c r="E11">
        <v>182784</v>
      </c>
      <c r="F11">
        <f t="shared" ref="F11:F15" si="0">E11+$E$8</f>
        <v>189504</v>
      </c>
      <c r="G11">
        <v>18</v>
      </c>
      <c r="H11">
        <v>3</v>
      </c>
    </row>
    <row r="12" spans="1:8">
      <c r="A12">
        <v>45</v>
      </c>
      <c r="B12">
        <v>0.9264</v>
      </c>
      <c r="C12">
        <v>0.91279999999999994</v>
      </c>
      <c r="D12">
        <v>0.96289999999999998</v>
      </c>
      <c r="E12">
        <v>84366</v>
      </c>
      <c r="F12">
        <f t="shared" si="0"/>
        <v>91086</v>
      </c>
      <c r="G12">
        <v>12</v>
      </c>
      <c r="H12">
        <v>2</v>
      </c>
    </row>
    <row r="13" spans="1:8">
      <c r="A13">
        <v>60</v>
      </c>
      <c r="B13">
        <v>0.92710000000000004</v>
      </c>
      <c r="C13">
        <v>0.91349999999999998</v>
      </c>
      <c r="D13">
        <v>0.96340000000000003</v>
      </c>
      <c r="E13">
        <v>61704</v>
      </c>
      <c r="F13">
        <f t="shared" si="0"/>
        <v>68424</v>
      </c>
      <c r="G13">
        <v>9</v>
      </c>
      <c r="H13">
        <v>2</v>
      </c>
    </row>
    <row r="14" spans="1:8">
      <c r="A14">
        <v>75</v>
      </c>
      <c r="B14">
        <v>0.93020000000000003</v>
      </c>
      <c r="C14">
        <v>0.91769999999999996</v>
      </c>
      <c r="D14">
        <v>0.96550000000000002</v>
      </c>
      <c r="E14">
        <v>50954</v>
      </c>
      <c r="F14">
        <f t="shared" si="0"/>
        <v>57674</v>
      </c>
      <c r="G14">
        <v>8</v>
      </c>
      <c r="H14">
        <v>2</v>
      </c>
    </row>
    <row r="15" spans="1:8">
      <c r="A15">
        <v>90</v>
      </c>
      <c r="B15">
        <v>0.92830000000000001</v>
      </c>
      <c r="C15">
        <v>0.91490000000000005</v>
      </c>
      <c r="D15">
        <v>0.96389999999999998</v>
      </c>
      <c r="E15">
        <v>21344</v>
      </c>
      <c r="F15">
        <f t="shared" si="0"/>
        <v>28064</v>
      </c>
      <c r="G15">
        <v>6</v>
      </c>
      <c r="H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Serper Damla</cp:lastModifiedBy>
  <cp:revision/>
  <dcterms:created xsi:type="dcterms:W3CDTF">2022-08-15T17:39:05Z</dcterms:created>
  <dcterms:modified xsi:type="dcterms:W3CDTF">2023-03-31T11:14:53Z</dcterms:modified>
  <cp:category/>
  <cp:contentStatus/>
</cp:coreProperties>
</file>