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3125" activeTab="4"/>
  </bookViews>
  <sheets>
    <sheet name="SAP Source" sheetId="1" r:id="rId1"/>
    <sheet name="Grants" sheetId="2" r:id="rId2"/>
    <sheet name="Procurements" sheetId="3" r:id="rId3"/>
    <sheet name="Consultancies" sheetId="4" r:id="rId4"/>
    <sheet name="Consults - AR" sheetId="5" r:id="rId5"/>
    <sheet name="AusTender Items" sheetId="7" r:id="rId6"/>
    <sheet name="AusTender Data" sheetId="6" r:id="rId7"/>
  </sheets>
  <calcPr calcId="152511"/>
</workbook>
</file>

<file path=xl/calcChain.xml><?xml version="1.0" encoding="utf-8"?>
<calcChain xmlns="http://schemas.openxmlformats.org/spreadsheetml/2006/main">
  <c r="AJ396" i="6" l="1"/>
  <c r="AI396" i="6"/>
  <c r="AH396" i="6"/>
  <c r="AG396" i="6"/>
  <c r="AF396" i="6"/>
  <c r="AE396" i="6"/>
  <c r="AD396" i="6"/>
  <c r="AC396" i="6"/>
  <c r="AB396" i="6"/>
  <c r="AA396" i="6"/>
  <c r="Z396" i="6"/>
  <c r="Y396" i="6"/>
  <c r="X396" i="6"/>
  <c r="V396" i="6"/>
  <c r="U396" i="6"/>
  <c r="T396" i="6"/>
  <c r="S396" i="6"/>
  <c r="R396" i="6"/>
  <c r="Q396" i="6"/>
  <c r="O396" i="6"/>
  <c r="N396" i="6"/>
  <c r="M396" i="6"/>
  <c r="L396" i="6"/>
  <c r="G396" i="6"/>
  <c r="D396" i="6"/>
  <c r="C396" i="6"/>
  <c r="B396" i="6"/>
  <c r="A396" i="6"/>
  <c r="AJ395" i="6"/>
  <c r="AI395" i="6"/>
  <c r="AH395" i="6"/>
  <c r="AG395" i="6"/>
  <c r="AF395" i="6"/>
  <c r="AE395" i="6"/>
  <c r="AD395" i="6"/>
  <c r="AC395" i="6"/>
  <c r="AB395" i="6"/>
  <c r="AA395" i="6"/>
  <c r="Z395" i="6"/>
  <c r="Y395" i="6"/>
  <c r="X395" i="6"/>
  <c r="V395" i="6"/>
  <c r="U395" i="6"/>
  <c r="T395" i="6"/>
  <c r="S395" i="6"/>
  <c r="R395" i="6"/>
  <c r="Q395" i="6"/>
  <c r="P395" i="6"/>
  <c r="O395" i="6"/>
  <c r="N395" i="6"/>
  <c r="M395" i="6"/>
  <c r="L395" i="6"/>
  <c r="G395" i="6"/>
  <c r="D395" i="6"/>
  <c r="C395" i="6"/>
  <c r="B395" i="6"/>
  <c r="A395" i="6"/>
  <c r="AJ394" i="6"/>
  <c r="AI394" i="6"/>
  <c r="AH394" i="6"/>
  <c r="AG394" i="6"/>
  <c r="AF394" i="6"/>
  <c r="AE394" i="6"/>
  <c r="AD394" i="6"/>
  <c r="AC394" i="6"/>
  <c r="AB394" i="6"/>
  <c r="AA394" i="6"/>
  <c r="Z394" i="6"/>
  <c r="Y394" i="6"/>
  <c r="X394" i="6"/>
  <c r="V394" i="6"/>
  <c r="U394" i="6"/>
  <c r="T394" i="6"/>
  <c r="S394" i="6"/>
  <c r="R394" i="6"/>
  <c r="Q394" i="6"/>
  <c r="O394" i="6"/>
  <c r="N394" i="6"/>
  <c r="M394" i="6"/>
  <c r="L394" i="6"/>
  <c r="G394" i="6"/>
  <c r="D394" i="6"/>
  <c r="C394" i="6"/>
  <c r="B394" i="6"/>
  <c r="A394" i="6"/>
  <c r="AJ393" i="6"/>
  <c r="AI393" i="6"/>
  <c r="AH393" i="6"/>
  <c r="AG393" i="6"/>
  <c r="AF393" i="6"/>
  <c r="AE393" i="6"/>
  <c r="AD393" i="6"/>
  <c r="AC393" i="6"/>
  <c r="AB393" i="6"/>
  <c r="AA393" i="6"/>
  <c r="Z393" i="6"/>
  <c r="Y393" i="6"/>
  <c r="X393" i="6"/>
  <c r="V393" i="6"/>
  <c r="U393" i="6"/>
  <c r="T393" i="6"/>
  <c r="S393" i="6"/>
  <c r="R393" i="6"/>
  <c r="Q393" i="6"/>
  <c r="O393" i="6"/>
  <c r="N393" i="6"/>
  <c r="M393" i="6"/>
  <c r="L393" i="6"/>
  <c r="G393" i="6"/>
  <c r="D393" i="6"/>
  <c r="C393" i="6"/>
  <c r="B393" i="6"/>
  <c r="A393" i="6"/>
  <c r="AJ392" i="6"/>
  <c r="AI392" i="6"/>
  <c r="AH392" i="6"/>
  <c r="AG392" i="6"/>
  <c r="AF392" i="6"/>
  <c r="AE392" i="6"/>
  <c r="AD392" i="6"/>
  <c r="AC392" i="6"/>
  <c r="AB392" i="6"/>
  <c r="AA392" i="6"/>
  <c r="Z392" i="6"/>
  <c r="Y392" i="6"/>
  <c r="X392" i="6"/>
  <c r="V392" i="6"/>
  <c r="U392" i="6"/>
  <c r="T392" i="6"/>
  <c r="S392" i="6"/>
  <c r="R392" i="6"/>
  <c r="Q392" i="6"/>
  <c r="P392" i="6"/>
  <c r="O392" i="6"/>
  <c r="N392" i="6"/>
  <c r="M392" i="6"/>
  <c r="L392" i="6"/>
  <c r="G392" i="6"/>
  <c r="D392" i="6"/>
  <c r="C392" i="6"/>
  <c r="B392" i="6"/>
  <c r="A392" i="6"/>
  <c r="AJ391" i="6"/>
  <c r="AI391" i="6"/>
  <c r="AH391" i="6"/>
  <c r="AG391" i="6"/>
  <c r="AF391" i="6"/>
  <c r="AE391" i="6"/>
  <c r="AD391" i="6"/>
  <c r="AC391" i="6"/>
  <c r="AB391" i="6"/>
  <c r="AA391" i="6"/>
  <c r="Z391" i="6"/>
  <c r="Y391" i="6"/>
  <c r="X391" i="6"/>
  <c r="V391" i="6"/>
  <c r="U391" i="6"/>
  <c r="T391" i="6"/>
  <c r="S391" i="6"/>
  <c r="R391" i="6"/>
  <c r="Q391" i="6"/>
  <c r="O391" i="6"/>
  <c r="N391" i="6"/>
  <c r="M391" i="6"/>
  <c r="L391" i="6"/>
  <c r="G391" i="6"/>
  <c r="D391" i="6"/>
  <c r="C391" i="6"/>
  <c r="B391" i="6"/>
  <c r="A391" i="6"/>
  <c r="AJ390" i="6"/>
  <c r="AI390" i="6"/>
  <c r="AH390" i="6"/>
  <c r="AG390" i="6"/>
  <c r="AF390" i="6"/>
  <c r="AE390" i="6"/>
  <c r="AD390" i="6"/>
  <c r="AC390" i="6"/>
  <c r="AB390" i="6"/>
  <c r="AA390" i="6"/>
  <c r="Z390" i="6"/>
  <c r="Y390" i="6"/>
  <c r="X390" i="6"/>
  <c r="V390" i="6"/>
  <c r="U390" i="6"/>
  <c r="T390" i="6"/>
  <c r="S390" i="6"/>
  <c r="R390" i="6"/>
  <c r="Q390" i="6"/>
  <c r="P390" i="6"/>
  <c r="O390" i="6"/>
  <c r="N390" i="6"/>
  <c r="M390" i="6"/>
  <c r="L390" i="6"/>
  <c r="G390" i="6"/>
  <c r="D390" i="6"/>
  <c r="C390" i="6"/>
  <c r="B390" i="6"/>
  <c r="A390" i="6"/>
  <c r="AJ389" i="6"/>
  <c r="AI389" i="6"/>
  <c r="AH389" i="6"/>
  <c r="AG389" i="6"/>
  <c r="AF389" i="6"/>
  <c r="AE389" i="6"/>
  <c r="AD389" i="6"/>
  <c r="AC389" i="6"/>
  <c r="AB389" i="6"/>
  <c r="AA389" i="6"/>
  <c r="Z389" i="6"/>
  <c r="Y389" i="6"/>
  <c r="X389" i="6"/>
  <c r="V389" i="6"/>
  <c r="U389" i="6"/>
  <c r="T389" i="6"/>
  <c r="S389" i="6"/>
  <c r="R389" i="6"/>
  <c r="Q389" i="6"/>
  <c r="O389" i="6"/>
  <c r="N389" i="6"/>
  <c r="M389" i="6"/>
  <c r="L389" i="6"/>
  <c r="G389" i="6"/>
  <c r="D389" i="6"/>
  <c r="C389" i="6"/>
  <c r="B389" i="6"/>
  <c r="A389" i="6"/>
  <c r="AJ388" i="6"/>
  <c r="AI388" i="6"/>
  <c r="AH388" i="6"/>
  <c r="AG388" i="6"/>
  <c r="AF388" i="6"/>
  <c r="AE388" i="6"/>
  <c r="AD388" i="6"/>
  <c r="AC388" i="6"/>
  <c r="AB388" i="6"/>
  <c r="AA388" i="6"/>
  <c r="Z388" i="6"/>
  <c r="Y388" i="6"/>
  <c r="X388" i="6"/>
  <c r="V388" i="6"/>
  <c r="U388" i="6"/>
  <c r="T388" i="6"/>
  <c r="S388" i="6"/>
  <c r="R388" i="6"/>
  <c r="Q388" i="6"/>
  <c r="O388" i="6"/>
  <c r="N388" i="6"/>
  <c r="M388" i="6"/>
  <c r="L388" i="6"/>
  <c r="G388" i="6"/>
  <c r="D388" i="6"/>
  <c r="C388" i="6"/>
  <c r="B388" i="6"/>
  <c r="A388" i="6"/>
  <c r="AJ387" i="6"/>
  <c r="AI387" i="6"/>
  <c r="AH387" i="6"/>
  <c r="AG387" i="6"/>
  <c r="AF387" i="6"/>
  <c r="AE387" i="6"/>
  <c r="AD387" i="6"/>
  <c r="AC387" i="6"/>
  <c r="AB387" i="6"/>
  <c r="AA387" i="6"/>
  <c r="Z387" i="6"/>
  <c r="Y387" i="6"/>
  <c r="X387" i="6"/>
  <c r="V387" i="6"/>
  <c r="U387" i="6"/>
  <c r="T387" i="6"/>
  <c r="S387" i="6"/>
  <c r="R387" i="6"/>
  <c r="Q387" i="6"/>
  <c r="P387" i="6"/>
  <c r="O387" i="6"/>
  <c r="N387" i="6"/>
  <c r="M387" i="6"/>
  <c r="L387" i="6"/>
  <c r="G387" i="6"/>
  <c r="D387" i="6"/>
  <c r="C387" i="6"/>
  <c r="B387" i="6"/>
  <c r="A387" i="6"/>
  <c r="AJ386" i="6"/>
  <c r="AI386" i="6"/>
  <c r="AH386" i="6"/>
  <c r="AG386" i="6"/>
  <c r="AF386" i="6"/>
  <c r="AE386" i="6"/>
  <c r="AD386" i="6"/>
  <c r="AC386" i="6"/>
  <c r="AB386" i="6"/>
  <c r="AA386" i="6"/>
  <c r="Z386" i="6"/>
  <c r="Y386" i="6"/>
  <c r="X386" i="6"/>
  <c r="V386" i="6"/>
  <c r="U386" i="6"/>
  <c r="T386" i="6"/>
  <c r="S386" i="6"/>
  <c r="R386" i="6"/>
  <c r="Q386" i="6"/>
  <c r="O386" i="6"/>
  <c r="N386" i="6"/>
  <c r="M386" i="6"/>
  <c r="L386" i="6"/>
  <c r="G386" i="6"/>
  <c r="D386" i="6"/>
  <c r="C386" i="6"/>
  <c r="B386" i="6"/>
  <c r="A386" i="6"/>
  <c r="AJ385" i="6"/>
  <c r="AI385" i="6"/>
  <c r="AH385" i="6"/>
  <c r="AG385" i="6"/>
  <c r="AF385" i="6"/>
  <c r="AE385" i="6"/>
  <c r="AD385" i="6"/>
  <c r="AC385" i="6"/>
  <c r="AB385" i="6"/>
  <c r="AA385" i="6"/>
  <c r="Z385" i="6"/>
  <c r="Y385" i="6"/>
  <c r="X385" i="6"/>
  <c r="V385" i="6"/>
  <c r="U385" i="6"/>
  <c r="T385" i="6"/>
  <c r="S385" i="6"/>
  <c r="R385" i="6"/>
  <c r="Q385" i="6"/>
  <c r="O385" i="6"/>
  <c r="N385" i="6"/>
  <c r="M385" i="6"/>
  <c r="L385" i="6"/>
  <c r="G385" i="6"/>
  <c r="D385" i="6"/>
  <c r="C385" i="6"/>
  <c r="B385" i="6"/>
  <c r="A385" i="6"/>
  <c r="AJ384" i="6"/>
  <c r="AI384" i="6"/>
  <c r="AH384" i="6"/>
  <c r="AG384" i="6"/>
  <c r="AF384" i="6"/>
  <c r="AE384" i="6"/>
  <c r="AD384" i="6"/>
  <c r="AC384" i="6"/>
  <c r="AB384" i="6"/>
  <c r="AA384" i="6"/>
  <c r="Z384" i="6"/>
  <c r="Y384" i="6"/>
  <c r="X384" i="6"/>
  <c r="V384" i="6"/>
  <c r="U384" i="6"/>
  <c r="T384" i="6"/>
  <c r="S384" i="6"/>
  <c r="R384" i="6"/>
  <c r="Q384" i="6"/>
  <c r="O384" i="6"/>
  <c r="N384" i="6"/>
  <c r="M384" i="6"/>
  <c r="L384" i="6"/>
  <c r="G384" i="6"/>
  <c r="D384" i="6"/>
  <c r="C384" i="6"/>
  <c r="B384" i="6"/>
  <c r="A384" i="6"/>
  <c r="AJ383" i="6"/>
  <c r="AI383" i="6"/>
  <c r="AH383" i="6"/>
  <c r="AG383" i="6"/>
  <c r="AF383" i="6"/>
  <c r="AE383" i="6"/>
  <c r="AD383" i="6"/>
  <c r="AC383" i="6"/>
  <c r="AB383" i="6"/>
  <c r="AA383" i="6"/>
  <c r="Z383" i="6"/>
  <c r="Y383" i="6"/>
  <c r="X383" i="6"/>
  <c r="V383" i="6"/>
  <c r="U383" i="6"/>
  <c r="T383" i="6"/>
  <c r="S383" i="6"/>
  <c r="R383" i="6"/>
  <c r="Q383" i="6"/>
  <c r="O383" i="6"/>
  <c r="N383" i="6"/>
  <c r="M383" i="6"/>
  <c r="L383" i="6"/>
  <c r="G383" i="6"/>
  <c r="D383" i="6"/>
  <c r="C383" i="6"/>
  <c r="B383" i="6"/>
  <c r="A383" i="6"/>
  <c r="AJ382" i="6"/>
  <c r="AI382" i="6"/>
  <c r="AH382" i="6"/>
  <c r="AG382" i="6"/>
  <c r="AF382" i="6"/>
  <c r="AE382" i="6"/>
  <c r="AD382" i="6"/>
  <c r="AC382" i="6"/>
  <c r="AB382" i="6"/>
  <c r="AA382" i="6"/>
  <c r="Z382" i="6"/>
  <c r="Y382" i="6"/>
  <c r="X382" i="6"/>
  <c r="V382" i="6"/>
  <c r="U382" i="6"/>
  <c r="T382" i="6"/>
  <c r="S382" i="6"/>
  <c r="R382" i="6"/>
  <c r="Q382" i="6"/>
  <c r="O382" i="6"/>
  <c r="N382" i="6"/>
  <c r="M382" i="6"/>
  <c r="L382" i="6"/>
  <c r="G382" i="6"/>
  <c r="D382" i="6"/>
  <c r="C382" i="6"/>
  <c r="B382" i="6"/>
  <c r="A382" i="6"/>
  <c r="AJ381" i="6"/>
  <c r="AI381" i="6"/>
  <c r="AH381" i="6"/>
  <c r="AG381" i="6"/>
  <c r="AF381" i="6"/>
  <c r="AE381" i="6"/>
  <c r="AD381" i="6"/>
  <c r="AC381" i="6"/>
  <c r="AB381" i="6"/>
  <c r="AA381" i="6"/>
  <c r="Z381" i="6"/>
  <c r="Y381" i="6"/>
  <c r="X381" i="6"/>
  <c r="V381" i="6"/>
  <c r="U381" i="6"/>
  <c r="T381" i="6"/>
  <c r="S381" i="6"/>
  <c r="R381" i="6"/>
  <c r="Q381" i="6"/>
  <c r="O381" i="6"/>
  <c r="N381" i="6"/>
  <c r="M381" i="6"/>
  <c r="L381" i="6"/>
  <c r="G381" i="6"/>
  <c r="D381" i="6"/>
  <c r="C381" i="6"/>
  <c r="B381" i="6"/>
  <c r="A381" i="6"/>
  <c r="AJ380" i="6"/>
  <c r="AI380" i="6"/>
  <c r="AH380" i="6"/>
  <c r="AG380" i="6"/>
  <c r="AF380" i="6"/>
  <c r="AE380" i="6"/>
  <c r="AD380" i="6"/>
  <c r="AC380" i="6"/>
  <c r="AB380" i="6"/>
  <c r="AA380" i="6"/>
  <c r="Z380" i="6"/>
  <c r="Y380" i="6"/>
  <c r="X380" i="6"/>
  <c r="V380" i="6"/>
  <c r="U380" i="6"/>
  <c r="T380" i="6"/>
  <c r="S380" i="6"/>
  <c r="R380" i="6"/>
  <c r="Q380" i="6"/>
  <c r="P380" i="6"/>
  <c r="O380" i="6"/>
  <c r="N380" i="6"/>
  <c r="M380" i="6"/>
  <c r="L380" i="6"/>
  <c r="G380" i="6"/>
  <c r="D380" i="6"/>
  <c r="C380" i="6"/>
  <c r="B380" i="6"/>
  <c r="A380" i="6"/>
  <c r="AJ379" i="6"/>
  <c r="AI379" i="6"/>
  <c r="AH379" i="6"/>
  <c r="AG379" i="6"/>
  <c r="AF379" i="6"/>
  <c r="AE379" i="6"/>
  <c r="AD379" i="6"/>
  <c r="AC379" i="6"/>
  <c r="AB379" i="6"/>
  <c r="AA379" i="6"/>
  <c r="Z379" i="6"/>
  <c r="Y379" i="6"/>
  <c r="X379" i="6"/>
  <c r="V379" i="6"/>
  <c r="U379" i="6"/>
  <c r="T379" i="6"/>
  <c r="S379" i="6"/>
  <c r="R379" i="6"/>
  <c r="Q379" i="6"/>
  <c r="O379" i="6"/>
  <c r="N379" i="6"/>
  <c r="M379" i="6"/>
  <c r="L379" i="6"/>
  <c r="G379" i="6"/>
  <c r="D379" i="6"/>
  <c r="C379" i="6"/>
  <c r="B379" i="6"/>
  <c r="A379" i="6"/>
  <c r="AJ378" i="6"/>
  <c r="AI378" i="6"/>
  <c r="AH378" i="6"/>
  <c r="AG378" i="6"/>
  <c r="AF378" i="6"/>
  <c r="AE378" i="6"/>
  <c r="AD378" i="6"/>
  <c r="AC378" i="6"/>
  <c r="AB378" i="6"/>
  <c r="AA378" i="6"/>
  <c r="Z378" i="6"/>
  <c r="Y378" i="6"/>
  <c r="X378" i="6"/>
  <c r="V378" i="6"/>
  <c r="U378" i="6"/>
  <c r="T378" i="6"/>
  <c r="S378" i="6"/>
  <c r="R378" i="6"/>
  <c r="Q378" i="6"/>
  <c r="P378" i="6"/>
  <c r="O378" i="6"/>
  <c r="N378" i="6"/>
  <c r="M378" i="6"/>
  <c r="L378" i="6"/>
  <c r="G378" i="6"/>
  <c r="D378" i="6"/>
  <c r="C378" i="6"/>
  <c r="B378" i="6"/>
  <c r="A378" i="6"/>
  <c r="AJ377" i="6"/>
  <c r="AI377" i="6"/>
  <c r="AH377" i="6"/>
  <c r="AG377" i="6"/>
  <c r="AF377" i="6"/>
  <c r="AE377" i="6"/>
  <c r="AD377" i="6"/>
  <c r="AC377" i="6"/>
  <c r="AB377" i="6"/>
  <c r="AA377" i="6"/>
  <c r="Z377" i="6"/>
  <c r="Y377" i="6"/>
  <c r="X377" i="6"/>
  <c r="V377" i="6"/>
  <c r="U377" i="6"/>
  <c r="T377" i="6"/>
  <c r="S377" i="6"/>
  <c r="R377" i="6"/>
  <c r="Q377" i="6"/>
  <c r="O377" i="6"/>
  <c r="N377" i="6"/>
  <c r="M377" i="6"/>
  <c r="L377" i="6"/>
  <c r="G377" i="6"/>
  <c r="D377" i="6"/>
  <c r="C377" i="6"/>
  <c r="B377" i="6"/>
  <c r="A377" i="6"/>
  <c r="AJ376" i="6"/>
  <c r="AI376" i="6"/>
  <c r="AH376" i="6"/>
  <c r="AG376" i="6"/>
  <c r="AF376" i="6"/>
  <c r="AE376" i="6"/>
  <c r="AD376" i="6"/>
  <c r="AC376" i="6"/>
  <c r="AB376" i="6"/>
  <c r="AA376" i="6"/>
  <c r="Z376" i="6"/>
  <c r="Y376" i="6"/>
  <c r="X376" i="6"/>
  <c r="V376" i="6"/>
  <c r="U376" i="6"/>
  <c r="T376" i="6"/>
  <c r="S376" i="6"/>
  <c r="R376" i="6"/>
  <c r="Q376" i="6"/>
  <c r="O376" i="6"/>
  <c r="N376" i="6"/>
  <c r="M376" i="6"/>
  <c r="L376" i="6"/>
  <c r="G376" i="6"/>
  <c r="D376" i="6"/>
  <c r="C376" i="6"/>
  <c r="B376" i="6"/>
  <c r="A376" i="6"/>
  <c r="AJ375" i="6"/>
  <c r="AI375" i="6"/>
  <c r="AH375" i="6"/>
  <c r="AG375" i="6"/>
  <c r="AF375" i="6"/>
  <c r="AE375" i="6"/>
  <c r="AD375" i="6"/>
  <c r="AC375" i="6"/>
  <c r="AB375" i="6"/>
  <c r="AA375" i="6"/>
  <c r="Z375" i="6"/>
  <c r="Y375" i="6"/>
  <c r="X375" i="6"/>
  <c r="V375" i="6"/>
  <c r="U375" i="6"/>
  <c r="T375" i="6"/>
  <c r="S375" i="6"/>
  <c r="R375" i="6"/>
  <c r="Q375" i="6"/>
  <c r="P375" i="6"/>
  <c r="O375" i="6"/>
  <c r="N375" i="6"/>
  <c r="M375" i="6"/>
  <c r="L375" i="6"/>
  <c r="G375" i="6"/>
  <c r="D375" i="6"/>
  <c r="C375" i="6"/>
  <c r="B375" i="6"/>
  <c r="A375" i="6"/>
  <c r="AJ374" i="6"/>
  <c r="AI374" i="6"/>
  <c r="AH374" i="6"/>
  <c r="AG374" i="6"/>
  <c r="AF374" i="6"/>
  <c r="AE374" i="6"/>
  <c r="AD374" i="6"/>
  <c r="AC374" i="6"/>
  <c r="AB374" i="6"/>
  <c r="AA374" i="6"/>
  <c r="Z374" i="6"/>
  <c r="Y374" i="6"/>
  <c r="X374" i="6"/>
  <c r="V374" i="6"/>
  <c r="U374" i="6"/>
  <c r="T374" i="6"/>
  <c r="S374" i="6"/>
  <c r="R374" i="6"/>
  <c r="Q374" i="6"/>
  <c r="O374" i="6"/>
  <c r="N374" i="6"/>
  <c r="M374" i="6"/>
  <c r="L374" i="6"/>
  <c r="G374" i="6"/>
  <c r="D374" i="6"/>
  <c r="C374" i="6"/>
  <c r="B374" i="6"/>
  <c r="A374" i="6"/>
  <c r="AJ373" i="6"/>
  <c r="AI373" i="6"/>
  <c r="AH373" i="6"/>
  <c r="AG373" i="6"/>
  <c r="AF373" i="6"/>
  <c r="AE373" i="6"/>
  <c r="AD373" i="6"/>
  <c r="AC373" i="6"/>
  <c r="AB373" i="6"/>
  <c r="AA373" i="6"/>
  <c r="Z373" i="6"/>
  <c r="Y373" i="6"/>
  <c r="X373" i="6"/>
  <c r="V373" i="6"/>
  <c r="U373" i="6"/>
  <c r="T373" i="6"/>
  <c r="S373" i="6"/>
  <c r="R373" i="6"/>
  <c r="Q373" i="6"/>
  <c r="O373" i="6"/>
  <c r="N373" i="6"/>
  <c r="M373" i="6"/>
  <c r="L373" i="6"/>
  <c r="G373" i="6"/>
  <c r="D373" i="6"/>
  <c r="C373" i="6"/>
  <c r="B373" i="6"/>
  <c r="A373" i="6"/>
  <c r="AJ372" i="6"/>
  <c r="AI372" i="6"/>
  <c r="AH372" i="6"/>
  <c r="AG372" i="6"/>
  <c r="AF372" i="6"/>
  <c r="AE372" i="6"/>
  <c r="AD372" i="6"/>
  <c r="AC372" i="6"/>
  <c r="AB372" i="6"/>
  <c r="AA372" i="6"/>
  <c r="Z372" i="6"/>
  <c r="Y372" i="6"/>
  <c r="X372" i="6"/>
  <c r="V372" i="6"/>
  <c r="U372" i="6"/>
  <c r="T372" i="6"/>
  <c r="S372" i="6"/>
  <c r="R372" i="6"/>
  <c r="Q372" i="6"/>
  <c r="P372" i="6"/>
  <c r="O372" i="6"/>
  <c r="N372" i="6"/>
  <c r="M372" i="6"/>
  <c r="L372" i="6"/>
  <c r="G372" i="6"/>
  <c r="D372" i="6"/>
  <c r="C372" i="6"/>
  <c r="B372" i="6"/>
  <c r="A372" i="6"/>
  <c r="AJ371" i="6"/>
  <c r="AI371" i="6"/>
  <c r="AH371" i="6"/>
  <c r="AG371" i="6"/>
  <c r="AF371" i="6"/>
  <c r="AE371" i="6"/>
  <c r="AD371" i="6"/>
  <c r="AC371" i="6"/>
  <c r="AB371" i="6"/>
  <c r="AA371" i="6"/>
  <c r="Z371" i="6"/>
  <c r="Y371" i="6"/>
  <c r="X371" i="6"/>
  <c r="V371" i="6"/>
  <c r="U371" i="6"/>
  <c r="T371" i="6"/>
  <c r="S371" i="6"/>
  <c r="R371" i="6"/>
  <c r="Q371" i="6"/>
  <c r="O371" i="6"/>
  <c r="N371" i="6"/>
  <c r="M371" i="6"/>
  <c r="L371" i="6"/>
  <c r="G371" i="6"/>
  <c r="D371" i="6"/>
  <c r="C371" i="6"/>
  <c r="B371" i="6"/>
  <c r="A371" i="6"/>
  <c r="AJ370" i="6"/>
  <c r="AI370" i="6"/>
  <c r="AH370" i="6"/>
  <c r="AG370" i="6"/>
  <c r="AF370" i="6"/>
  <c r="AE370" i="6"/>
  <c r="AD370" i="6"/>
  <c r="AC370" i="6"/>
  <c r="AB370" i="6"/>
  <c r="AA370" i="6"/>
  <c r="Z370" i="6"/>
  <c r="Y370" i="6"/>
  <c r="X370" i="6"/>
  <c r="V370" i="6"/>
  <c r="U370" i="6"/>
  <c r="T370" i="6"/>
  <c r="S370" i="6"/>
  <c r="R370" i="6"/>
  <c r="Q370" i="6"/>
  <c r="O370" i="6"/>
  <c r="N370" i="6"/>
  <c r="M370" i="6"/>
  <c r="L370" i="6"/>
  <c r="G370" i="6"/>
  <c r="D370" i="6"/>
  <c r="C370" i="6"/>
  <c r="B370" i="6"/>
  <c r="A370" i="6"/>
  <c r="AJ369" i="6"/>
  <c r="AI369" i="6"/>
  <c r="AH369" i="6"/>
  <c r="AG369" i="6"/>
  <c r="AF369" i="6"/>
  <c r="AE369" i="6"/>
  <c r="AD369" i="6"/>
  <c r="AC369" i="6"/>
  <c r="AB369" i="6"/>
  <c r="AA369" i="6"/>
  <c r="Z369" i="6"/>
  <c r="Y369" i="6"/>
  <c r="X369" i="6"/>
  <c r="V369" i="6"/>
  <c r="U369" i="6"/>
  <c r="T369" i="6"/>
  <c r="S369" i="6"/>
  <c r="R369" i="6"/>
  <c r="Q369" i="6"/>
  <c r="P369" i="6"/>
  <c r="O369" i="6"/>
  <c r="N369" i="6"/>
  <c r="M369" i="6"/>
  <c r="L369" i="6"/>
  <c r="G369" i="6"/>
  <c r="D369" i="6"/>
  <c r="C369" i="6"/>
  <c r="B369" i="6"/>
  <c r="A369" i="6"/>
  <c r="AJ368" i="6"/>
  <c r="AI368" i="6"/>
  <c r="AH368" i="6"/>
  <c r="AG368" i="6"/>
  <c r="AF368" i="6"/>
  <c r="AE368" i="6"/>
  <c r="AD368" i="6"/>
  <c r="AC368" i="6"/>
  <c r="AB368" i="6"/>
  <c r="AA368" i="6"/>
  <c r="Z368" i="6"/>
  <c r="Y368" i="6"/>
  <c r="X368" i="6"/>
  <c r="V368" i="6"/>
  <c r="U368" i="6"/>
  <c r="T368" i="6"/>
  <c r="S368" i="6"/>
  <c r="R368" i="6"/>
  <c r="Q368" i="6"/>
  <c r="P368" i="6"/>
  <c r="O368" i="6"/>
  <c r="N368" i="6"/>
  <c r="M368" i="6"/>
  <c r="L368" i="6"/>
  <c r="G368" i="6"/>
  <c r="D368" i="6"/>
  <c r="C368" i="6"/>
  <c r="B368" i="6"/>
  <c r="A368" i="6"/>
  <c r="AJ367" i="6"/>
  <c r="AI367" i="6"/>
  <c r="AH367" i="6"/>
  <c r="AG367" i="6"/>
  <c r="AF367" i="6"/>
  <c r="AE367" i="6"/>
  <c r="AD367" i="6"/>
  <c r="AC367" i="6"/>
  <c r="AB367" i="6"/>
  <c r="AA367" i="6"/>
  <c r="Z367" i="6"/>
  <c r="Y367" i="6"/>
  <c r="X367" i="6"/>
  <c r="V367" i="6"/>
  <c r="U367" i="6"/>
  <c r="T367" i="6"/>
  <c r="S367" i="6"/>
  <c r="R367" i="6"/>
  <c r="Q367" i="6"/>
  <c r="O367" i="6"/>
  <c r="N367" i="6"/>
  <c r="M367" i="6"/>
  <c r="L367" i="6"/>
  <c r="G367" i="6"/>
  <c r="D367" i="6"/>
  <c r="C367" i="6"/>
  <c r="B367" i="6"/>
  <c r="A367" i="6"/>
  <c r="AJ366" i="6"/>
  <c r="AI366" i="6"/>
  <c r="AH366" i="6"/>
  <c r="AG366" i="6"/>
  <c r="AF366" i="6"/>
  <c r="AE366" i="6"/>
  <c r="AD366" i="6"/>
  <c r="AC366" i="6"/>
  <c r="AB366" i="6"/>
  <c r="AA366" i="6"/>
  <c r="Z366" i="6"/>
  <c r="Y366" i="6"/>
  <c r="X366" i="6"/>
  <c r="V366" i="6"/>
  <c r="U366" i="6"/>
  <c r="T366" i="6"/>
  <c r="S366" i="6"/>
  <c r="R366" i="6"/>
  <c r="Q366" i="6"/>
  <c r="P366" i="6"/>
  <c r="O366" i="6"/>
  <c r="N366" i="6"/>
  <c r="M366" i="6"/>
  <c r="L366" i="6"/>
  <c r="G366" i="6"/>
  <c r="D366" i="6"/>
  <c r="C366" i="6"/>
  <c r="B366" i="6"/>
  <c r="A366" i="6"/>
  <c r="AJ365" i="6"/>
  <c r="AI365" i="6"/>
  <c r="AH365" i="6"/>
  <c r="AG365" i="6"/>
  <c r="AF365" i="6"/>
  <c r="AE365" i="6"/>
  <c r="AD365" i="6"/>
  <c r="AC365" i="6"/>
  <c r="AB365" i="6"/>
  <c r="AA365" i="6"/>
  <c r="Z365" i="6"/>
  <c r="Y365" i="6"/>
  <c r="X365" i="6"/>
  <c r="V365" i="6"/>
  <c r="U365" i="6"/>
  <c r="T365" i="6"/>
  <c r="S365" i="6"/>
  <c r="R365" i="6"/>
  <c r="Q365" i="6"/>
  <c r="O365" i="6"/>
  <c r="N365" i="6"/>
  <c r="M365" i="6"/>
  <c r="L365" i="6"/>
  <c r="G365" i="6"/>
  <c r="D365" i="6"/>
  <c r="C365" i="6"/>
  <c r="B365" i="6"/>
  <c r="A365" i="6"/>
  <c r="AJ364" i="6"/>
  <c r="AI364" i="6"/>
  <c r="AH364" i="6"/>
  <c r="AG364" i="6"/>
  <c r="AF364" i="6"/>
  <c r="AE364" i="6"/>
  <c r="AD364" i="6"/>
  <c r="AC364" i="6"/>
  <c r="AB364" i="6"/>
  <c r="AA364" i="6"/>
  <c r="Z364" i="6"/>
  <c r="Y364" i="6"/>
  <c r="X364" i="6"/>
  <c r="V364" i="6"/>
  <c r="U364" i="6"/>
  <c r="T364" i="6"/>
  <c r="S364" i="6"/>
  <c r="R364" i="6"/>
  <c r="Q364" i="6"/>
  <c r="P364" i="6"/>
  <c r="O364" i="6"/>
  <c r="N364" i="6"/>
  <c r="M364" i="6"/>
  <c r="L364" i="6"/>
  <c r="G364" i="6"/>
  <c r="D364" i="6"/>
  <c r="C364" i="6"/>
  <c r="B364" i="6"/>
  <c r="A364" i="6"/>
  <c r="AJ363" i="6"/>
  <c r="AI363" i="6"/>
  <c r="AH363" i="6"/>
  <c r="AG363" i="6"/>
  <c r="AF363" i="6"/>
  <c r="AE363" i="6"/>
  <c r="AD363" i="6"/>
  <c r="AC363" i="6"/>
  <c r="AB363" i="6"/>
  <c r="AA363" i="6"/>
  <c r="Z363" i="6"/>
  <c r="Y363" i="6"/>
  <c r="X363" i="6"/>
  <c r="V363" i="6"/>
  <c r="U363" i="6"/>
  <c r="T363" i="6"/>
  <c r="S363" i="6"/>
  <c r="R363" i="6"/>
  <c r="Q363" i="6"/>
  <c r="O363" i="6"/>
  <c r="N363" i="6"/>
  <c r="M363" i="6"/>
  <c r="L363" i="6"/>
  <c r="G363" i="6"/>
  <c r="D363" i="6"/>
  <c r="C363" i="6"/>
  <c r="B363" i="6"/>
  <c r="A363" i="6"/>
  <c r="AJ362" i="6"/>
  <c r="AI362" i="6"/>
  <c r="AH362" i="6"/>
  <c r="AG362" i="6"/>
  <c r="AF362" i="6"/>
  <c r="AE362" i="6"/>
  <c r="AD362" i="6"/>
  <c r="AC362" i="6"/>
  <c r="AB362" i="6"/>
  <c r="AA362" i="6"/>
  <c r="Z362" i="6"/>
  <c r="Y362" i="6"/>
  <c r="X362" i="6"/>
  <c r="V362" i="6"/>
  <c r="U362" i="6"/>
  <c r="T362" i="6"/>
  <c r="S362" i="6"/>
  <c r="R362" i="6"/>
  <c r="Q362" i="6"/>
  <c r="O362" i="6"/>
  <c r="N362" i="6"/>
  <c r="M362" i="6"/>
  <c r="L362" i="6"/>
  <c r="G362" i="6"/>
  <c r="D362" i="6"/>
  <c r="C362" i="6"/>
  <c r="B362" i="6"/>
  <c r="A362" i="6"/>
  <c r="AJ361" i="6"/>
  <c r="AI361" i="6"/>
  <c r="AH361" i="6"/>
  <c r="AG361" i="6"/>
  <c r="AF361" i="6"/>
  <c r="AE361" i="6"/>
  <c r="AD361" i="6"/>
  <c r="AC361" i="6"/>
  <c r="AB361" i="6"/>
  <c r="AA361" i="6"/>
  <c r="Z361" i="6"/>
  <c r="Y361" i="6"/>
  <c r="X361" i="6"/>
  <c r="V361" i="6"/>
  <c r="U361" i="6"/>
  <c r="T361" i="6"/>
  <c r="S361" i="6"/>
  <c r="R361" i="6"/>
  <c r="Q361" i="6"/>
  <c r="P361" i="6"/>
  <c r="O361" i="6"/>
  <c r="N361" i="6"/>
  <c r="M361" i="6"/>
  <c r="L361" i="6"/>
  <c r="G361" i="6"/>
  <c r="D361" i="6"/>
  <c r="C361" i="6"/>
  <c r="B361" i="6"/>
  <c r="A361" i="6"/>
  <c r="AJ360" i="6"/>
  <c r="AI360" i="6"/>
  <c r="AH360" i="6"/>
  <c r="AG360" i="6"/>
  <c r="AF360" i="6"/>
  <c r="AE360" i="6"/>
  <c r="AD360" i="6"/>
  <c r="AC360" i="6"/>
  <c r="AB360" i="6"/>
  <c r="AA360" i="6"/>
  <c r="Z360" i="6"/>
  <c r="Y360" i="6"/>
  <c r="X360" i="6"/>
  <c r="V360" i="6"/>
  <c r="U360" i="6"/>
  <c r="T360" i="6"/>
  <c r="S360" i="6"/>
  <c r="R360" i="6"/>
  <c r="Q360" i="6"/>
  <c r="P360" i="6"/>
  <c r="O360" i="6"/>
  <c r="N360" i="6"/>
  <c r="M360" i="6"/>
  <c r="L360" i="6"/>
  <c r="G360" i="6"/>
  <c r="D360" i="6"/>
  <c r="C360" i="6"/>
  <c r="B360" i="6"/>
  <c r="A360" i="6"/>
  <c r="AJ359" i="6"/>
  <c r="AI359" i="6"/>
  <c r="AH359" i="6"/>
  <c r="AG359" i="6"/>
  <c r="AF359" i="6"/>
  <c r="AE359" i="6"/>
  <c r="AD359" i="6"/>
  <c r="AC359" i="6"/>
  <c r="AB359" i="6"/>
  <c r="AA359" i="6"/>
  <c r="Z359" i="6"/>
  <c r="Y359" i="6"/>
  <c r="X359" i="6"/>
  <c r="V359" i="6"/>
  <c r="U359" i="6"/>
  <c r="T359" i="6"/>
  <c r="S359" i="6"/>
  <c r="R359" i="6"/>
  <c r="Q359" i="6"/>
  <c r="O359" i="6"/>
  <c r="N359" i="6"/>
  <c r="M359" i="6"/>
  <c r="L359" i="6"/>
  <c r="G359" i="6"/>
  <c r="D359" i="6"/>
  <c r="C359" i="6"/>
  <c r="B359" i="6"/>
  <c r="A359" i="6"/>
  <c r="AJ358" i="6"/>
  <c r="AI358" i="6"/>
  <c r="AH358" i="6"/>
  <c r="AG358" i="6"/>
  <c r="AF358" i="6"/>
  <c r="AE358" i="6"/>
  <c r="AD358" i="6"/>
  <c r="AC358" i="6"/>
  <c r="AB358" i="6"/>
  <c r="AA358" i="6"/>
  <c r="Z358" i="6"/>
  <c r="Y358" i="6"/>
  <c r="X358" i="6"/>
  <c r="V358" i="6"/>
  <c r="U358" i="6"/>
  <c r="T358" i="6"/>
  <c r="S358" i="6"/>
  <c r="R358" i="6"/>
  <c r="Q358" i="6"/>
  <c r="O358" i="6"/>
  <c r="N358" i="6"/>
  <c r="M358" i="6"/>
  <c r="L358" i="6"/>
  <c r="G358" i="6"/>
  <c r="D358" i="6"/>
  <c r="C358" i="6"/>
  <c r="B358" i="6"/>
  <c r="A358" i="6"/>
  <c r="AJ357" i="6"/>
  <c r="AI357" i="6"/>
  <c r="AH357" i="6"/>
  <c r="AG357" i="6"/>
  <c r="AF357" i="6"/>
  <c r="AE357" i="6"/>
  <c r="AD357" i="6"/>
  <c r="AC357" i="6"/>
  <c r="AB357" i="6"/>
  <c r="AA357" i="6"/>
  <c r="Z357" i="6"/>
  <c r="Y357" i="6"/>
  <c r="X357" i="6"/>
  <c r="V357" i="6"/>
  <c r="U357" i="6"/>
  <c r="T357" i="6"/>
  <c r="S357" i="6"/>
  <c r="R357" i="6"/>
  <c r="Q357" i="6"/>
  <c r="P357" i="6"/>
  <c r="O357" i="6"/>
  <c r="N357" i="6"/>
  <c r="M357" i="6"/>
  <c r="L357" i="6"/>
  <c r="G357" i="6"/>
  <c r="D357" i="6"/>
  <c r="C357" i="6"/>
  <c r="B357" i="6"/>
  <c r="A357" i="6"/>
  <c r="AJ356" i="6"/>
  <c r="AI356" i="6"/>
  <c r="AH356" i="6"/>
  <c r="AG356" i="6"/>
  <c r="AF356" i="6"/>
  <c r="AE356" i="6"/>
  <c r="AD356" i="6"/>
  <c r="AC356" i="6"/>
  <c r="AB356" i="6"/>
  <c r="AA356" i="6"/>
  <c r="Z356" i="6"/>
  <c r="Y356" i="6"/>
  <c r="X356" i="6"/>
  <c r="V356" i="6"/>
  <c r="U356" i="6"/>
  <c r="T356" i="6"/>
  <c r="S356" i="6"/>
  <c r="R356" i="6"/>
  <c r="Q356" i="6"/>
  <c r="O356" i="6"/>
  <c r="N356" i="6"/>
  <c r="M356" i="6"/>
  <c r="L356" i="6"/>
  <c r="G356" i="6"/>
  <c r="D356" i="6"/>
  <c r="C356" i="6"/>
  <c r="B356" i="6"/>
  <c r="A356" i="6"/>
  <c r="AJ355" i="6"/>
  <c r="AI355" i="6"/>
  <c r="AH355" i="6"/>
  <c r="AG355" i="6"/>
  <c r="AF355" i="6"/>
  <c r="AE355" i="6"/>
  <c r="AD355" i="6"/>
  <c r="AC355" i="6"/>
  <c r="AB355" i="6"/>
  <c r="AA355" i="6"/>
  <c r="Z355" i="6"/>
  <c r="Y355" i="6"/>
  <c r="X355" i="6"/>
  <c r="V355" i="6"/>
  <c r="U355" i="6"/>
  <c r="T355" i="6"/>
  <c r="S355" i="6"/>
  <c r="R355" i="6"/>
  <c r="Q355" i="6"/>
  <c r="O355" i="6"/>
  <c r="N355" i="6"/>
  <c r="M355" i="6"/>
  <c r="L355" i="6"/>
  <c r="G355" i="6"/>
  <c r="D355" i="6"/>
  <c r="C355" i="6"/>
  <c r="B355" i="6"/>
  <c r="A355" i="6"/>
  <c r="AJ354" i="6"/>
  <c r="AI354" i="6"/>
  <c r="AH354" i="6"/>
  <c r="AG354" i="6"/>
  <c r="AF354" i="6"/>
  <c r="AE354" i="6"/>
  <c r="AD354" i="6"/>
  <c r="AC354" i="6"/>
  <c r="AB354" i="6"/>
  <c r="AA354" i="6"/>
  <c r="Z354" i="6"/>
  <c r="Y354" i="6"/>
  <c r="X354" i="6"/>
  <c r="V354" i="6"/>
  <c r="U354" i="6"/>
  <c r="T354" i="6"/>
  <c r="S354" i="6"/>
  <c r="R354" i="6"/>
  <c r="Q354" i="6"/>
  <c r="O354" i="6"/>
  <c r="N354" i="6"/>
  <c r="M354" i="6"/>
  <c r="L354" i="6"/>
  <c r="G354" i="6"/>
  <c r="D354" i="6"/>
  <c r="C354" i="6"/>
  <c r="B354" i="6"/>
  <c r="A354" i="6"/>
  <c r="AJ353" i="6"/>
  <c r="AI353" i="6"/>
  <c r="AH353" i="6"/>
  <c r="AG353" i="6"/>
  <c r="AF353" i="6"/>
  <c r="AE353" i="6"/>
  <c r="AD353" i="6"/>
  <c r="AC353" i="6"/>
  <c r="AB353" i="6"/>
  <c r="AA353" i="6"/>
  <c r="Z353" i="6"/>
  <c r="Y353" i="6"/>
  <c r="X353" i="6"/>
  <c r="V353" i="6"/>
  <c r="U353" i="6"/>
  <c r="T353" i="6"/>
  <c r="S353" i="6"/>
  <c r="R353" i="6"/>
  <c r="Q353" i="6"/>
  <c r="O353" i="6"/>
  <c r="N353" i="6"/>
  <c r="M353" i="6"/>
  <c r="L353" i="6"/>
  <c r="G353" i="6"/>
  <c r="D353" i="6"/>
  <c r="C353" i="6"/>
  <c r="B353" i="6"/>
  <c r="A353" i="6"/>
  <c r="AJ352" i="6"/>
  <c r="AI352" i="6"/>
  <c r="AH352" i="6"/>
  <c r="AG352" i="6"/>
  <c r="AF352" i="6"/>
  <c r="AE352" i="6"/>
  <c r="AD352" i="6"/>
  <c r="AC352" i="6"/>
  <c r="AB352" i="6"/>
  <c r="AA352" i="6"/>
  <c r="Z352" i="6"/>
  <c r="Y352" i="6"/>
  <c r="X352" i="6"/>
  <c r="V352" i="6"/>
  <c r="U352" i="6"/>
  <c r="T352" i="6"/>
  <c r="S352" i="6"/>
  <c r="R352" i="6"/>
  <c r="Q352" i="6"/>
  <c r="P352" i="6"/>
  <c r="O352" i="6"/>
  <c r="N352" i="6"/>
  <c r="M352" i="6"/>
  <c r="L352" i="6"/>
  <c r="G352" i="6"/>
  <c r="D352" i="6"/>
  <c r="C352" i="6"/>
  <c r="B352" i="6"/>
  <c r="A352" i="6"/>
  <c r="AJ351" i="6"/>
  <c r="AI351" i="6"/>
  <c r="AH351" i="6"/>
  <c r="AG351" i="6"/>
  <c r="AF351" i="6"/>
  <c r="AE351" i="6"/>
  <c r="AD351" i="6"/>
  <c r="AC351" i="6"/>
  <c r="AB351" i="6"/>
  <c r="AA351" i="6"/>
  <c r="Z351" i="6"/>
  <c r="Y351" i="6"/>
  <c r="X351" i="6"/>
  <c r="V351" i="6"/>
  <c r="U351" i="6"/>
  <c r="T351" i="6"/>
  <c r="S351" i="6"/>
  <c r="R351" i="6"/>
  <c r="Q351" i="6"/>
  <c r="P351" i="6"/>
  <c r="O351" i="6"/>
  <c r="N351" i="6"/>
  <c r="M351" i="6"/>
  <c r="L351" i="6"/>
  <c r="G351" i="6"/>
  <c r="D351" i="6"/>
  <c r="C351" i="6"/>
  <c r="B351" i="6"/>
  <c r="A351" i="6"/>
  <c r="AJ350" i="6"/>
  <c r="AI350" i="6"/>
  <c r="AH350" i="6"/>
  <c r="AG350" i="6"/>
  <c r="AF350" i="6"/>
  <c r="AE350" i="6"/>
  <c r="AD350" i="6"/>
  <c r="AC350" i="6"/>
  <c r="AB350" i="6"/>
  <c r="AA350" i="6"/>
  <c r="Z350" i="6"/>
  <c r="Y350" i="6"/>
  <c r="X350" i="6"/>
  <c r="V350" i="6"/>
  <c r="U350" i="6"/>
  <c r="T350" i="6"/>
  <c r="S350" i="6"/>
  <c r="R350" i="6"/>
  <c r="Q350" i="6"/>
  <c r="O350" i="6"/>
  <c r="N350" i="6"/>
  <c r="M350" i="6"/>
  <c r="L350" i="6"/>
  <c r="G350" i="6"/>
  <c r="D350" i="6"/>
  <c r="C350" i="6"/>
  <c r="B350" i="6"/>
  <c r="A350" i="6"/>
  <c r="AJ349" i="6"/>
  <c r="AI349" i="6"/>
  <c r="AH349" i="6"/>
  <c r="AG349" i="6"/>
  <c r="AF349" i="6"/>
  <c r="AE349" i="6"/>
  <c r="AD349" i="6"/>
  <c r="AC349" i="6"/>
  <c r="AB349" i="6"/>
  <c r="AA349" i="6"/>
  <c r="Z349" i="6"/>
  <c r="Y349" i="6"/>
  <c r="X349" i="6"/>
  <c r="V349" i="6"/>
  <c r="U349" i="6"/>
  <c r="T349" i="6"/>
  <c r="S349" i="6"/>
  <c r="R349" i="6"/>
  <c r="Q349" i="6"/>
  <c r="O349" i="6"/>
  <c r="N349" i="6"/>
  <c r="M349" i="6"/>
  <c r="L349" i="6"/>
  <c r="G349" i="6"/>
  <c r="D349" i="6"/>
  <c r="C349" i="6"/>
  <c r="B349" i="6"/>
  <c r="A349" i="6"/>
  <c r="AJ348" i="6"/>
  <c r="AI348" i="6"/>
  <c r="AH348" i="6"/>
  <c r="AG348" i="6"/>
  <c r="AF348" i="6"/>
  <c r="AE348" i="6"/>
  <c r="AD348" i="6"/>
  <c r="AC348" i="6"/>
  <c r="AB348" i="6"/>
  <c r="AA348" i="6"/>
  <c r="Z348" i="6"/>
  <c r="Y348" i="6"/>
  <c r="X348" i="6"/>
  <c r="V348" i="6"/>
  <c r="U348" i="6"/>
  <c r="T348" i="6"/>
  <c r="S348" i="6"/>
  <c r="R348" i="6"/>
  <c r="Q348" i="6"/>
  <c r="O348" i="6"/>
  <c r="N348" i="6"/>
  <c r="M348" i="6"/>
  <c r="L348" i="6"/>
  <c r="G348" i="6"/>
  <c r="D348" i="6"/>
  <c r="C348" i="6"/>
  <c r="B348" i="6"/>
  <c r="A348" i="6"/>
  <c r="AJ347" i="6"/>
  <c r="AI347" i="6"/>
  <c r="AH347" i="6"/>
  <c r="AG347" i="6"/>
  <c r="AF347" i="6"/>
  <c r="AE347" i="6"/>
  <c r="AD347" i="6"/>
  <c r="AC347" i="6"/>
  <c r="AB347" i="6"/>
  <c r="AA347" i="6"/>
  <c r="Z347" i="6"/>
  <c r="Y347" i="6"/>
  <c r="X347" i="6"/>
  <c r="V347" i="6"/>
  <c r="U347" i="6"/>
  <c r="T347" i="6"/>
  <c r="S347" i="6"/>
  <c r="R347" i="6"/>
  <c r="Q347" i="6"/>
  <c r="P347" i="6"/>
  <c r="O347" i="6"/>
  <c r="N347" i="6"/>
  <c r="M347" i="6"/>
  <c r="L347" i="6"/>
  <c r="G347" i="6"/>
  <c r="D347" i="6"/>
  <c r="C347" i="6"/>
  <c r="B347" i="6"/>
  <c r="A347" i="6"/>
  <c r="AJ346" i="6"/>
  <c r="AI346" i="6"/>
  <c r="AH346" i="6"/>
  <c r="AG346" i="6"/>
  <c r="AF346" i="6"/>
  <c r="AE346" i="6"/>
  <c r="AD346" i="6"/>
  <c r="AC346" i="6"/>
  <c r="AB346" i="6"/>
  <c r="AA346" i="6"/>
  <c r="Z346" i="6"/>
  <c r="Y346" i="6"/>
  <c r="X346" i="6"/>
  <c r="V346" i="6"/>
  <c r="U346" i="6"/>
  <c r="T346" i="6"/>
  <c r="S346" i="6"/>
  <c r="R346" i="6"/>
  <c r="Q346" i="6"/>
  <c r="O346" i="6"/>
  <c r="N346" i="6"/>
  <c r="M346" i="6"/>
  <c r="L346" i="6"/>
  <c r="G346" i="6"/>
  <c r="D346" i="6"/>
  <c r="C346" i="6"/>
  <c r="B346" i="6"/>
  <c r="A346" i="6"/>
  <c r="AJ345" i="6"/>
  <c r="AI345" i="6"/>
  <c r="AH345" i="6"/>
  <c r="AG345" i="6"/>
  <c r="AF345" i="6"/>
  <c r="AE345" i="6"/>
  <c r="AD345" i="6"/>
  <c r="AC345" i="6"/>
  <c r="AB345" i="6"/>
  <c r="AA345" i="6"/>
  <c r="Z345" i="6"/>
  <c r="Y345" i="6"/>
  <c r="X345" i="6"/>
  <c r="V345" i="6"/>
  <c r="U345" i="6"/>
  <c r="T345" i="6"/>
  <c r="S345" i="6"/>
  <c r="R345" i="6"/>
  <c r="Q345" i="6"/>
  <c r="O345" i="6"/>
  <c r="N345" i="6"/>
  <c r="M345" i="6"/>
  <c r="L345" i="6"/>
  <c r="G345" i="6"/>
  <c r="D345" i="6"/>
  <c r="C345" i="6"/>
  <c r="B345" i="6"/>
  <c r="A345" i="6"/>
  <c r="AJ344" i="6"/>
  <c r="AI344" i="6"/>
  <c r="AH344" i="6"/>
  <c r="AG344" i="6"/>
  <c r="AF344" i="6"/>
  <c r="AE344" i="6"/>
  <c r="AD344" i="6"/>
  <c r="AC344" i="6"/>
  <c r="AB344" i="6"/>
  <c r="AA344" i="6"/>
  <c r="Z344" i="6"/>
  <c r="Y344" i="6"/>
  <c r="X344" i="6"/>
  <c r="V344" i="6"/>
  <c r="U344" i="6"/>
  <c r="T344" i="6"/>
  <c r="S344" i="6"/>
  <c r="R344" i="6"/>
  <c r="Q344" i="6"/>
  <c r="O344" i="6"/>
  <c r="N344" i="6"/>
  <c r="M344" i="6"/>
  <c r="L344" i="6"/>
  <c r="G344" i="6"/>
  <c r="D344" i="6"/>
  <c r="C344" i="6"/>
  <c r="B344" i="6"/>
  <c r="A344" i="6"/>
  <c r="AJ343" i="6"/>
  <c r="AI343" i="6"/>
  <c r="AH343" i="6"/>
  <c r="AG343" i="6"/>
  <c r="AF343" i="6"/>
  <c r="AE343" i="6"/>
  <c r="AD343" i="6"/>
  <c r="AC343" i="6"/>
  <c r="AB343" i="6"/>
  <c r="AA343" i="6"/>
  <c r="Z343" i="6"/>
  <c r="Y343" i="6"/>
  <c r="X343" i="6"/>
  <c r="V343" i="6"/>
  <c r="U343" i="6"/>
  <c r="T343" i="6"/>
  <c r="S343" i="6"/>
  <c r="R343" i="6"/>
  <c r="Q343" i="6"/>
  <c r="O343" i="6"/>
  <c r="N343" i="6"/>
  <c r="M343" i="6"/>
  <c r="L343" i="6"/>
  <c r="G343" i="6"/>
  <c r="D343" i="6"/>
  <c r="C343" i="6"/>
  <c r="B343" i="6"/>
  <c r="A343" i="6"/>
  <c r="AJ342" i="6"/>
  <c r="AI342" i="6"/>
  <c r="AH342" i="6"/>
  <c r="AG342" i="6"/>
  <c r="AF342" i="6"/>
  <c r="AE342" i="6"/>
  <c r="AD342" i="6"/>
  <c r="AC342" i="6"/>
  <c r="AB342" i="6"/>
  <c r="AA342" i="6"/>
  <c r="Z342" i="6"/>
  <c r="Y342" i="6"/>
  <c r="X342" i="6"/>
  <c r="V342" i="6"/>
  <c r="U342" i="6"/>
  <c r="T342" i="6"/>
  <c r="S342" i="6"/>
  <c r="R342" i="6"/>
  <c r="Q342" i="6"/>
  <c r="O342" i="6"/>
  <c r="N342" i="6"/>
  <c r="M342" i="6"/>
  <c r="L342" i="6"/>
  <c r="G342" i="6"/>
  <c r="D342" i="6"/>
  <c r="C342" i="6"/>
  <c r="B342" i="6"/>
  <c r="A342" i="6"/>
  <c r="AJ341" i="6"/>
  <c r="AI341" i="6"/>
  <c r="AH341" i="6"/>
  <c r="AG341" i="6"/>
  <c r="AF341" i="6"/>
  <c r="AE341" i="6"/>
  <c r="AD341" i="6"/>
  <c r="AC341" i="6"/>
  <c r="AB341" i="6"/>
  <c r="AA341" i="6"/>
  <c r="Z341" i="6"/>
  <c r="Y341" i="6"/>
  <c r="X341" i="6"/>
  <c r="V341" i="6"/>
  <c r="U341" i="6"/>
  <c r="T341" i="6"/>
  <c r="S341" i="6"/>
  <c r="R341" i="6"/>
  <c r="Q341" i="6"/>
  <c r="O341" i="6"/>
  <c r="N341" i="6"/>
  <c r="M341" i="6"/>
  <c r="L341" i="6"/>
  <c r="G341" i="6"/>
  <c r="D341" i="6"/>
  <c r="C341" i="6"/>
  <c r="B341" i="6"/>
  <c r="A341" i="6"/>
  <c r="AJ340" i="6"/>
  <c r="AI340" i="6"/>
  <c r="AH340" i="6"/>
  <c r="AG340" i="6"/>
  <c r="AF340" i="6"/>
  <c r="AE340" i="6"/>
  <c r="AD340" i="6"/>
  <c r="AC340" i="6"/>
  <c r="AB340" i="6"/>
  <c r="AA340" i="6"/>
  <c r="Z340" i="6"/>
  <c r="Y340" i="6"/>
  <c r="X340" i="6"/>
  <c r="V340" i="6"/>
  <c r="U340" i="6"/>
  <c r="T340" i="6"/>
  <c r="S340" i="6"/>
  <c r="R340" i="6"/>
  <c r="Q340" i="6"/>
  <c r="O340" i="6"/>
  <c r="N340" i="6"/>
  <c r="M340" i="6"/>
  <c r="L340" i="6"/>
  <c r="G340" i="6"/>
  <c r="D340" i="6"/>
  <c r="C340" i="6"/>
  <c r="B340" i="6"/>
  <c r="A340" i="6"/>
  <c r="AJ339" i="6"/>
  <c r="AI339" i="6"/>
  <c r="AH339" i="6"/>
  <c r="AG339" i="6"/>
  <c r="AF339" i="6"/>
  <c r="AE339" i="6"/>
  <c r="AD339" i="6"/>
  <c r="AC339" i="6"/>
  <c r="AB339" i="6"/>
  <c r="AA339" i="6"/>
  <c r="Z339" i="6"/>
  <c r="Y339" i="6"/>
  <c r="X339" i="6"/>
  <c r="V339" i="6"/>
  <c r="U339" i="6"/>
  <c r="T339" i="6"/>
  <c r="S339" i="6"/>
  <c r="R339" i="6"/>
  <c r="Q339" i="6"/>
  <c r="O339" i="6"/>
  <c r="N339" i="6"/>
  <c r="M339" i="6"/>
  <c r="L339" i="6"/>
  <c r="G339" i="6"/>
  <c r="D339" i="6"/>
  <c r="C339" i="6"/>
  <c r="B339" i="6"/>
  <c r="A339" i="6"/>
  <c r="AJ338" i="6"/>
  <c r="AI338" i="6"/>
  <c r="AH338" i="6"/>
  <c r="AG338" i="6"/>
  <c r="AF338" i="6"/>
  <c r="AE338" i="6"/>
  <c r="AD338" i="6"/>
  <c r="AC338" i="6"/>
  <c r="AB338" i="6"/>
  <c r="AA338" i="6"/>
  <c r="Z338" i="6"/>
  <c r="Y338" i="6"/>
  <c r="X338" i="6"/>
  <c r="V338" i="6"/>
  <c r="U338" i="6"/>
  <c r="T338" i="6"/>
  <c r="S338" i="6"/>
  <c r="R338" i="6"/>
  <c r="Q338" i="6"/>
  <c r="O338" i="6"/>
  <c r="N338" i="6"/>
  <c r="M338" i="6"/>
  <c r="L338" i="6"/>
  <c r="G338" i="6"/>
  <c r="D338" i="6"/>
  <c r="C338" i="6"/>
  <c r="B338" i="6"/>
  <c r="A338" i="6"/>
  <c r="AJ337" i="6"/>
  <c r="AI337" i="6"/>
  <c r="AH337" i="6"/>
  <c r="AG337" i="6"/>
  <c r="AF337" i="6"/>
  <c r="AE337" i="6"/>
  <c r="AD337" i="6"/>
  <c r="AC337" i="6"/>
  <c r="AB337" i="6"/>
  <c r="AA337" i="6"/>
  <c r="Z337" i="6"/>
  <c r="Y337" i="6"/>
  <c r="X337" i="6"/>
  <c r="V337" i="6"/>
  <c r="U337" i="6"/>
  <c r="T337" i="6"/>
  <c r="S337" i="6"/>
  <c r="R337" i="6"/>
  <c r="Q337" i="6"/>
  <c r="P337" i="6"/>
  <c r="O337" i="6"/>
  <c r="N337" i="6"/>
  <c r="M337" i="6"/>
  <c r="L337" i="6"/>
  <c r="G337" i="6"/>
  <c r="D337" i="6"/>
  <c r="C337" i="6"/>
  <c r="B337" i="6"/>
  <c r="A337" i="6"/>
  <c r="AJ336" i="6"/>
  <c r="AI336" i="6"/>
  <c r="AH336" i="6"/>
  <c r="AG336" i="6"/>
  <c r="AF336" i="6"/>
  <c r="AE336" i="6"/>
  <c r="AD336" i="6"/>
  <c r="AC336" i="6"/>
  <c r="AB336" i="6"/>
  <c r="AA336" i="6"/>
  <c r="Z336" i="6"/>
  <c r="Y336" i="6"/>
  <c r="X336" i="6"/>
  <c r="V336" i="6"/>
  <c r="U336" i="6"/>
  <c r="T336" i="6"/>
  <c r="S336" i="6"/>
  <c r="R336" i="6"/>
  <c r="Q336" i="6"/>
  <c r="O336" i="6"/>
  <c r="N336" i="6"/>
  <c r="M336" i="6"/>
  <c r="L336" i="6"/>
  <c r="G336" i="6"/>
  <c r="D336" i="6"/>
  <c r="C336" i="6"/>
  <c r="B336" i="6"/>
  <c r="A336" i="6"/>
  <c r="AJ335" i="6"/>
  <c r="AI335" i="6"/>
  <c r="AH335" i="6"/>
  <c r="AG335" i="6"/>
  <c r="AF335" i="6"/>
  <c r="AE335" i="6"/>
  <c r="AD335" i="6"/>
  <c r="AC335" i="6"/>
  <c r="AB335" i="6"/>
  <c r="AA335" i="6"/>
  <c r="Z335" i="6"/>
  <c r="Y335" i="6"/>
  <c r="X335" i="6"/>
  <c r="V335" i="6"/>
  <c r="U335" i="6"/>
  <c r="T335" i="6"/>
  <c r="S335" i="6"/>
  <c r="R335" i="6"/>
  <c r="Q335" i="6"/>
  <c r="O335" i="6"/>
  <c r="N335" i="6"/>
  <c r="M335" i="6"/>
  <c r="L335" i="6"/>
  <c r="G335" i="6"/>
  <c r="D335" i="6"/>
  <c r="C335" i="6"/>
  <c r="B335" i="6"/>
  <c r="A335" i="6"/>
  <c r="AJ334" i="6"/>
  <c r="AI334" i="6"/>
  <c r="AH334" i="6"/>
  <c r="AG334" i="6"/>
  <c r="AF334" i="6"/>
  <c r="AE334" i="6"/>
  <c r="AD334" i="6"/>
  <c r="AC334" i="6"/>
  <c r="AB334" i="6"/>
  <c r="AA334" i="6"/>
  <c r="Z334" i="6"/>
  <c r="Y334" i="6"/>
  <c r="X334" i="6"/>
  <c r="V334" i="6"/>
  <c r="U334" i="6"/>
  <c r="T334" i="6"/>
  <c r="S334" i="6"/>
  <c r="R334" i="6"/>
  <c r="Q334" i="6"/>
  <c r="O334" i="6"/>
  <c r="N334" i="6"/>
  <c r="M334" i="6"/>
  <c r="L334" i="6"/>
  <c r="G334" i="6"/>
  <c r="D334" i="6"/>
  <c r="C334" i="6"/>
  <c r="B334" i="6"/>
  <c r="A334" i="6"/>
  <c r="AJ333" i="6"/>
  <c r="AI333" i="6"/>
  <c r="AH333" i="6"/>
  <c r="AG333" i="6"/>
  <c r="AF333" i="6"/>
  <c r="AE333" i="6"/>
  <c r="AD333" i="6"/>
  <c r="AC333" i="6"/>
  <c r="AB333" i="6"/>
  <c r="AA333" i="6"/>
  <c r="Z333" i="6"/>
  <c r="Y333" i="6"/>
  <c r="X333" i="6"/>
  <c r="V333" i="6"/>
  <c r="U333" i="6"/>
  <c r="T333" i="6"/>
  <c r="S333" i="6"/>
  <c r="R333" i="6"/>
  <c r="Q333" i="6"/>
  <c r="O333" i="6"/>
  <c r="N333" i="6"/>
  <c r="M333" i="6"/>
  <c r="L333" i="6"/>
  <c r="G333" i="6"/>
  <c r="D333" i="6"/>
  <c r="C333" i="6"/>
  <c r="B333" i="6"/>
  <c r="A333" i="6"/>
  <c r="AJ332" i="6"/>
  <c r="AI332" i="6"/>
  <c r="AH332" i="6"/>
  <c r="AG332" i="6"/>
  <c r="AF332" i="6"/>
  <c r="AE332" i="6"/>
  <c r="AD332" i="6"/>
  <c r="AC332" i="6"/>
  <c r="AB332" i="6"/>
  <c r="AA332" i="6"/>
  <c r="Z332" i="6"/>
  <c r="Y332" i="6"/>
  <c r="X332" i="6"/>
  <c r="V332" i="6"/>
  <c r="U332" i="6"/>
  <c r="T332" i="6"/>
  <c r="S332" i="6"/>
  <c r="R332" i="6"/>
  <c r="Q332" i="6"/>
  <c r="P332" i="6"/>
  <c r="O332" i="6"/>
  <c r="N332" i="6"/>
  <c r="M332" i="6"/>
  <c r="L332" i="6"/>
  <c r="G332" i="6"/>
  <c r="D332" i="6"/>
  <c r="C332" i="6"/>
  <c r="B332" i="6"/>
  <c r="A332" i="6"/>
  <c r="AJ331" i="6"/>
  <c r="AI331" i="6"/>
  <c r="AH331" i="6"/>
  <c r="AG331" i="6"/>
  <c r="AF331" i="6"/>
  <c r="AE331" i="6"/>
  <c r="AD331" i="6"/>
  <c r="AC331" i="6"/>
  <c r="AB331" i="6"/>
  <c r="AA331" i="6"/>
  <c r="Z331" i="6"/>
  <c r="Y331" i="6"/>
  <c r="X331" i="6"/>
  <c r="V331" i="6"/>
  <c r="U331" i="6"/>
  <c r="T331" i="6"/>
  <c r="S331" i="6"/>
  <c r="R331" i="6"/>
  <c r="Q331" i="6"/>
  <c r="P331" i="6"/>
  <c r="O331" i="6"/>
  <c r="N331" i="6"/>
  <c r="M331" i="6"/>
  <c r="L331" i="6"/>
  <c r="G331" i="6"/>
  <c r="D331" i="6"/>
  <c r="C331" i="6"/>
  <c r="B331" i="6"/>
  <c r="A331" i="6"/>
  <c r="AJ330" i="6"/>
  <c r="AI330" i="6"/>
  <c r="AH330" i="6"/>
  <c r="AG330" i="6"/>
  <c r="AF330" i="6"/>
  <c r="AE330" i="6"/>
  <c r="AD330" i="6"/>
  <c r="AC330" i="6"/>
  <c r="AB330" i="6"/>
  <c r="AA330" i="6"/>
  <c r="Z330" i="6"/>
  <c r="Y330" i="6"/>
  <c r="X330" i="6"/>
  <c r="V330" i="6"/>
  <c r="U330" i="6"/>
  <c r="T330" i="6"/>
  <c r="S330" i="6"/>
  <c r="R330" i="6"/>
  <c r="Q330" i="6"/>
  <c r="P330" i="6"/>
  <c r="O330" i="6"/>
  <c r="N330" i="6"/>
  <c r="M330" i="6"/>
  <c r="L330" i="6"/>
  <c r="G330" i="6"/>
  <c r="D330" i="6"/>
  <c r="C330" i="6"/>
  <c r="B330" i="6"/>
  <c r="A330" i="6"/>
  <c r="AJ329" i="6"/>
  <c r="AI329" i="6"/>
  <c r="AH329" i="6"/>
  <c r="AG329" i="6"/>
  <c r="AF329" i="6"/>
  <c r="AE329" i="6"/>
  <c r="AD329" i="6"/>
  <c r="AC329" i="6"/>
  <c r="AB329" i="6"/>
  <c r="AA329" i="6"/>
  <c r="Z329" i="6"/>
  <c r="Y329" i="6"/>
  <c r="X329" i="6"/>
  <c r="V329" i="6"/>
  <c r="U329" i="6"/>
  <c r="T329" i="6"/>
  <c r="S329" i="6"/>
  <c r="R329" i="6"/>
  <c r="Q329" i="6"/>
  <c r="O329" i="6"/>
  <c r="N329" i="6"/>
  <c r="M329" i="6"/>
  <c r="L329" i="6"/>
  <c r="G329" i="6"/>
  <c r="D329" i="6"/>
  <c r="C329" i="6"/>
  <c r="B329" i="6"/>
  <c r="A329" i="6"/>
  <c r="AJ328" i="6"/>
  <c r="AI328" i="6"/>
  <c r="AH328" i="6"/>
  <c r="AG328" i="6"/>
  <c r="AF328" i="6"/>
  <c r="AE328" i="6"/>
  <c r="AD328" i="6"/>
  <c r="AC328" i="6"/>
  <c r="AB328" i="6"/>
  <c r="AA328" i="6"/>
  <c r="Z328" i="6"/>
  <c r="Y328" i="6"/>
  <c r="X328" i="6"/>
  <c r="V328" i="6"/>
  <c r="U328" i="6"/>
  <c r="T328" i="6"/>
  <c r="S328" i="6"/>
  <c r="R328" i="6"/>
  <c r="Q328" i="6"/>
  <c r="O328" i="6"/>
  <c r="N328" i="6"/>
  <c r="M328" i="6"/>
  <c r="L328" i="6"/>
  <c r="G328" i="6"/>
  <c r="D328" i="6"/>
  <c r="C328" i="6"/>
  <c r="B328" i="6"/>
  <c r="A328" i="6"/>
  <c r="AJ327" i="6"/>
  <c r="AI327" i="6"/>
  <c r="AH327" i="6"/>
  <c r="AG327" i="6"/>
  <c r="AF327" i="6"/>
  <c r="AE327" i="6"/>
  <c r="AD327" i="6"/>
  <c r="AC327" i="6"/>
  <c r="AB327" i="6"/>
  <c r="AA327" i="6"/>
  <c r="Z327" i="6"/>
  <c r="Y327" i="6"/>
  <c r="X327" i="6"/>
  <c r="V327" i="6"/>
  <c r="U327" i="6"/>
  <c r="T327" i="6"/>
  <c r="S327" i="6"/>
  <c r="R327" i="6"/>
  <c r="Q327" i="6"/>
  <c r="P327" i="6"/>
  <c r="O327" i="6"/>
  <c r="N327" i="6"/>
  <c r="M327" i="6"/>
  <c r="L327" i="6"/>
  <c r="G327" i="6"/>
  <c r="D327" i="6"/>
  <c r="C327" i="6"/>
  <c r="B327" i="6"/>
  <c r="A327" i="6"/>
  <c r="AJ326" i="6"/>
  <c r="AI326" i="6"/>
  <c r="AH326" i="6"/>
  <c r="AG326" i="6"/>
  <c r="AF326" i="6"/>
  <c r="AE326" i="6"/>
  <c r="AD326" i="6"/>
  <c r="AC326" i="6"/>
  <c r="AB326" i="6"/>
  <c r="AA326" i="6"/>
  <c r="Z326" i="6"/>
  <c r="Y326" i="6"/>
  <c r="X326" i="6"/>
  <c r="V326" i="6"/>
  <c r="U326" i="6"/>
  <c r="T326" i="6"/>
  <c r="S326" i="6"/>
  <c r="R326" i="6"/>
  <c r="Q326" i="6"/>
  <c r="O326" i="6"/>
  <c r="N326" i="6"/>
  <c r="M326" i="6"/>
  <c r="L326" i="6"/>
  <c r="G326" i="6"/>
  <c r="D326" i="6"/>
  <c r="C326" i="6"/>
  <c r="B326" i="6"/>
  <c r="A326" i="6"/>
  <c r="AJ325" i="6"/>
  <c r="AI325" i="6"/>
  <c r="AH325" i="6"/>
  <c r="AG325" i="6"/>
  <c r="AF325" i="6"/>
  <c r="AE325" i="6"/>
  <c r="AD325" i="6"/>
  <c r="AC325" i="6"/>
  <c r="AB325" i="6"/>
  <c r="AA325" i="6"/>
  <c r="Z325" i="6"/>
  <c r="Y325" i="6"/>
  <c r="X325" i="6"/>
  <c r="V325" i="6"/>
  <c r="U325" i="6"/>
  <c r="T325" i="6"/>
  <c r="S325" i="6"/>
  <c r="R325" i="6"/>
  <c r="Q325" i="6"/>
  <c r="O325" i="6"/>
  <c r="N325" i="6"/>
  <c r="M325" i="6"/>
  <c r="L325" i="6"/>
  <c r="G325" i="6"/>
  <c r="D325" i="6"/>
  <c r="C325" i="6"/>
  <c r="B325" i="6"/>
  <c r="A325" i="6"/>
  <c r="AJ324" i="6"/>
  <c r="AI324" i="6"/>
  <c r="AH324" i="6"/>
  <c r="AG324" i="6"/>
  <c r="AF324" i="6"/>
  <c r="AE324" i="6"/>
  <c r="AD324" i="6"/>
  <c r="AC324" i="6"/>
  <c r="AB324" i="6"/>
  <c r="AA324" i="6"/>
  <c r="Z324" i="6"/>
  <c r="Y324" i="6"/>
  <c r="X324" i="6"/>
  <c r="V324" i="6"/>
  <c r="U324" i="6"/>
  <c r="T324" i="6"/>
  <c r="S324" i="6"/>
  <c r="R324" i="6"/>
  <c r="Q324" i="6"/>
  <c r="P324" i="6"/>
  <c r="O324" i="6"/>
  <c r="N324" i="6"/>
  <c r="M324" i="6"/>
  <c r="L324" i="6"/>
  <c r="G324" i="6"/>
  <c r="D324" i="6"/>
  <c r="C324" i="6"/>
  <c r="B324" i="6"/>
  <c r="A324" i="6"/>
  <c r="AJ323" i="6"/>
  <c r="AI323" i="6"/>
  <c r="AH323" i="6"/>
  <c r="AG323" i="6"/>
  <c r="AF323" i="6"/>
  <c r="AE323" i="6"/>
  <c r="AD323" i="6"/>
  <c r="AC323" i="6"/>
  <c r="AB323" i="6"/>
  <c r="AA323" i="6"/>
  <c r="Z323" i="6"/>
  <c r="Y323" i="6"/>
  <c r="X323" i="6"/>
  <c r="V323" i="6"/>
  <c r="U323" i="6"/>
  <c r="T323" i="6"/>
  <c r="S323" i="6"/>
  <c r="R323" i="6"/>
  <c r="Q323" i="6"/>
  <c r="P323" i="6"/>
  <c r="O323" i="6"/>
  <c r="N323" i="6"/>
  <c r="M323" i="6"/>
  <c r="L323" i="6"/>
  <c r="G323" i="6"/>
  <c r="D323" i="6"/>
  <c r="C323" i="6"/>
  <c r="B323" i="6"/>
  <c r="A323" i="6"/>
  <c r="AJ322" i="6"/>
  <c r="AI322" i="6"/>
  <c r="AH322" i="6"/>
  <c r="AG322" i="6"/>
  <c r="AF322" i="6"/>
  <c r="AE322" i="6"/>
  <c r="AD322" i="6"/>
  <c r="AC322" i="6"/>
  <c r="AB322" i="6"/>
  <c r="AA322" i="6"/>
  <c r="Z322" i="6"/>
  <c r="Y322" i="6"/>
  <c r="X322" i="6"/>
  <c r="V322" i="6"/>
  <c r="U322" i="6"/>
  <c r="T322" i="6"/>
  <c r="S322" i="6"/>
  <c r="R322" i="6"/>
  <c r="Q322" i="6"/>
  <c r="P322" i="6"/>
  <c r="O322" i="6"/>
  <c r="N322" i="6"/>
  <c r="M322" i="6"/>
  <c r="L322" i="6"/>
  <c r="G322" i="6"/>
  <c r="D322" i="6"/>
  <c r="C322" i="6"/>
  <c r="B322" i="6"/>
  <c r="A322" i="6"/>
  <c r="AJ321" i="6"/>
  <c r="AI321" i="6"/>
  <c r="AH321" i="6"/>
  <c r="AG321" i="6"/>
  <c r="AF321" i="6"/>
  <c r="AE321" i="6"/>
  <c r="AD321" i="6"/>
  <c r="AC321" i="6"/>
  <c r="AB321" i="6"/>
  <c r="AA321" i="6"/>
  <c r="Z321" i="6"/>
  <c r="Y321" i="6"/>
  <c r="X321" i="6"/>
  <c r="V321" i="6"/>
  <c r="U321" i="6"/>
  <c r="T321" i="6"/>
  <c r="S321" i="6"/>
  <c r="R321" i="6"/>
  <c r="Q321" i="6"/>
  <c r="O321" i="6"/>
  <c r="N321" i="6"/>
  <c r="M321" i="6"/>
  <c r="L321" i="6"/>
  <c r="G321" i="6"/>
  <c r="D321" i="6"/>
  <c r="C321" i="6"/>
  <c r="B321" i="6"/>
  <c r="A321" i="6"/>
  <c r="AJ320" i="6"/>
  <c r="AI320" i="6"/>
  <c r="AH320" i="6"/>
  <c r="AG320" i="6"/>
  <c r="AF320" i="6"/>
  <c r="AE320" i="6"/>
  <c r="AD320" i="6"/>
  <c r="AC320" i="6"/>
  <c r="AB320" i="6"/>
  <c r="AA320" i="6"/>
  <c r="Z320" i="6"/>
  <c r="Y320" i="6"/>
  <c r="X320" i="6"/>
  <c r="V320" i="6"/>
  <c r="U320" i="6"/>
  <c r="T320" i="6"/>
  <c r="S320" i="6"/>
  <c r="R320" i="6"/>
  <c r="Q320" i="6"/>
  <c r="P320" i="6"/>
  <c r="O320" i="6"/>
  <c r="N320" i="6"/>
  <c r="M320" i="6"/>
  <c r="L320" i="6"/>
  <c r="G320" i="6"/>
  <c r="D320" i="6"/>
  <c r="C320" i="6"/>
  <c r="B320" i="6"/>
  <c r="A320" i="6"/>
  <c r="AJ319" i="6"/>
  <c r="AI319" i="6"/>
  <c r="AH319" i="6"/>
  <c r="AG319" i="6"/>
  <c r="AF319" i="6"/>
  <c r="AE319" i="6"/>
  <c r="AD319" i="6"/>
  <c r="AC319" i="6"/>
  <c r="AB319" i="6"/>
  <c r="AA319" i="6"/>
  <c r="Z319" i="6"/>
  <c r="Y319" i="6"/>
  <c r="X319" i="6"/>
  <c r="V319" i="6"/>
  <c r="U319" i="6"/>
  <c r="T319" i="6"/>
  <c r="S319" i="6"/>
  <c r="R319" i="6"/>
  <c r="Q319" i="6"/>
  <c r="P319" i="6"/>
  <c r="O319" i="6"/>
  <c r="N319" i="6"/>
  <c r="M319" i="6"/>
  <c r="L319" i="6"/>
  <c r="G319" i="6"/>
  <c r="D319" i="6"/>
  <c r="C319" i="6"/>
  <c r="B319" i="6"/>
  <c r="A319" i="6"/>
  <c r="AJ318" i="6"/>
  <c r="AI318" i="6"/>
  <c r="AH318" i="6"/>
  <c r="AG318" i="6"/>
  <c r="AF318" i="6"/>
  <c r="AE318" i="6"/>
  <c r="AD318" i="6"/>
  <c r="AC318" i="6"/>
  <c r="AB318" i="6"/>
  <c r="AA318" i="6"/>
  <c r="Z318" i="6"/>
  <c r="Y318" i="6"/>
  <c r="X318" i="6"/>
  <c r="V318" i="6"/>
  <c r="U318" i="6"/>
  <c r="T318" i="6"/>
  <c r="S318" i="6"/>
  <c r="R318" i="6"/>
  <c r="Q318" i="6"/>
  <c r="O318" i="6"/>
  <c r="N318" i="6"/>
  <c r="M318" i="6"/>
  <c r="L318" i="6"/>
  <c r="G318" i="6"/>
  <c r="D318" i="6"/>
  <c r="C318" i="6"/>
  <c r="B318" i="6"/>
  <c r="A318" i="6"/>
  <c r="AJ317" i="6"/>
  <c r="AI317" i="6"/>
  <c r="AH317" i="6"/>
  <c r="AG317" i="6"/>
  <c r="AF317" i="6"/>
  <c r="AE317" i="6"/>
  <c r="AD317" i="6"/>
  <c r="AC317" i="6"/>
  <c r="AB317" i="6"/>
  <c r="AA317" i="6"/>
  <c r="Z317" i="6"/>
  <c r="Y317" i="6"/>
  <c r="X317" i="6"/>
  <c r="V317" i="6"/>
  <c r="U317" i="6"/>
  <c r="T317" i="6"/>
  <c r="S317" i="6"/>
  <c r="R317" i="6"/>
  <c r="Q317" i="6"/>
  <c r="P317" i="6"/>
  <c r="O317" i="6"/>
  <c r="N317" i="6"/>
  <c r="M317" i="6"/>
  <c r="L317" i="6"/>
  <c r="G317" i="6"/>
  <c r="D317" i="6"/>
  <c r="C317" i="6"/>
  <c r="B317" i="6"/>
  <c r="A317" i="6"/>
  <c r="AJ316" i="6"/>
  <c r="AI316" i="6"/>
  <c r="AH316" i="6"/>
  <c r="AG316" i="6"/>
  <c r="AF316" i="6"/>
  <c r="AE316" i="6"/>
  <c r="AD316" i="6"/>
  <c r="AC316" i="6"/>
  <c r="AB316" i="6"/>
  <c r="AA316" i="6"/>
  <c r="Z316" i="6"/>
  <c r="Y316" i="6"/>
  <c r="X316" i="6"/>
  <c r="V316" i="6"/>
  <c r="U316" i="6"/>
  <c r="T316" i="6"/>
  <c r="S316" i="6"/>
  <c r="R316" i="6"/>
  <c r="Q316" i="6"/>
  <c r="P316" i="6"/>
  <c r="O316" i="6"/>
  <c r="N316" i="6"/>
  <c r="M316" i="6"/>
  <c r="L316" i="6"/>
  <c r="G316" i="6"/>
  <c r="D316" i="6"/>
  <c r="C316" i="6"/>
  <c r="B316" i="6"/>
  <c r="A316" i="6"/>
  <c r="AJ315" i="6"/>
  <c r="AI315" i="6"/>
  <c r="AH315" i="6"/>
  <c r="AG315" i="6"/>
  <c r="AF315" i="6"/>
  <c r="AE315" i="6"/>
  <c r="AD315" i="6"/>
  <c r="AC315" i="6"/>
  <c r="AB315" i="6"/>
  <c r="AA315" i="6"/>
  <c r="Z315" i="6"/>
  <c r="Y315" i="6"/>
  <c r="X315" i="6"/>
  <c r="V315" i="6"/>
  <c r="U315" i="6"/>
  <c r="T315" i="6"/>
  <c r="S315" i="6"/>
  <c r="R315" i="6"/>
  <c r="Q315" i="6"/>
  <c r="O315" i="6"/>
  <c r="N315" i="6"/>
  <c r="M315" i="6"/>
  <c r="L315" i="6"/>
  <c r="G315" i="6"/>
  <c r="D315" i="6"/>
  <c r="C315" i="6"/>
  <c r="B315" i="6"/>
  <c r="A315" i="6"/>
  <c r="AJ314" i="6"/>
  <c r="AI314" i="6"/>
  <c r="AH314" i="6"/>
  <c r="AG314" i="6"/>
  <c r="AF314" i="6"/>
  <c r="AE314" i="6"/>
  <c r="AD314" i="6"/>
  <c r="AC314" i="6"/>
  <c r="AB314" i="6"/>
  <c r="AA314" i="6"/>
  <c r="Z314" i="6"/>
  <c r="Y314" i="6"/>
  <c r="X314" i="6"/>
  <c r="V314" i="6"/>
  <c r="U314" i="6"/>
  <c r="T314" i="6"/>
  <c r="S314" i="6"/>
  <c r="R314" i="6"/>
  <c r="Q314" i="6"/>
  <c r="P314" i="6"/>
  <c r="O314" i="6"/>
  <c r="N314" i="6"/>
  <c r="M314" i="6"/>
  <c r="L314" i="6"/>
  <c r="G314" i="6"/>
  <c r="D314" i="6"/>
  <c r="C314" i="6"/>
  <c r="B314" i="6"/>
  <c r="A314" i="6"/>
  <c r="AJ313" i="6"/>
  <c r="AI313" i="6"/>
  <c r="AH313" i="6"/>
  <c r="AG313" i="6"/>
  <c r="AF313" i="6"/>
  <c r="AE313" i="6"/>
  <c r="AD313" i="6"/>
  <c r="AC313" i="6"/>
  <c r="AB313" i="6"/>
  <c r="AA313" i="6"/>
  <c r="Z313" i="6"/>
  <c r="Y313" i="6"/>
  <c r="X313" i="6"/>
  <c r="V313" i="6"/>
  <c r="U313" i="6"/>
  <c r="T313" i="6"/>
  <c r="S313" i="6"/>
  <c r="R313" i="6"/>
  <c r="Q313" i="6"/>
  <c r="P313" i="6"/>
  <c r="O313" i="6"/>
  <c r="N313" i="6"/>
  <c r="M313" i="6"/>
  <c r="L313" i="6"/>
  <c r="G313" i="6"/>
  <c r="D313" i="6"/>
  <c r="C313" i="6"/>
  <c r="B313" i="6"/>
  <c r="A313" i="6"/>
  <c r="AJ312" i="6"/>
  <c r="AI312" i="6"/>
  <c r="AH312" i="6"/>
  <c r="AG312" i="6"/>
  <c r="AF312" i="6"/>
  <c r="AE312" i="6"/>
  <c r="AD312" i="6"/>
  <c r="AC312" i="6"/>
  <c r="AB312" i="6"/>
  <c r="AA312" i="6"/>
  <c r="Z312" i="6"/>
  <c r="Y312" i="6"/>
  <c r="X312" i="6"/>
  <c r="V312" i="6"/>
  <c r="U312" i="6"/>
  <c r="T312" i="6"/>
  <c r="S312" i="6"/>
  <c r="R312" i="6"/>
  <c r="Q312" i="6"/>
  <c r="P312" i="6"/>
  <c r="O312" i="6"/>
  <c r="N312" i="6"/>
  <c r="M312" i="6"/>
  <c r="L312" i="6"/>
  <c r="G312" i="6"/>
  <c r="D312" i="6"/>
  <c r="C312" i="6"/>
  <c r="B312" i="6"/>
  <c r="A312" i="6"/>
  <c r="AJ311" i="6"/>
  <c r="AI311" i="6"/>
  <c r="AH311" i="6"/>
  <c r="AG311" i="6"/>
  <c r="AF311" i="6"/>
  <c r="AE311" i="6"/>
  <c r="AD311" i="6"/>
  <c r="AC311" i="6"/>
  <c r="AB311" i="6"/>
  <c r="AA311" i="6"/>
  <c r="Z311" i="6"/>
  <c r="Y311" i="6"/>
  <c r="X311" i="6"/>
  <c r="V311" i="6"/>
  <c r="U311" i="6"/>
  <c r="T311" i="6"/>
  <c r="S311" i="6"/>
  <c r="R311" i="6"/>
  <c r="Q311" i="6"/>
  <c r="P311" i="6"/>
  <c r="O311" i="6"/>
  <c r="N311" i="6"/>
  <c r="M311" i="6"/>
  <c r="L311" i="6"/>
  <c r="G311" i="6"/>
  <c r="D311" i="6"/>
  <c r="C311" i="6"/>
  <c r="B311" i="6"/>
  <c r="A311" i="6"/>
  <c r="AJ310" i="6"/>
  <c r="AI310" i="6"/>
  <c r="AH310" i="6"/>
  <c r="AG310" i="6"/>
  <c r="AF310" i="6"/>
  <c r="AE310" i="6"/>
  <c r="AD310" i="6"/>
  <c r="AC310" i="6"/>
  <c r="AB310" i="6"/>
  <c r="AA310" i="6"/>
  <c r="Z310" i="6"/>
  <c r="Y310" i="6"/>
  <c r="X310" i="6"/>
  <c r="V310" i="6"/>
  <c r="U310" i="6"/>
  <c r="T310" i="6"/>
  <c r="S310" i="6"/>
  <c r="R310" i="6"/>
  <c r="Q310" i="6"/>
  <c r="O310" i="6"/>
  <c r="N310" i="6"/>
  <c r="M310" i="6"/>
  <c r="L310" i="6"/>
  <c r="G310" i="6"/>
  <c r="D310" i="6"/>
  <c r="C310" i="6"/>
  <c r="B310" i="6"/>
  <c r="A310" i="6"/>
  <c r="AJ309" i="6"/>
  <c r="AI309" i="6"/>
  <c r="AH309" i="6"/>
  <c r="AG309" i="6"/>
  <c r="AF309" i="6"/>
  <c r="AE309" i="6"/>
  <c r="AD309" i="6"/>
  <c r="AC309" i="6"/>
  <c r="AB309" i="6"/>
  <c r="AA309" i="6"/>
  <c r="Z309" i="6"/>
  <c r="Y309" i="6"/>
  <c r="X309" i="6"/>
  <c r="V309" i="6"/>
  <c r="U309" i="6"/>
  <c r="T309" i="6"/>
  <c r="S309" i="6"/>
  <c r="R309" i="6"/>
  <c r="Q309" i="6"/>
  <c r="O309" i="6"/>
  <c r="N309" i="6"/>
  <c r="M309" i="6"/>
  <c r="L309" i="6"/>
  <c r="G309" i="6"/>
  <c r="D309" i="6"/>
  <c r="C309" i="6"/>
  <c r="B309" i="6"/>
  <c r="A309" i="6"/>
  <c r="AJ308" i="6"/>
  <c r="AI308" i="6"/>
  <c r="AH308" i="6"/>
  <c r="AG308" i="6"/>
  <c r="AF308" i="6"/>
  <c r="AE308" i="6"/>
  <c r="AD308" i="6"/>
  <c r="AC308" i="6"/>
  <c r="AB308" i="6"/>
  <c r="AA308" i="6"/>
  <c r="Z308" i="6"/>
  <c r="Y308" i="6"/>
  <c r="X308" i="6"/>
  <c r="V308" i="6"/>
  <c r="U308" i="6"/>
  <c r="T308" i="6"/>
  <c r="S308" i="6"/>
  <c r="R308" i="6"/>
  <c r="Q308" i="6"/>
  <c r="P308" i="6"/>
  <c r="O308" i="6"/>
  <c r="N308" i="6"/>
  <c r="M308" i="6"/>
  <c r="L308" i="6"/>
  <c r="G308" i="6"/>
  <c r="D308" i="6"/>
  <c r="C308" i="6"/>
  <c r="B308" i="6"/>
  <c r="A308" i="6"/>
  <c r="AJ307" i="6"/>
  <c r="AI307" i="6"/>
  <c r="AH307" i="6"/>
  <c r="AG307" i="6"/>
  <c r="AF307" i="6"/>
  <c r="AE307" i="6"/>
  <c r="AD307" i="6"/>
  <c r="AC307" i="6"/>
  <c r="AB307" i="6"/>
  <c r="AA307" i="6"/>
  <c r="Z307" i="6"/>
  <c r="Y307" i="6"/>
  <c r="X307" i="6"/>
  <c r="V307" i="6"/>
  <c r="U307" i="6"/>
  <c r="T307" i="6"/>
  <c r="S307" i="6"/>
  <c r="R307" i="6"/>
  <c r="Q307" i="6"/>
  <c r="O307" i="6"/>
  <c r="N307" i="6"/>
  <c r="M307" i="6"/>
  <c r="L307" i="6"/>
  <c r="G307" i="6"/>
  <c r="D307" i="6"/>
  <c r="C307" i="6"/>
  <c r="B307" i="6"/>
  <c r="A307" i="6"/>
  <c r="AJ306" i="6"/>
  <c r="AI306" i="6"/>
  <c r="AH306" i="6"/>
  <c r="AG306" i="6"/>
  <c r="AF306" i="6"/>
  <c r="AE306" i="6"/>
  <c r="AD306" i="6"/>
  <c r="AC306" i="6"/>
  <c r="AB306" i="6"/>
  <c r="AA306" i="6"/>
  <c r="Z306" i="6"/>
  <c r="Y306" i="6"/>
  <c r="X306" i="6"/>
  <c r="V306" i="6"/>
  <c r="U306" i="6"/>
  <c r="T306" i="6"/>
  <c r="S306" i="6"/>
  <c r="R306" i="6"/>
  <c r="Q306" i="6"/>
  <c r="P306" i="6"/>
  <c r="O306" i="6"/>
  <c r="N306" i="6"/>
  <c r="M306" i="6"/>
  <c r="L306" i="6"/>
  <c r="G306" i="6"/>
  <c r="D306" i="6"/>
  <c r="C306" i="6"/>
  <c r="B306" i="6"/>
  <c r="A306" i="6"/>
  <c r="AJ305" i="6"/>
  <c r="AI305" i="6"/>
  <c r="AH305" i="6"/>
  <c r="AG305" i="6"/>
  <c r="AF305" i="6"/>
  <c r="AE305" i="6"/>
  <c r="AD305" i="6"/>
  <c r="AC305" i="6"/>
  <c r="AB305" i="6"/>
  <c r="AA305" i="6"/>
  <c r="Z305" i="6"/>
  <c r="Y305" i="6"/>
  <c r="X305" i="6"/>
  <c r="V305" i="6"/>
  <c r="U305" i="6"/>
  <c r="T305" i="6"/>
  <c r="S305" i="6"/>
  <c r="R305" i="6"/>
  <c r="Q305" i="6"/>
  <c r="P305" i="6"/>
  <c r="O305" i="6"/>
  <c r="N305" i="6"/>
  <c r="M305" i="6"/>
  <c r="L305" i="6"/>
  <c r="G305" i="6"/>
  <c r="D305" i="6"/>
  <c r="C305" i="6"/>
  <c r="B305" i="6"/>
  <c r="A305" i="6"/>
  <c r="AJ304" i="6"/>
  <c r="AI304" i="6"/>
  <c r="AH304" i="6"/>
  <c r="AG304" i="6"/>
  <c r="AF304" i="6"/>
  <c r="AE304" i="6"/>
  <c r="AD304" i="6"/>
  <c r="AC304" i="6"/>
  <c r="AB304" i="6"/>
  <c r="AA304" i="6"/>
  <c r="Z304" i="6"/>
  <c r="Y304" i="6"/>
  <c r="X304" i="6"/>
  <c r="V304" i="6"/>
  <c r="U304" i="6"/>
  <c r="T304" i="6"/>
  <c r="S304" i="6"/>
  <c r="R304" i="6"/>
  <c r="Q304" i="6"/>
  <c r="O304" i="6"/>
  <c r="N304" i="6"/>
  <c r="M304" i="6"/>
  <c r="L304" i="6"/>
  <c r="G304" i="6"/>
  <c r="D304" i="6"/>
  <c r="C304" i="6"/>
  <c r="B304" i="6"/>
  <c r="A304" i="6"/>
  <c r="AJ303" i="6"/>
  <c r="AI303" i="6"/>
  <c r="AH303" i="6"/>
  <c r="AG303" i="6"/>
  <c r="AF303" i="6"/>
  <c r="AE303" i="6"/>
  <c r="AD303" i="6"/>
  <c r="AC303" i="6"/>
  <c r="AB303" i="6"/>
  <c r="AA303" i="6"/>
  <c r="Z303" i="6"/>
  <c r="Y303" i="6"/>
  <c r="X303" i="6"/>
  <c r="V303" i="6"/>
  <c r="U303" i="6"/>
  <c r="T303" i="6"/>
  <c r="S303" i="6"/>
  <c r="R303" i="6"/>
  <c r="Q303" i="6"/>
  <c r="O303" i="6"/>
  <c r="N303" i="6"/>
  <c r="M303" i="6"/>
  <c r="L303" i="6"/>
  <c r="G303" i="6"/>
  <c r="D303" i="6"/>
  <c r="C303" i="6"/>
  <c r="B303" i="6"/>
  <c r="A303" i="6"/>
  <c r="AJ302" i="6"/>
  <c r="AI302" i="6"/>
  <c r="AH302" i="6"/>
  <c r="AG302" i="6"/>
  <c r="AF302" i="6"/>
  <c r="AE302" i="6"/>
  <c r="AD302" i="6"/>
  <c r="AC302" i="6"/>
  <c r="AB302" i="6"/>
  <c r="AA302" i="6"/>
  <c r="Z302" i="6"/>
  <c r="Y302" i="6"/>
  <c r="X302" i="6"/>
  <c r="V302" i="6"/>
  <c r="U302" i="6"/>
  <c r="T302" i="6"/>
  <c r="S302" i="6"/>
  <c r="R302" i="6"/>
  <c r="Q302" i="6"/>
  <c r="O302" i="6"/>
  <c r="N302" i="6"/>
  <c r="M302" i="6"/>
  <c r="L302" i="6"/>
  <c r="G302" i="6"/>
  <c r="D302" i="6"/>
  <c r="C302" i="6"/>
  <c r="B302" i="6"/>
  <c r="A302" i="6"/>
  <c r="AJ301" i="6"/>
  <c r="AI301" i="6"/>
  <c r="AH301" i="6"/>
  <c r="AG301" i="6"/>
  <c r="AF301" i="6"/>
  <c r="AE301" i="6"/>
  <c r="AD301" i="6"/>
  <c r="AC301" i="6"/>
  <c r="AB301" i="6"/>
  <c r="AA301" i="6"/>
  <c r="Z301" i="6"/>
  <c r="Y301" i="6"/>
  <c r="X301" i="6"/>
  <c r="V301" i="6"/>
  <c r="U301" i="6"/>
  <c r="T301" i="6"/>
  <c r="S301" i="6"/>
  <c r="R301" i="6"/>
  <c r="Q301" i="6"/>
  <c r="O301" i="6"/>
  <c r="N301" i="6"/>
  <c r="M301" i="6"/>
  <c r="L301" i="6"/>
  <c r="G301" i="6"/>
  <c r="D301" i="6"/>
  <c r="C301" i="6"/>
  <c r="B301" i="6"/>
  <c r="A301" i="6"/>
  <c r="AJ300" i="6"/>
  <c r="AI300" i="6"/>
  <c r="AH300" i="6"/>
  <c r="AG300" i="6"/>
  <c r="AF300" i="6"/>
  <c r="AE300" i="6"/>
  <c r="AD300" i="6"/>
  <c r="AC300" i="6"/>
  <c r="AB300" i="6"/>
  <c r="AA300" i="6"/>
  <c r="Z300" i="6"/>
  <c r="Y300" i="6"/>
  <c r="X300" i="6"/>
  <c r="V300" i="6"/>
  <c r="U300" i="6"/>
  <c r="T300" i="6"/>
  <c r="S300" i="6"/>
  <c r="R300" i="6"/>
  <c r="Q300" i="6"/>
  <c r="P300" i="6"/>
  <c r="O300" i="6"/>
  <c r="N300" i="6"/>
  <c r="M300" i="6"/>
  <c r="L300" i="6"/>
  <c r="G300" i="6"/>
  <c r="D300" i="6"/>
  <c r="C300" i="6"/>
  <c r="B300" i="6"/>
  <c r="A300" i="6"/>
  <c r="AJ299" i="6"/>
  <c r="AI299" i="6"/>
  <c r="AH299" i="6"/>
  <c r="AG299" i="6"/>
  <c r="AF299" i="6"/>
  <c r="AE299" i="6"/>
  <c r="AD299" i="6"/>
  <c r="AC299" i="6"/>
  <c r="AB299" i="6"/>
  <c r="AA299" i="6"/>
  <c r="Z299" i="6"/>
  <c r="Y299" i="6"/>
  <c r="X299" i="6"/>
  <c r="V299" i="6"/>
  <c r="U299" i="6"/>
  <c r="T299" i="6"/>
  <c r="S299" i="6"/>
  <c r="R299" i="6"/>
  <c r="Q299" i="6"/>
  <c r="P299" i="6"/>
  <c r="O299" i="6"/>
  <c r="N299" i="6"/>
  <c r="M299" i="6"/>
  <c r="L299" i="6"/>
  <c r="G299" i="6"/>
  <c r="D299" i="6"/>
  <c r="C299" i="6"/>
  <c r="B299" i="6"/>
  <c r="A299" i="6"/>
  <c r="AJ298" i="6"/>
  <c r="AI298" i="6"/>
  <c r="AH298" i="6"/>
  <c r="AG298" i="6"/>
  <c r="AF298" i="6"/>
  <c r="AE298" i="6"/>
  <c r="AD298" i="6"/>
  <c r="AC298" i="6"/>
  <c r="AB298" i="6"/>
  <c r="AA298" i="6"/>
  <c r="Z298" i="6"/>
  <c r="Y298" i="6"/>
  <c r="X298" i="6"/>
  <c r="V298" i="6"/>
  <c r="U298" i="6"/>
  <c r="T298" i="6"/>
  <c r="S298" i="6"/>
  <c r="R298" i="6"/>
  <c r="Q298" i="6"/>
  <c r="O298" i="6"/>
  <c r="N298" i="6"/>
  <c r="M298" i="6"/>
  <c r="L298" i="6"/>
  <c r="G298" i="6"/>
  <c r="D298" i="6"/>
  <c r="C298" i="6"/>
  <c r="B298" i="6"/>
  <c r="A298" i="6"/>
  <c r="AJ297" i="6"/>
  <c r="AI297" i="6"/>
  <c r="AH297" i="6"/>
  <c r="AG297" i="6"/>
  <c r="AF297" i="6"/>
  <c r="AE297" i="6"/>
  <c r="AD297" i="6"/>
  <c r="AC297" i="6"/>
  <c r="AB297" i="6"/>
  <c r="AA297" i="6"/>
  <c r="Z297" i="6"/>
  <c r="Y297" i="6"/>
  <c r="X297" i="6"/>
  <c r="V297" i="6"/>
  <c r="U297" i="6"/>
  <c r="T297" i="6"/>
  <c r="S297" i="6"/>
  <c r="R297" i="6"/>
  <c r="Q297" i="6"/>
  <c r="O297" i="6"/>
  <c r="N297" i="6"/>
  <c r="M297" i="6"/>
  <c r="L297" i="6"/>
  <c r="G297" i="6"/>
  <c r="D297" i="6"/>
  <c r="C297" i="6"/>
  <c r="B297" i="6"/>
  <c r="A297" i="6"/>
  <c r="AJ296" i="6"/>
  <c r="AI296" i="6"/>
  <c r="AH296" i="6"/>
  <c r="AG296" i="6"/>
  <c r="AF296" i="6"/>
  <c r="AE296" i="6"/>
  <c r="AD296" i="6"/>
  <c r="AC296" i="6"/>
  <c r="AB296" i="6"/>
  <c r="AA296" i="6"/>
  <c r="Z296" i="6"/>
  <c r="Y296" i="6"/>
  <c r="X296" i="6"/>
  <c r="V296" i="6"/>
  <c r="U296" i="6"/>
  <c r="T296" i="6"/>
  <c r="S296" i="6"/>
  <c r="R296" i="6"/>
  <c r="Q296" i="6"/>
  <c r="O296" i="6"/>
  <c r="N296" i="6"/>
  <c r="M296" i="6"/>
  <c r="L296" i="6"/>
  <c r="G296" i="6"/>
  <c r="D296" i="6"/>
  <c r="C296" i="6"/>
  <c r="B296" i="6"/>
  <c r="A296" i="6"/>
  <c r="AJ295" i="6"/>
  <c r="AI295" i="6"/>
  <c r="AH295" i="6"/>
  <c r="AG295" i="6"/>
  <c r="AF295" i="6"/>
  <c r="AE295" i="6"/>
  <c r="AD295" i="6"/>
  <c r="AC295" i="6"/>
  <c r="AB295" i="6"/>
  <c r="AA295" i="6"/>
  <c r="Z295" i="6"/>
  <c r="Y295" i="6"/>
  <c r="X295" i="6"/>
  <c r="V295" i="6"/>
  <c r="U295" i="6"/>
  <c r="T295" i="6"/>
  <c r="S295" i="6"/>
  <c r="R295" i="6"/>
  <c r="Q295" i="6"/>
  <c r="O295" i="6"/>
  <c r="N295" i="6"/>
  <c r="M295" i="6"/>
  <c r="L295" i="6"/>
  <c r="G295" i="6"/>
  <c r="D295" i="6"/>
  <c r="C295" i="6"/>
  <c r="B295" i="6"/>
  <c r="A295" i="6"/>
  <c r="AJ294" i="6"/>
  <c r="AI294" i="6"/>
  <c r="AH294" i="6"/>
  <c r="AG294" i="6"/>
  <c r="AF294" i="6"/>
  <c r="AE294" i="6"/>
  <c r="AD294" i="6"/>
  <c r="AC294" i="6"/>
  <c r="AB294" i="6"/>
  <c r="AA294" i="6"/>
  <c r="Z294" i="6"/>
  <c r="Y294" i="6"/>
  <c r="X294" i="6"/>
  <c r="V294" i="6"/>
  <c r="U294" i="6"/>
  <c r="T294" i="6"/>
  <c r="S294" i="6"/>
  <c r="R294" i="6"/>
  <c r="Q294" i="6"/>
  <c r="O294" i="6"/>
  <c r="N294" i="6"/>
  <c r="M294" i="6"/>
  <c r="L294" i="6"/>
  <c r="G294" i="6"/>
  <c r="D294" i="6"/>
  <c r="C294" i="6"/>
  <c r="B294" i="6"/>
  <c r="A294" i="6"/>
  <c r="AJ293" i="6"/>
  <c r="AI293" i="6"/>
  <c r="AH293" i="6"/>
  <c r="AG293" i="6"/>
  <c r="AF293" i="6"/>
  <c r="AE293" i="6"/>
  <c r="AD293" i="6"/>
  <c r="AC293" i="6"/>
  <c r="AB293" i="6"/>
  <c r="AA293" i="6"/>
  <c r="Z293" i="6"/>
  <c r="Y293" i="6"/>
  <c r="X293" i="6"/>
  <c r="V293" i="6"/>
  <c r="U293" i="6"/>
  <c r="T293" i="6"/>
  <c r="S293" i="6"/>
  <c r="R293" i="6"/>
  <c r="Q293" i="6"/>
  <c r="P293" i="6"/>
  <c r="O293" i="6"/>
  <c r="N293" i="6"/>
  <c r="M293" i="6"/>
  <c r="L293" i="6"/>
  <c r="G293" i="6"/>
  <c r="D293" i="6"/>
  <c r="C293" i="6"/>
  <c r="B293" i="6"/>
  <c r="A293" i="6"/>
  <c r="AJ292" i="6"/>
  <c r="AI292" i="6"/>
  <c r="AH292" i="6"/>
  <c r="AG292" i="6"/>
  <c r="AF292" i="6"/>
  <c r="AE292" i="6"/>
  <c r="AD292" i="6"/>
  <c r="AC292" i="6"/>
  <c r="AB292" i="6"/>
  <c r="AA292" i="6"/>
  <c r="Z292" i="6"/>
  <c r="Y292" i="6"/>
  <c r="X292" i="6"/>
  <c r="V292" i="6"/>
  <c r="U292" i="6"/>
  <c r="T292" i="6"/>
  <c r="S292" i="6"/>
  <c r="R292" i="6"/>
  <c r="Q292" i="6"/>
  <c r="O292" i="6"/>
  <c r="N292" i="6"/>
  <c r="M292" i="6"/>
  <c r="L292" i="6"/>
  <c r="G292" i="6"/>
  <c r="D292" i="6"/>
  <c r="C292" i="6"/>
  <c r="B292" i="6"/>
  <c r="A292" i="6"/>
  <c r="AJ291" i="6"/>
  <c r="AI291" i="6"/>
  <c r="AH291" i="6"/>
  <c r="AG291" i="6"/>
  <c r="AF291" i="6"/>
  <c r="AE291" i="6"/>
  <c r="AD291" i="6"/>
  <c r="AC291" i="6"/>
  <c r="AB291" i="6"/>
  <c r="AA291" i="6"/>
  <c r="Z291" i="6"/>
  <c r="Y291" i="6"/>
  <c r="X291" i="6"/>
  <c r="V291" i="6"/>
  <c r="U291" i="6"/>
  <c r="T291" i="6"/>
  <c r="S291" i="6"/>
  <c r="R291" i="6"/>
  <c r="Q291" i="6"/>
  <c r="O291" i="6"/>
  <c r="N291" i="6"/>
  <c r="M291" i="6"/>
  <c r="L291" i="6"/>
  <c r="G291" i="6"/>
  <c r="D291" i="6"/>
  <c r="C291" i="6"/>
  <c r="B291" i="6"/>
  <c r="A291" i="6"/>
  <c r="AJ290" i="6"/>
  <c r="AI290" i="6"/>
  <c r="AH290" i="6"/>
  <c r="AG290" i="6"/>
  <c r="AF290" i="6"/>
  <c r="AE290" i="6"/>
  <c r="AD290" i="6"/>
  <c r="AC290" i="6"/>
  <c r="AB290" i="6"/>
  <c r="AA290" i="6"/>
  <c r="Z290" i="6"/>
  <c r="Y290" i="6"/>
  <c r="X290" i="6"/>
  <c r="V290" i="6"/>
  <c r="U290" i="6"/>
  <c r="T290" i="6"/>
  <c r="S290" i="6"/>
  <c r="R290" i="6"/>
  <c r="Q290" i="6"/>
  <c r="O290" i="6"/>
  <c r="N290" i="6"/>
  <c r="M290" i="6"/>
  <c r="L290" i="6"/>
  <c r="G290" i="6"/>
  <c r="D290" i="6"/>
  <c r="C290" i="6"/>
  <c r="B290" i="6"/>
  <c r="A290" i="6"/>
  <c r="AJ289" i="6"/>
  <c r="AI289" i="6"/>
  <c r="AH289" i="6"/>
  <c r="AG289" i="6"/>
  <c r="AF289" i="6"/>
  <c r="AE289" i="6"/>
  <c r="AD289" i="6"/>
  <c r="AC289" i="6"/>
  <c r="AB289" i="6"/>
  <c r="AA289" i="6"/>
  <c r="Z289" i="6"/>
  <c r="Y289" i="6"/>
  <c r="X289" i="6"/>
  <c r="V289" i="6"/>
  <c r="U289" i="6"/>
  <c r="T289" i="6"/>
  <c r="S289" i="6"/>
  <c r="R289" i="6"/>
  <c r="Q289" i="6"/>
  <c r="P289" i="6"/>
  <c r="O289" i="6"/>
  <c r="N289" i="6"/>
  <c r="M289" i="6"/>
  <c r="L289" i="6"/>
  <c r="G289" i="6"/>
  <c r="D289" i="6"/>
  <c r="C289" i="6"/>
  <c r="B289" i="6"/>
  <c r="A289" i="6"/>
  <c r="AJ288" i="6"/>
  <c r="AI288" i="6"/>
  <c r="AH288" i="6"/>
  <c r="AG288" i="6"/>
  <c r="AF288" i="6"/>
  <c r="AE288" i="6"/>
  <c r="AD288" i="6"/>
  <c r="AC288" i="6"/>
  <c r="AB288" i="6"/>
  <c r="AA288" i="6"/>
  <c r="Z288" i="6"/>
  <c r="Y288" i="6"/>
  <c r="X288" i="6"/>
  <c r="V288" i="6"/>
  <c r="U288" i="6"/>
  <c r="T288" i="6"/>
  <c r="S288" i="6"/>
  <c r="R288" i="6"/>
  <c r="Q288" i="6"/>
  <c r="P288" i="6"/>
  <c r="O288" i="6"/>
  <c r="N288" i="6"/>
  <c r="M288" i="6"/>
  <c r="L288" i="6"/>
  <c r="G288" i="6"/>
  <c r="D288" i="6"/>
  <c r="C288" i="6"/>
  <c r="B288" i="6"/>
  <c r="A288" i="6"/>
  <c r="AJ287" i="6"/>
  <c r="AI287" i="6"/>
  <c r="AH287" i="6"/>
  <c r="AG287" i="6"/>
  <c r="AF287" i="6"/>
  <c r="AE287" i="6"/>
  <c r="AD287" i="6"/>
  <c r="AC287" i="6"/>
  <c r="AB287" i="6"/>
  <c r="AA287" i="6"/>
  <c r="Z287" i="6"/>
  <c r="Y287" i="6"/>
  <c r="X287" i="6"/>
  <c r="V287" i="6"/>
  <c r="U287" i="6"/>
  <c r="T287" i="6"/>
  <c r="S287" i="6"/>
  <c r="R287" i="6"/>
  <c r="Q287" i="6"/>
  <c r="P287" i="6"/>
  <c r="O287" i="6"/>
  <c r="N287" i="6"/>
  <c r="M287" i="6"/>
  <c r="L287" i="6"/>
  <c r="G287" i="6"/>
  <c r="D287" i="6"/>
  <c r="C287" i="6"/>
  <c r="B287" i="6"/>
  <c r="A287" i="6"/>
  <c r="AJ286" i="6"/>
  <c r="AI286" i="6"/>
  <c r="AH286" i="6"/>
  <c r="AG286" i="6"/>
  <c r="AF286" i="6"/>
  <c r="AE286" i="6"/>
  <c r="AD286" i="6"/>
  <c r="AC286" i="6"/>
  <c r="AB286" i="6"/>
  <c r="AA286" i="6"/>
  <c r="Z286" i="6"/>
  <c r="Y286" i="6"/>
  <c r="X286" i="6"/>
  <c r="V286" i="6"/>
  <c r="U286" i="6"/>
  <c r="T286" i="6"/>
  <c r="S286" i="6"/>
  <c r="R286" i="6"/>
  <c r="Q286" i="6"/>
  <c r="P286" i="6"/>
  <c r="O286" i="6"/>
  <c r="N286" i="6"/>
  <c r="M286" i="6"/>
  <c r="L286" i="6"/>
  <c r="G286" i="6"/>
  <c r="D286" i="6"/>
  <c r="C286" i="6"/>
  <c r="B286" i="6"/>
  <c r="A286" i="6"/>
  <c r="AJ285" i="6"/>
  <c r="AI285" i="6"/>
  <c r="AH285" i="6"/>
  <c r="AG285" i="6"/>
  <c r="AF285" i="6"/>
  <c r="AE285" i="6"/>
  <c r="AD285" i="6"/>
  <c r="AC285" i="6"/>
  <c r="AB285" i="6"/>
  <c r="AA285" i="6"/>
  <c r="Z285" i="6"/>
  <c r="Y285" i="6"/>
  <c r="X285" i="6"/>
  <c r="V285" i="6"/>
  <c r="U285" i="6"/>
  <c r="T285" i="6"/>
  <c r="S285" i="6"/>
  <c r="R285" i="6"/>
  <c r="Q285" i="6"/>
  <c r="P285" i="6"/>
  <c r="O285" i="6"/>
  <c r="N285" i="6"/>
  <c r="M285" i="6"/>
  <c r="L285" i="6"/>
  <c r="G285" i="6"/>
  <c r="D285" i="6"/>
  <c r="C285" i="6"/>
  <c r="B285" i="6"/>
  <c r="A285" i="6"/>
  <c r="AJ284" i="6"/>
  <c r="AI284" i="6"/>
  <c r="AH284" i="6"/>
  <c r="AG284" i="6"/>
  <c r="AF284" i="6"/>
  <c r="AE284" i="6"/>
  <c r="AD284" i="6"/>
  <c r="AC284" i="6"/>
  <c r="AB284" i="6"/>
  <c r="AA284" i="6"/>
  <c r="Z284" i="6"/>
  <c r="Y284" i="6"/>
  <c r="X284" i="6"/>
  <c r="V284" i="6"/>
  <c r="U284" i="6"/>
  <c r="T284" i="6"/>
  <c r="S284" i="6"/>
  <c r="R284" i="6"/>
  <c r="Q284" i="6"/>
  <c r="O284" i="6"/>
  <c r="N284" i="6"/>
  <c r="M284" i="6"/>
  <c r="L284" i="6"/>
  <c r="G284" i="6"/>
  <c r="D284" i="6"/>
  <c r="C284" i="6"/>
  <c r="B284" i="6"/>
  <c r="A284" i="6"/>
  <c r="AJ283" i="6"/>
  <c r="AI283" i="6"/>
  <c r="AH283" i="6"/>
  <c r="AG283" i="6"/>
  <c r="AF283" i="6"/>
  <c r="AE283" i="6"/>
  <c r="AD283" i="6"/>
  <c r="AC283" i="6"/>
  <c r="AB283" i="6"/>
  <c r="AA283" i="6"/>
  <c r="Z283" i="6"/>
  <c r="Y283" i="6"/>
  <c r="X283" i="6"/>
  <c r="V283" i="6"/>
  <c r="U283" i="6"/>
  <c r="T283" i="6"/>
  <c r="S283" i="6"/>
  <c r="R283" i="6"/>
  <c r="Q283" i="6"/>
  <c r="O283" i="6"/>
  <c r="N283" i="6"/>
  <c r="M283" i="6"/>
  <c r="L283" i="6"/>
  <c r="G283" i="6"/>
  <c r="D283" i="6"/>
  <c r="C283" i="6"/>
  <c r="B283" i="6"/>
  <c r="A283" i="6"/>
  <c r="AJ282" i="6"/>
  <c r="AI282" i="6"/>
  <c r="AH282" i="6"/>
  <c r="AG282" i="6"/>
  <c r="AF282" i="6"/>
  <c r="AE282" i="6"/>
  <c r="AD282" i="6"/>
  <c r="AC282" i="6"/>
  <c r="AB282" i="6"/>
  <c r="AA282" i="6"/>
  <c r="Z282" i="6"/>
  <c r="Y282" i="6"/>
  <c r="X282" i="6"/>
  <c r="V282" i="6"/>
  <c r="U282" i="6"/>
  <c r="T282" i="6"/>
  <c r="S282" i="6"/>
  <c r="R282" i="6"/>
  <c r="Q282" i="6"/>
  <c r="O282" i="6"/>
  <c r="N282" i="6"/>
  <c r="M282" i="6"/>
  <c r="L282" i="6"/>
  <c r="G282" i="6"/>
  <c r="D282" i="6"/>
  <c r="C282" i="6"/>
  <c r="B282" i="6"/>
  <c r="A282" i="6"/>
  <c r="AJ281" i="6"/>
  <c r="AI281" i="6"/>
  <c r="AH281" i="6"/>
  <c r="AG281" i="6"/>
  <c r="AF281" i="6"/>
  <c r="AE281" i="6"/>
  <c r="AD281" i="6"/>
  <c r="AC281" i="6"/>
  <c r="AB281" i="6"/>
  <c r="AA281" i="6"/>
  <c r="Z281" i="6"/>
  <c r="Y281" i="6"/>
  <c r="X281" i="6"/>
  <c r="V281" i="6"/>
  <c r="U281" i="6"/>
  <c r="T281" i="6"/>
  <c r="S281" i="6"/>
  <c r="R281" i="6"/>
  <c r="Q281" i="6"/>
  <c r="P281" i="6"/>
  <c r="O281" i="6"/>
  <c r="N281" i="6"/>
  <c r="M281" i="6"/>
  <c r="L281" i="6"/>
  <c r="G281" i="6"/>
  <c r="D281" i="6"/>
  <c r="C281" i="6"/>
  <c r="B281" i="6"/>
  <c r="A281" i="6"/>
  <c r="AJ280" i="6"/>
  <c r="AI280" i="6"/>
  <c r="AH280" i="6"/>
  <c r="AG280" i="6"/>
  <c r="AF280" i="6"/>
  <c r="AE280" i="6"/>
  <c r="AD280" i="6"/>
  <c r="AC280" i="6"/>
  <c r="AB280" i="6"/>
  <c r="AA280" i="6"/>
  <c r="Z280" i="6"/>
  <c r="Y280" i="6"/>
  <c r="X280" i="6"/>
  <c r="V280" i="6"/>
  <c r="U280" i="6"/>
  <c r="T280" i="6"/>
  <c r="S280" i="6"/>
  <c r="R280" i="6"/>
  <c r="Q280" i="6"/>
  <c r="O280" i="6"/>
  <c r="N280" i="6"/>
  <c r="M280" i="6"/>
  <c r="L280" i="6"/>
  <c r="G280" i="6"/>
  <c r="D280" i="6"/>
  <c r="C280" i="6"/>
  <c r="B280" i="6"/>
  <c r="A280" i="6"/>
  <c r="AJ279" i="6"/>
  <c r="AI279" i="6"/>
  <c r="AH279" i="6"/>
  <c r="AG279" i="6"/>
  <c r="AF279" i="6"/>
  <c r="AE279" i="6"/>
  <c r="AD279" i="6"/>
  <c r="AC279" i="6"/>
  <c r="AB279" i="6"/>
  <c r="AA279" i="6"/>
  <c r="Z279" i="6"/>
  <c r="Y279" i="6"/>
  <c r="X279" i="6"/>
  <c r="V279" i="6"/>
  <c r="U279" i="6"/>
  <c r="T279" i="6"/>
  <c r="S279" i="6"/>
  <c r="R279" i="6"/>
  <c r="Q279" i="6"/>
  <c r="O279" i="6"/>
  <c r="N279" i="6"/>
  <c r="M279" i="6"/>
  <c r="L279" i="6"/>
  <c r="G279" i="6"/>
  <c r="D279" i="6"/>
  <c r="C279" i="6"/>
  <c r="B279" i="6"/>
  <c r="A279" i="6"/>
  <c r="AJ278" i="6"/>
  <c r="AI278" i="6"/>
  <c r="AH278" i="6"/>
  <c r="AG278" i="6"/>
  <c r="AF278" i="6"/>
  <c r="AE278" i="6"/>
  <c r="AD278" i="6"/>
  <c r="AC278" i="6"/>
  <c r="AB278" i="6"/>
  <c r="AA278" i="6"/>
  <c r="Z278" i="6"/>
  <c r="Y278" i="6"/>
  <c r="X278" i="6"/>
  <c r="V278" i="6"/>
  <c r="U278" i="6"/>
  <c r="T278" i="6"/>
  <c r="S278" i="6"/>
  <c r="R278" i="6"/>
  <c r="Q278" i="6"/>
  <c r="P278" i="6"/>
  <c r="O278" i="6"/>
  <c r="N278" i="6"/>
  <c r="M278" i="6"/>
  <c r="L278" i="6"/>
  <c r="G278" i="6"/>
  <c r="D278" i="6"/>
  <c r="C278" i="6"/>
  <c r="B278" i="6"/>
  <c r="A278" i="6"/>
  <c r="AJ277" i="6"/>
  <c r="AI277" i="6"/>
  <c r="AH277" i="6"/>
  <c r="AG277" i="6"/>
  <c r="AF277" i="6"/>
  <c r="AE277" i="6"/>
  <c r="AD277" i="6"/>
  <c r="AC277" i="6"/>
  <c r="AB277" i="6"/>
  <c r="AA277" i="6"/>
  <c r="Z277" i="6"/>
  <c r="Y277" i="6"/>
  <c r="X277" i="6"/>
  <c r="V277" i="6"/>
  <c r="U277" i="6"/>
  <c r="T277" i="6"/>
  <c r="S277" i="6"/>
  <c r="R277" i="6"/>
  <c r="Q277" i="6"/>
  <c r="O277" i="6"/>
  <c r="N277" i="6"/>
  <c r="M277" i="6"/>
  <c r="L277" i="6"/>
  <c r="G277" i="6"/>
  <c r="D277" i="6"/>
  <c r="C277" i="6"/>
  <c r="B277" i="6"/>
  <c r="A277" i="6"/>
  <c r="AJ276" i="6"/>
  <c r="AI276" i="6"/>
  <c r="AH276" i="6"/>
  <c r="AG276" i="6"/>
  <c r="AF276" i="6"/>
  <c r="AE276" i="6"/>
  <c r="AD276" i="6"/>
  <c r="AC276" i="6"/>
  <c r="AB276" i="6"/>
  <c r="AA276" i="6"/>
  <c r="Z276" i="6"/>
  <c r="Y276" i="6"/>
  <c r="X276" i="6"/>
  <c r="V276" i="6"/>
  <c r="U276" i="6"/>
  <c r="T276" i="6"/>
  <c r="S276" i="6"/>
  <c r="R276" i="6"/>
  <c r="Q276" i="6"/>
  <c r="O276" i="6"/>
  <c r="N276" i="6"/>
  <c r="M276" i="6"/>
  <c r="L276" i="6"/>
  <c r="G276" i="6"/>
  <c r="D276" i="6"/>
  <c r="C276" i="6"/>
  <c r="B276" i="6"/>
  <c r="A276" i="6"/>
  <c r="AJ275" i="6"/>
  <c r="AI275" i="6"/>
  <c r="AH275" i="6"/>
  <c r="AG275" i="6"/>
  <c r="AF275" i="6"/>
  <c r="AE275" i="6"/>
  <c r="AD275" i="6"/>
  <c r="AC275" i="6"/>
  <c r="AB275" i="6"/>
  <c r="AA275" i="6"/>
  <c r="Z275" i="6"/>
  <c r="Y275" i="6"/>
  <c r="X275" i="6"/>
  <c r="V275" i="6"/>
  <c r="U275" i="6"/>
  <c r="T275" i="6"/>
  <c r="S275" i="6"/>
  <c r="R275" i="6"/>
  <c r="Q275" i="6"/>
  <c r="O275" i="6"/>
  <c r="N275" i="6"/>
  <c r="M275" i="6"/>
  <c r="L275" i="6"/>
  <c r="G275" i="6"/>
  <c r="D275" i="6"/>
  <c r="C275" i="6"/>
  <c r="B275" i="6"/>
  <c r="A275" i="6"/>
  <c r="AJ274" i="6"/>
  <c r="AI274" i="6"/>
  <c r="AH274" i="6"/>
  <c r="AG274" i="6"/>
  <c r="AF274" i="6"/>
  <c r="AE274" i="6"/>
  <c r="AD274" i="6"/>
  <c r="AC274" i="6"/>
  <c r="AB274" i="6"/>
  <c r="AA274" i="6"/>
  <c r="Z274" i="6"/>
  <c r="Y274" i="6"/>
  <c r="X274" i="6"/>
  <c r="V274" i="6"/>
  <c r="U274" i="6"/>
  <c r="T274" i="6"/>
  <c r="S274" i="6"/>
  <c r="R274" i="6"/>
  <c r="Q274" i="6"/>
  <c r="O274" i="6"/>
  <c r="N274" i="6"/>
  <c r="M274" i="6"/>
  <c r="L274" i="6"/>
  <c r="G274" i="6"/>
  <c r="D274" i="6"/>
  <c r="C274" i="6"/>
  <c r="B274" i="6"/>
  <c r="A274" i="6"/>
  <c r="AJ273" i="6"/>
  <c r="AI273" i="6"/>
  <c r="AH273" i="6"/>
  <c r="AG273" i="6"/>
  <c r="AF273" i="6"/>
  <c r="AE273" i="6"/>
  <c r="AD273" i="6"/>
  <c r="AC273" i="6"/>
  <c r="AB273" i="6"/>
  <c r="AA273" i="6"/>
  <c r="Z273" i="6"/>
  <c r="Y273" i="6"/>
  <c r="X273" i="6"/>
  <c r="V273" i="6"/>
  <c r="U273" i="6"/>
  <c r="T273" i="6"/>
  <c r="S273" i="6"/>
  <c r="R273" i="6"/>
  <c r="Q273" i="6"/>
  <c r="O273" i="6"/>
  <c r="N273" i="6"/>
  <c r="M273" i="6"/>
  <c r="L273" i="6"/>
  <c r="G273" i="6"/>
  <c r="D273" i="6"/>
  <c r="C273" i="6"/>
  <c r="B273" i="6"/>
  <c r="A273" i="6"/>
  <c r="AJ272" i="6"/>
  <c r="AI272" i="6"/>
  <c r="AH272" i="6"/>
  <c r="AG272" i="6"/>
  <c r="AF272" i="6"/>
  <c r="AE272" i="6"/>
  <c r="AD272" i="6"/>
  <c r="AC272" i="6"/>
  <c r="AB272" i="6"/>
  <c r="AA272" i="6"/>
  <c r="Z272" i="6"/>
  <c r="Y272" i="6"/>
  <c r="X272" i="6"/>
  <c r="V272" i="6"/>
  <c r="U272" i="6"/>
  <c r="T272" i="6"/>
  <c r="S272" i="6"/>
  <c r="R272" i="6"/>
  <c r="Q272" i="6"/>
  <c r="O272" i="6"/>
  <c r="N272" i="6"/>
  <c r="M272" i="6"/>
  <c r="L272" i="6"/>
  <c r="G272" i="6"/>
  <c r="D272" i="6"/>
  <c r="C272" i="6"/>
  <c r="B272" i="6"/>
  <c r="A272" i="6"/>
  <c r="AJ271" i="6"/>
  <c r="AI271" i="6"/>
  <c r="AH271" i="6"/>
  <c r="AG271" i="6"/>
  <c r="AF271" i="6"/>
  <c r="AE271" i="6"/>
  <c r="AD271" i="6"/>
  <c r="AC271" i="6"/>
  <c r="AB271" i="6"/>
  <c r="AA271" i="6"/>
  <c r="Z271" i="6"/>
  <c r="Y271" i="6"/>
  <c r="X271" i="6"/>
  <c r="V271" i="6"/>
  <c r="U271" i="6"/>
  <c r="T271" i="6"/>
  <c r="S271" i="6"/>
  <c r="R271" i="6"/>
  <c r="Q271" i="6"/>
  <c r="O271" i="6"/>
  <c r="N271" i="6"/>
  <c r="M271" i="6"/>
  <c r="L271" i="6"/>
  <c r="G271" i="6"/>
  <c r="D271" i="6"/>
  <c r="C271" i="6"/>
  <c r="B271" i="6"/>
  <c r="A271" i="6"/>
  <c r="AJ270" i="6"/>
  <c r="AI270" i="6"/>
  <c r="AH270" i="6"/>
  <c r="AG270" i="6"/>
  <c r="AF270" i="6"/>
  <c r="AE270" i="6"/>
  <c r="AD270" i="6"/>
  <c r="AC270" i="6"/>
  <c r="AB270" i="6"/>
  <c r="AA270" i="6"/>
  <c r="Z270" i="6"/>
  <c r="Y270" i="6"/>
  <c r="X270" i="6"/>
  <c r="V270" i="6"/>
  <c r="U270" i="6"/>
  <c r="T270" i="6"/>
  <c r="S270" i="6"/>
  <c r="R270" i="6"/>
  <c r="Q270" i="6"/>
  <c r="O270" i="6"/>
  <c r="N270" i="6"/>
  <c r="M270" i="6"/>
  <c r="L270" i="6"/>
  <c r="G270" i="6"/>
  <c r="D270" i="6"/>
  <c r="C270" i="6"/>
  <c r="B270" i="6"/>
  <c r="A270" i="6"/>
  <c r="AJ269" i="6"/>
  <c r="AI269" i="6"/>
  <c r="AH269" i="6"/>
  <c r="AG269" i="6"/>
  <c r="AF269" i="6"/>
  <c r="AE269" i="6"/>
  <c r="AD269" i="6"/>
  <c r="AC269" i="6"/>
  <c r="AB269" i="6"/>
  <c r="AA269" i="6"/>
  <c r="Z269" i="6"/>
  <c r="Y269" i="6"/>
  <c r="X269" i="6"/>
  <c r="V269" i="6"/>
  <c r="U269" i="6"/>
  <c r="T269" i="6"/>
  <c r="S269" i="6"/>
  <c r="R269" i="6"/>
  <c r="Q269" i="6"/>
  <c r="P269" i="6"/>
  <c r="O269" i="6"/>
  <c r="N269" i="6"/>
  <c r="M269" i="6"/>
  <c r="L269" i="6"/>
  <c r="G269" i="6"/>
  <c r="D269" i="6"/>
  <c r="C269" i="6"/>
  <c r="B269" i="6"/>
  <c r="A269" i="6"/>
  <c r="AJ268" i="6"/>
  <c r="AI268" i="6"/>
  <c r="AH268" i="6"/>
  <c r="AG268" i="6"/>
  <c r="AF268" i="6"/>
  <c r="AE268" i="6"/>
  <c r="AD268" i="6"/>
  <c r="AC268" i="6"/>
  <c r="AB268" i="6"/>
  <c r="AA268" i="6"/>
  <c r="Z268" i="6"/>
  <c r="Y268" i="6"/>
  <c r="X268" i="6"/>
  <c r="V268" i="6"/>
  <c r="U268" i="6"/>
  <c r="T268" i="6"/>
  <c r="S268" i="6"/>
  <c r="R268" i="6"/>
  <c r="Q268" i="6"/>
  <c r="O268" i="6"/>
  <c r="N268" i="6"/>
  <c r="M268" i="6"/>
  <c r="L268" i="6"/>
  <c r="G268" i="6"/>
  <c r="D268" i="6"/>
  <c r="C268" i="6"/>
  <c r="B268" i="6"/>
  <c r="A268" i="6"/>
  <c r="AJ267" i="6"/>
  <c r="AI267" i="6"/>
  <c r="AH267" i="6"/>
  <c r="AG267" i="6"/>
  <c r="AF267" i="6"/>
  <c r="AE267" i="6"/>
  <c r="AD267" i="6"/>
  <c r="AC267" i="6"/>
  <c r="AB267" i="6"/>
  <c r="AA267" i="6"/>
  <c r="Z267" i="6"/>
  <c r="Y267" i="6"/>
  <c r="X267" i="6"/>
  <c r="V267" i="6"/>
  <c r="U267" i="6"/>
  <c r="T267" i="6"/>
  <c r="S267" i="6"/>
  <c r="R267" i="6"/>
  <c r="Q267" i="6"/>
  <c r="O267" i="6"/>
  <c r="N267" i="6"/>
  <c r="M267" i="6"/>
  <c r="L267" i="6"/>
  <c r="G267" i="6"/>
  <c r="D267" i="6"/>
  <c r="C267" i="6"/>
  <c r="B267" i="6"/>
  <c r="A267" i="6"/>
  <c r="AJ266" i="6"/>
  <c r="AI266" i="6"/>
  <c r="AH266" i="6"/>
  <c r="AG266" i="6"/>
  <c r="AF266" i="6"/>
  <c r="AE266" i="6"/>
  <c r="AD266" i="6"/>
  <c r="AC266" i="6"/>
  <c r="AB266" i="6"/>
  <c r="AA266" i="6"/>
  <c r="Z266" i="6"/>
  <c r="Y266" i="6"/>
  <c r="X266" i="6"/>
  <c r="V266" i="6"/>
  <c r="U266" i="6"/>
  <c r="T266" i="6"/>
  <c r="S266" i="6"/>
  <c r="R266" i="6"/>
  <c r="Q266" i="6"/>
  <c r="O266" i="6"/>
  <c r="N266" i="6"/>
  <c r="M266" i="6"/>
  <c r="L266" i="6"/>
  <c r="G266" i="6"/>
  <c r="D266" i="6"/>
  <c r="C266" i="6"/>
  <c r="B266" i="6"/>
  <c r="A266" i="6"/>
  <c r="AJ265" i="6"/>
  <c r="AI265" i="6"/>
  <c r="AH265" i="6"/>
  <c r="AG265" i="6"/>
  <c r="AF265" i="6"/>
  <c r="AE265" i="6"/>
  <c r="AD265" i="6"/>
  <c r="AC265" i="6"/>
  <c r="AB265" i="6"/>
  <c r="AA265" i="6"/>
  <c r="Z265" i="6"/>
  <c r="Y265" i="6"/>
  <c r="X265" i="6"/>
  <c r="V265" i="6"/>
  <c r="U265" i="6"/>
  <c r="T265" i="6"/>
  <c r="S265" i="6"/>
  <c r="R265" i="6"/>
  <c r="Q265" i="6"/>
  <c r="O265" i="6"/>
  <c r="N265" i="6"/>
  <c r="M265" i="6"/>
  <c r="L265" i="6"/>
  <c r="G265" i="6"/>
  <c r="D265" i="6"/>
  <c r="C265" i="6"/>
  <c r="B265" i="6"/>
  <c r="A265" i="6"/>
  <c r="AJ264" i="6"/>
  <c r="AI264" i="6"/>
  <c r="AH264" i="6"/>
  <c r="AG264" i="6"/>
  <c r="AF264" i="6"/>
  <c r="AE264" i="6"/>
  <c r="AD264" i="6"/>
  <c r="AC264" i="6"/>
  <c r="AB264" i="6"/>
  <c r="AA264" i="6"/>
  <c r="Z264" i="6"/>
  <c r="Y264" i="6"/>
  <c r="X264" i="6"/>
  <c r="V264" i="6"/>
  <c r="U264" i="6"/>
  <c r="T264" i="6"/>
  <c r="S264" i="6"/>
  <c r="R264" i="6"/>
  <c r="Q264" i="6"/>
  <c r="O264" i="6"/>
  <c r="N264" i="6"/>
  <c r="M264" i="6"/>
  <c r="L264" i="6"/>
  <c r="G264" i="6"/>
  <c r="D264" i="6"/>
  <c r="C264" i="6"/>
  <c r="B264" i="6"/>
  <c r="A264" i="6"/>
  <c r="AJ263" i="6"/>
  <c r="AI263" i="6"/>
  <c r="AH263" i="6"/>
  <c r="AG263" i="6"/>
  <c r="AF263" i="6"/>
  <c r="AE263" i="6"/>
  <c r="AD263" i="6"/>
  <c r="AC263" i="6"/>
  <c r="AB263" i="6"/>
  <c r="AA263" i="6"/>
  <c r="Z263" i="6"/>
  <c r="Y263" i="6"/>
  <c r="X263" i="6"/>
  <c r="V263" i="6"/>
  <c r="U263" i="6"/>
  <c r="T263" i="6"/>
  <c r="S263" i="6"/>
  <c r="R263" i="6"/>
  <c r="Q263" i="6"/>
  <c r="O263" i="6"/>
  <c r="N263" i="6"/>
  <c r="M263" i="6"/>
  <c r="L263" i="6"/>
  <c r="G263" i="6"/>
  <c r="D263" i="6"/>
  <c r="C263" i="6"/>
  <c r="B263" i="6"/>
  <c r="A263" i="6"/>
  <c r="AJ262" i="6"/>
  <c r="AI262" i="6"/>
  <c r="AH262" i="6"/>
  <c r="AG262" i="6"/>
  <c r="AF262" i="6"/>
  <c r="AE262" i="6"/>
  <c r="AD262" i="6"/>
  <c r="AC262" i="6"/>
  <c r="AB262" i="6"/>
  <c r="AA262" i="6"/>
  <c r="Z262" i="6"/>
  <c r="Y262" i="6"/>
  <c r="X262" i="6"/>
  <c r="V262" i="6"/>
  <c r="U262" i="6"/>
  <c r="T262" i="6"/>
  <c r="S262" i="6"/>
  <c r="R262" i="6"/>
  <c r="Q262" i="6"/>
  <c r="P262" i="6"/>
  <c r="O262" i="6"/>
  <c r="N262" i="6"/>
  <c r="M262" i="6"/>
  <c r="L262" i="6"/>
  <c r="G262" i="6"/>
  <c r="D262" i="6"/>
  <c r="C262" i="6"/>
  <c r="B262" i="6"/>
  <c r="A262" i="6"/>
  <c r="AJ261" i="6"/>
  <c r="AI261" i="6"/>
  <c r="AH261" i="6"/>
  <c r="AG261" i="6"/>
  <c r="AF261" i="6"/>
  <c r="AE261" i="6"/>
  <c r="AD261" i="6"/>
  <c r="AC261" i="6"/>
  <c r="AB261" i="6"/>
  <c r="AA261" i="6"/>
  <c r="Z261" i="6"/>
  <c r="Y261" i="6"/>
  <c r="X261" i="6"/>
  <c r="V261" i="6"/>
  <c r="U261" i="6"/>
  <c r="T261" i="6"/>
  <c r="S261" i="6"/>
  <c r="R261" i="6"/>
  <c r="Q261" i="6"/>
  <c r="P261" i="6"/>
  <c r="O261" i="6"/>
  <c r="N261" i="6"/>
  <c r="M261" i="6"/>
  <c r="L261" i="6"/>
  <c r="G261" i="6"/>
  <c r="D261" i="6"/>
  <c r="C261" i="6"/>
  <c r="B261" i="6"/>
  <c r="A261" i="6"/>
  <c r="AJ260" i="6"/>
  <c r="AI260" i="6"/>
  <c r="AH260" i="6"/>
  <c r="AG260" i="6"/>
  <c r="AF260" i="6"/>
  <c r="AE260" i="6"/>
  <c r="AD260" i="6"/>
  <c r="AC260" i="6"/>
  <c r="AB260" i="6"/>
  <c r="AA260" i="6"/>
  <c r="Z260" i="6"/>
  <c r="Y260" i="6"/>
  <c r="X260" i="6"/>
  <c r="V260" i="6"/>
  <c r="U260" i="6"/>
  <c r="T260" i="6"/>
  <c r="S260" i="6"/>
  <c r="R260" i="6"/>
  <c r="Q260" i="6"/>
  <c r="P260" i="6"/>
  <c r="O260" i="6"/>
  <c r="N260" i="6"/>
  <c r="M260" i="6"/>
  <c r="L260" i="6"/>
  <c r="G260" i="6"/>
  <c r="D260" i="6"/>
  <c r="C260" i="6"/>
  <c r="B260" i="6"/>
  <c r="A260" i="6"/>
  <c r="AJ259" i="6"/>
  <c r="AI259" i="6"/>
  <c r="AH259" i="6"/>
  <c r="AG259" i="6"/>
  <c r="AF259" i="6"/>
  <c r="AE259" i="6"/>
  <c r="AD259" i="6"/>
  <c r="AC259" i="6"/>
  <c r="AB259" i="6"/>
  <c r="AA259" i="6"/>
  <c r="Z259" i="6"/>
  <c r="Y259" i="6"/>
  <c r="X259" i="6"/>
  <c r="V259" i="6"/>
  <c r="U259" i="6"/>
  <c r="T259" i="6"/>
  <c r="S259" i="6"/>
  <c r="R259" i="6"/>
  <c r="Q259" i="6"/>
  <c r="P259" i="6"/>
  <c r="O259" i="6"/>
  <c r="N259" i="6"/>
  <c r="M259" i="6"/>
  <c r="L259" i="6"/>
  <c r="G259" i="6"/>
  <c r="D259" i="6"/>
  <c r="C259" i="6"/>
  <c r="B259" i="6"/>
  <c r="A259" i="6"/>
  <c r="AJ258" i="6"/>
  <c r="AI258" i="6"/>
  <c r="AH258" i="6"/>
  <c r="AG258" i="6"/>
  <c r="AF258" i="6"/>
  <c r="AE258" i="6"/>
  <c r="AD258" i="6"/>
  <c r="AC258" i="6"/>
  <c r="AB258" i="6"/>
  <c r="AA258" i="6"/>
  <c r="Z258" i="6"/>
  <c r="Y258" i="6"/>
  <c r="X258" i="6"/>
  <c r="V258" i="6"/>
  <c r="U258" i="6"/>
  <c r="T258" i="6"/>
  <c r="S258" i="6"/>
  <c r="R258" i="6"/>
  <c r="Q258" i="6"/>
  <c r="P258" i="6"/>
  <c r="O258" i="6"/>
  <c r="N258" i="6"/>
  <c r="M258" i="6"/>
  <c r="L258" i="6"/>
  <c r="G258" i="6"/>
  <c r="D258" i="6"/>
  <c r="C258" i="6"/>
  <c r="B258" i="6"/>
  <c r="A258" i="6"/>
  <c r="AJ257" i="6"/>
  <c r="AI257" i="6"/>
  <c r="AH257" i="6"/>
  <c r="AG257" i="6"/>
  <c r="AF257" i="6"/>
  <c r="AE257" i="6"/>
  <c r="AD257" i="6"/>
  <c r="AC257" i="6"/>
  <c r="AB257" i="6"/>
  <c r="AA257" i="6"/>
  <c r="Z257" i="6"/>
  <c r="Y257" i="6"/>
  <c r="X257" i="6"/>
  <c r="V257" i="6"/>
  <c r="U257" i="6"/>
  <c r="T257" i="6"/>
  <c r="S257" i="6"/>
  <c r="R257" i="6"/>
  <c r="Q257" i="6"/>
  <c r="O257" i="6"/>
  <c r="N257" i="6"/>
  <c r="M257" i="6"/>
  <c r="L257" i="6"/>
  <c r="G257" i="6"/>
  <c r="D257" i="6"/>
  <c r="C257" i="6"/>
  <c r="B257" i="6"/>
  <c r="A257" i="6"/>
  <c r="AJ256" i="6"/>
  <c r="AI256" i="6"/>
  <c r="AH256" i="6"/>
  <c r="AG256" i="6"/>
  <c r="AF256" i="6"/>
  <c r="AE256" i="6"/>
  <c r="AD256" i="6"/>
  <c r="AC256" i="6"/>
  <c r="AB256" i="6"/>
  <c r="AA256" i="6"/>
  <c r="Z256" i="6"/>
  <c r="Y256" i="6"/>
  <c r="X256" i="6"/>
  <c r="V256" i="6"/>
  <c r="U256" i="6"/>
  <c r="T256" i="6"/>
  <c r="S256" i="6"/>
  <c r="R256" i="6"/>
  <c r="Q256" i="6"/>
  <c r="P256" i="6"/>
  <c r="O256" i="6"/>
  <c r="N256" i="6"/>
  <c r="M256" i="6"/>
  <c r="L256" i="6"/>
  <c r="G256" i="6"/>
  <c r="D256" i="6"/>
  <c r="C256" i="6"/>
  <c r="B256" i="6"/>
  <c r="A256" i="6"/>
  <c r="AJ255" i="6"/>
  <c r="AI255" i="6"/>
  <c r="AH255" i="6"/>
  <c r="AG255" i="6"/>
  <c r="AF255" i="6"/>
  <c r="AE255" i="6"/>
  <c r="AD255" i="6"/>
  <c r="AC255" i="6"/>
  <c r="AB255" i="6"/>
  <c r="AA255" i="6"/>
  <c r="Z255" i="6"/>
  <c r="Y255" i="6"/>
  <c r="X255" i="6"/>
  <c r="V255" i="6"/>
  <c r="U255" i="6"/>
  <c r="T255" i="6"/>
  <c r="S255" i="6"/>
  <c r="R255" i="6"/>
  <c r="Q255" i="6"/>
  <c r="O255" i="6"/>
  <c r="N255" i="6"/>
  <c r="M255" i="6"/>
  <c r="L255" i="6"/>
  <c r="G255" i="6"/>
  <c r="D255" i="6"/>
  <c r="C255" i="6"/>
  <c r="B255" i="6"/>
  <c r="A255" i="6"/>
  <c r="AJ254" i="6"/>
  <c r="AI254" i="6"/>
  <c r="AH254" i="6"/>
  <c r="AG254" i="6"/>
  <c r="AF254" i="6"/>
  <c r="AE254" i="6"/>
  <c r="AD254" i="6"/>
  <c r="AC254" i="6"/>
  <c r="AB254" i="6"/>
  <c r="AA254" i="6"/>
  <c r="Z254" i="6"/>
  <c r="Y254" i="6"/>
  <c r="X254" i="6"/>
  <c r="V254" i="6"/>
  <c r="U254" i="6"/>
  <c r="T254" i="6"/>
  <c r="S254" i="6"/>
  <c r="R254" i="6"/>
  <c r="Q254" i="6"/>
  <c r="O254" i="6"/>
  <c r="N254" i="6"/>
  <c r="M254" i="6"/>
  <c r="L254" i="6"/>
  <c r="G254" i="6"/>
  <c r="D254" i="6"/>
  <c r="C254" i="6"/>
  <c r="B254" i="6"/>
  <c r="A254" i="6"/>
  <c r="AJ253" i="6"/>
  <c r="AI253" i="6"/>
  <c r="AH253" i="6"/>
  <c r="AG253" i="6"/>
  <c r="AF253" i="6"/>
  <c r="AE253" i="6"/>
  <c r="AD253" i="6"/>
  <c r="AC253" i="6"/>
  <c r="AB253" i="6"/>
  <c r="AA253" i="6"/>
  <c r="Z253" i="6"/>
  <c r="Y253" i="6"/>
  <c r="X253" i="6"/>
  <c r="V253" i="6"/>
  <c r="U253" i="6"/>
  <c r="T253" i="6"/>
  <c r="S253" i="6"/>
  <c r="R253" i="6"/>
  <c r="Q253" i="6"/>
  <c r="O253" i="6"/>
  <c r="N253" i="6"/>
  <c r="M253" i="6"/>
  <c r="L253" i="6"/>
  <c r="G253" i="6"/>
  <c r="D253" i="6"/>
  <c r="C253" i="6"/>
  <c r="B253" i="6"/>
  <c r="A253" i="6"/>
  <c r="AJ252" i="6"/>
  <c r="AI252" i="6"/>
  <c r="AH252" i="6"/>
  <c r="AG252" i="6"/>
  <c r="AF252" i="6"/>
  <c r="AE252" i="6"/>
  <c r="AD252" i="6"/>
  <c r="AC252" i="6"/>
  <c r="AB252" i="6"/>
  <c r="AA252" i="6"/>
  <c r="Z252" i="6"/>
  <c r="Y252" i="6"/>
  <c r="X252" i="6"/>
  <c r="V252" i="6"/>
  <c r="U252" i="6"/>
  <c r="T252" i="6"/>
  <c r="S252" i="6"/>
  <c r="R252" i="6"/>
  <c r="Q252" i="6"/>
  <c r="O252" i="6"/>
  <c r="N252" i="6"/>
  <c r="M252" i="6"/>
  <c r="L252" i="6"/>
  <c r="G252" i="6"/>
  <c r="D252" i="6"/>
  <c r="C252" i="6"/>
  <c r="B252" i="6"/>
  <c r="A252" i="6"/>
  <c r="AJ251" i="6"/>
  <c r="AI251" i="6"/>
  <c r="AH251" i="6"/>
  <c r="AG251" i="6"/>
  <c r="AF251" i="6"/>
  <c r="AE251" i="6"/>
  <c r="AD251" i="6"/>
  <c r="AC251" i="6"/>
  <c r="AB251" i="6"/>
  <c r="AA251" i="6"/>
  <c r="Z251" i="6"/>
  <c r="Y251" i="6"/>
  <c r="X251" i="6"/>
  <c r="V251" i="6"/>
  <c r="U251" i="6"/>
  <c r="T251" i="6"/>
  <c r="S251" i="6"/>
  <c r="R251" i="6"/>
  <c r="Q251" i="6"/>
  <c r="P251" i="6"/>
  <c r="O251" i="6"/>
  <c r="N251" i="6"/>
  <c r="M251" i="6"/>
  <c r="L251" i="6"/>
  <c r="G251" i="6"/>
  <c r="D251" i="6"/>
  <c r="C251" i="6"/>
  <c r="B251" i="6"/>
  <c r="A251" i="6"/>
  <c r="AJ250" i="6"/>
  <c r="AI250" i="6"/>
  <c r="AH250" i="6"/>
  <c r="AG250" i="6"/>
  <c r="AF250" i="6"/>
  <c r="AE250" i="6"/>
  <c r="AD250" i="6"/>
  <c r="AC250" i="6"/>
  <c r="AB250" i="6"/>
  <c r="AA250" i="6"/>
  <c r="Z250" i="6"/>
  <c r="Y250" i="6"/>
  <c r="X250" i="6"/>
  <c r="V250" i="6"/>
  <c r="U250" i="6"/>
  <c r="T250" i="6"/>
  <c r="S250" i="6"/>
  <c r="R250" i="6"/>
  <c r="Q250" i="6"/>
  <c r="O250" i="6"/>
  <c r="N250" i="6"/>
  <c r="M250" i="6"/>
  <c r="L250" i="6"/>
  <c r="G250" i="6"/>
  <c r="D250" i="6"/>
  <c r="C250" i="6"/>
  <c r="B250" i="6"/>
  <c r="A250" i="6"/>
  <c r="AJ249" i="6"/>
  <c r="AI249" i="6"/>
  <c r="AH249" i="6"/>
  <c r="AG249" i="6"/>
  <c r="AF249" i="6"/>
  <c r="AE249" i="6"/>
  <c r="AD249" i="6"/>
  <c r="AC249" i="6"/>
  <c r="AB249" i="6"/>
  <c r="AA249" i="6"/>
  <c r="Z249" i="6"/>
  <c r="Y249" i="6"/>
  <c r="X249" i="6"/>
  <c r="V249" i="6"/>
  <c r="U249" i="6"/>
  <c r="T249" i="6"/>
  <c r="S249" i="6"/>
  <c r="R249" i="6"/>
  <c r="Q249" i="6"/>
  <c r="O249" i="6"/>
  <c r="N249" i="6"/>
  <c r="M249" i="6"/>
  <c r="L249" i="6"/>
  <c r="G249" i="6"/>
  <c r="D249" i="6"/>
  <c r="C249" i="6"/>
  <c r="B249" i="6"/>
  <c r="A249" i="6"/>
  <c r="AJ248" i="6"/>
  <c r="AI248" i="6"/>
  <c r="AH248" i="6"/>
  <c r="AG248" i="6"/>
  <c r="AF248" i="6"/>
  <c r="AE248" i="6"/>
  <c r="AD248" i="6"/>
  <c r="AC248" i="6"/>
  <c r="AB248" i="6"/>
  <c r="AA248" i="6"/>
  <c r="Z248" i="6"/>
  <c r="Y248" i="6"/>
  <c r="X248" i="6"/>
  <c r="V248" i="6"/>
  <c r="U248" i="6"/>
  <c r="T248" i="6"/>
  <c r="S248" i="6"/>
  <c r="R248" i="6"/>
  <c r="Q248" i="6"/>
  <c r="O248" i="6"/>
  <c r="N248" i="6"/>
  <c r="M248" i="6"/>
  <c r="L248" i="6"/>
  <c r="G248" i="6"/>
  <c r="D248" i="6"/>
  <c r="C248" i="6"/>
  <c r="B248" i="6"/>
  <c r="A248" i="6"/>
  <c r="AJ247" i="6"/>
  <c r="AI247" i="6"/>
  <c r="AH247" i="6"/>
  <c r="AG247" i="6"/>
  <c r="AF247" i="6"/>
  <c r="AE247" i="6"/>
  <c r="AD247" i="6"/>
  <c r="AC247" i="6"/>
  <c r="AB247" i="6"/>
  <c r="AA247" i="6"/>
  <c r="Z247" i="6"/>
  <c r="Y247" i="6"/>
  <c r="X247" i="6"/>
  <c r="V247" i="6"/>
  <c r="U247" i="6"/>
  <c r="T247" i="6"/>
  <c r="S247" i="6"/>
  <c r="R247" i="6"/>
  <c r="Q247" i="6"/>
  <c r="P247" i="6"/>
  <c r="O247" i="6"/>
  <c r="N247" i="6"/>
  <c r="M247" i="6"/>
  <c r="L247" i="6"/>
  <c r="G247" i="6"/>
  <c r="D247" i="6"/>
  <c r="C247" i="6"/>
  <c r="B247" i="6"/>
  <c r="A247" i="6"/>
  <c r="AJ246" i="6"/>
  <c r="AI246" i="6"/>
  <c r="AH246" i="6"/>
  <c r="AG246" i="6"/>
  <c r="AF246" i="6"/>
  <c r="AE246" i="6"/>
  <c r="AD246" i="6"/>
  <c r="AC246" i="6"/>
  <c r="AB246" i="6"/>
  <c r="AA246" i="6"/>
  <c r="Z246" i="6"/>
  <c r="Y246" i="6"/>
  <c r="X246" i="6"/>
  <c r="V246" i="6"/>
  <c r="U246" i="6"/>
  <c r="T246" i="6"/>
  <c r="S246" i="6"/>
  <c r="R246" i="6"/>
  <c r="Q246" i="6"/>
  <c r="P246" i="6"/>
  <c r="O246" i="6"/>
  <c r="N246" i="6"/>
  <c r="M246" i="6"/>
  <c r="L246" i="6"/>
  <c r="G246" i="6"/>
  <c r="D246" i="6"/>
  <c r="C246" i="6"/>
  <c r="B246" i="6"/>
  <c r="A246" i="6"/>
  <c r="AJ245" i="6"/>
  <c r="AI245" i="6"/>
  <c r="AH245" i="6"/>
  <c r="AG245" i="6"/>
  <c r="AF245" i="6"/>
  <c r="AE245" i="6"/>
  <c r="AD245" i="6"/>
  <c r="AC245" i="6"/>
  <c r="AB245" i="6"/>
  <c r="AA245" i="6"/>
  <c r="Z245" i="6"/>
  <c r="Y245" i="6"/>
  <c r="X245" i="6"/>
  <c r="V245" i="6"/>
  <c r="U245" i="6"/>
  <c r="T245" i="6"/>
  <c r="S245" i="6"/>
  <c r="R245" i="6"/>
  <c r="Q245" i="6"/>
  <c r="P245" i="6"/>
  <c r="O245" i="6"/>
  <c r="N245" i="6"/>
  <c r="M245" i="6"/>
  <c r="L245" i="6"/>
  <c r="G245" i="6"/>
  <c r="D245" i="6"/>
  <c r="C245" i="6"/>
  <c r="B245" i="6"/>
  <c r="A245" i="6"/>
  <c r="AJ244" i="6"/>
  <c r="AI244" i="6"/>
  <c r="AH244" i="6"/>
  <c r="AG244" i="6"/>
  <c r="AF244" i="6"/>
  <c r="AE244" i="6"/>
  <c r="AD244" i="6"/>
  <c r="AC244" i="6"/>
  <c r="AB244" i="6"/>
  <c r="AA244" i="6"/>
  <c r="Z244" i="6"/>
  <c r="Y244" i="6"/>
  <c r="X244" i="6"/>
  <c r="V244" i="6"/>
  <c r="U244" i="6"/>
  <c r="T244" i="6"/>
  <c r="S244" i="6"/>
  <c r="R244" i="6"/>
  <c r="Q244" i="6"/>
  <c r="O244" i="6"/>
  <c r="N244" i="6"/>
  <c r="M244" i="6"/>
  <c r="L244" i="6"/>
  <c r="G244" i="6"/>
  <c r="D244" i="6"/>
  <c r="C244" i="6"/>
  <c r="B244" i="6"/>
  <c r="A244" i="6"/>
  <c r="AJ243" i="6"/>
  <c r="AI243" i="6"/>
  <c r="AH243" i="6"/>
  <c r="AG243" i="6"/>
  <c r="AF243" i="6"/>
  <c r="AE243" i="6"/>
  <c r="AD243" i="6"/>
  <c r="AC243" i="6"/>
  <c r="AB243" i="6"/>
  <c r="AA243" i="6"/>
  <c r="Z243" i="6"/>
  <c r="Y243" i="6"/>
  <c r="X243" i="6"/>
  <c r="V243" i="6"/>
  <c r="U243" i="6"/>
  <c r="T243" i="6"/>
  <c r="S243" i="6"/>
  <c r="R243" i="6"/>
  <c r="Q243" i="6"/>
  <c r="P243" i="6"/>
  <c r="O243" i="6"/>
  <c r="N243" i="6"/>
  <c r="M243" i="6"/>
  <c r="L243" i="6"/>
  <c r="G243" i="6"/>
  <c r="D243" i="6"/>
  <c r="C243" i="6"/>
  <c r="B243" i="6"/>
  <c r="A243" i="6"/>
  <c r="AJ242" i="6"/>
  <c r="AI242" i="6"/>
  <c r="AH242" i="6"/>
  <c r="AG242" i="6"/>
  <c r="AF242" i="6"/>
  <c r="AE242" i="6"/>
  <c r="AD242" i="6"/>
  <c r="AC242" i="6"/>
  <c r="AB242" i="6"/>
  <c r="AA242" i="6"/>
  <c r="Z242" i="6"/>
  <c r="Y242" i="6"/>
  <c r="X242" i="6"/>
  <c r="V242" i="6"/>
  <c r="U242" i="6"/>
  <c r="T242" i="6"/>
  <c r="S242" i="6"/>
  <c r="R242" i="6"/>
  <c r="Q242" i="6"/>
  <c r="O242" i="6"/>
  <c r="N242" i="6"/>
  <c r="M242" i="6"/>
  <c r="L242" i="6"/>
  <c r="G242" i="6"/>
  <c r="D242" i="6"/>
  <c r="C242" i="6"/>
  <c r="B242" i="6"/>
  <c r="A242" i="6"/>
  <c r="AJ241" i="6"/>
  <c r="AI241" i="6"/>
  <c r="AH241" i="6"/>
  <c r="AG241" i="6"/>
  <c r="AF241" i="6"/>
  <c r="AE241" i="6"/>
  <c r="AD241" i="6"/>
  <c r="AC241" i="6"/>
  <c r="AB241" i="6"/>
  <c r="AA241" i="6"/>
  <c r="Z241" i="6"/>
  <c r="Y241" i="6"/>
  <c r="X241" i="6"/>
  <c r="V241" i="6"/>
  <c r="U241" i="6"/>
  <c r="T241" i="6"/>
  <c r="S241" i="6"/>
  <c r="R241" i="6"/>
  <c r="Q241" i="6"/>
  <c r="P241" i="6"/>
  <c r="O241" i="6"/>
  <c r="N241" i="6"/>
  <c r="M241" i="6"/>
  <c r="L241" i="6"/>
  <c r="G241" i="6"/>
  <c r="D241" i="6"/>
  <c r="C241" i="6"/>
  <c r="B241" i="6"/>
  <c r="A241" i="6"/>
  <c r="AJ240" i="6"/>
  <c r="AI240" i="6"/>
  <c r="AH240" i="6"/>
  <c r="AG240" i="6"/>
  <c r="AF240" i="6"/>
  <c r="AE240" i="6"/>
  <c r="AD240" i="6"/>
  <c r="AC240" i="6"/>
  <c r="AB240" i="6"/>
  <c r="AA240" i="6"/>
  <c r="Z240" i="6"/>
  <c r="Y240" i="6"/>
  <c r="X240" i="6"/>
  <c r="V240" i="6"/>
  <c r="U240" i="6"/>
  <c r="T240" i="6"/>
  <c r="S240" i="6"/>
  <c r="R240" i="6"/>
  <c r="Q240" i="6"/>
  <c r="P240" i="6"/>
  <c r="O240" i="6"/>
  <c r="N240" i="6"/>
  <c r="M240" i="6"/>
  <c r="L240" i="6"/>
  <c r="G240" i="6"/>
  <c r="D240" i="6"/>
  <c r="C240" i="6"/>
  <c r="B240" i="6"/>
  <c r="A240" i="6"/>
  <c r="AJ239" i="6"/>
  <c r="AI239" i="6"/>
  <c r="AH239" i="6"/>
  <c r="AG239" i="6"/>
  <c r="AF239" i="6"/>
  <c r="AE239" i="6"/>
  <c r="AD239" i="6"/>
  <c r="AC239" i="6"/>
  <c r="AB239" i="6"/>
  <c r="AA239" i="6"/>
  <c r="Z239" i="6"/>
  <c r="Y239" i="6"/>
  <c r="X239" i="6"/>
  <c r="V239" i="6"/>
  <c r="U239" i="6"/>
  <c r="T239" i="6"/>
  <c r="S239" i="6"/>
  <c r="R239" i="6"/>
  <c r="Q239" i="6"/>
  <c r="P239" i="6"/>
  <c r="O239" i="6"/>
  <c r="N239" i="6"/>
  <c r="M239" i="6"/>
  <c r="L239" i="6"/>
  <c r="G239" i="6"/>
  <c r="D239" i="6"/>
  <c r="C239" i="6"/>
  <c r="B239" i="6"/>
  <c r="A239" i="6"/>
  <c r="AJ238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V238" i="6"/>
  <c r="U238" i="6"/>
  <c r="T238" i="6"/>
  <c r="S238" i="6"/>
  <c r="R238" i="6"/>
  <c r="Q238" i="6"/>
  <c r="P238" i="6"/>
  <c r="O238" i="6"/>
  <c r="N238" i="6"/>
  <c r="M238" i="6"/>
  <c r="L238" i="6"/>
  <c r="G238" i="6"/>
  <c r="D238" i="6"/>
  <c r="C238" i="6"/>
  <c r="B238" i="6"/>
  <c r="A238" i="6"/>
  <c r="AJ237" i="6"/>
  <c r="AI237" i="6"/>
  <c r="AH237" i="6"/>
  <c r="AG237" i="6"/>
  <c r="AF237" i="6"/>
  <c r="AE237" i="6"/>
  <c r="AD237" i="6"/>
  <c r="AC237" i="6"/>
  <c r="AB237" i="6"/>
  <c r="AA237" i="6"/>
  <c r="Z237" i="6"/>
  <c r="Y237" i="6"/>
  <c r="X237" i="6"/>
  <c r="V237" i="6"/>
  <c r="U237" i="6"/>
  <c r="T237" i="6"/>
  <c r="S237" i="6"/>
  <c r="R237" i="6"/>
  <c r="Q237" i="6"/>
  <c r="O237" i="6"/>
  <c r="N237" i="6"/>
  <c r="M237" i="6"/>
  <c r="L237" i="6"/>
  <c r="G237" i="6"/>
  <c r="D237" i="6"/>
  <c r="C237" i="6"/>
  <c r="B237" i="6"/>
  <c r="A237" i="6"/>
  <c r="AJ236" i="6"/>
  <c r="AI236" i="6"/>
  <c r="AH236" i="6"/>
  <c r="AG236" i="6"/>
  <c r="AF236" i="6"/>
  <c r="AE236" i="6"/>
  <c r="AD236" i="6"/>
  <c r="AC236" i="6"/>
  <c r="AB236" i="6"/>
  <c r="AA236" i="6"/>
  <c r="Z236" i="6"/>
  <c r="Y236" i="6"/>
  <c r="X236" i="6"/>
  <c r="V236" i="6"/>
  <c r="U236" i="6"/>
  <c r="T236" i="6"/>
  <c r="S236" i="6"/>
  <c r="R236" i="6"/>
  <c r="Q236" i="6"/>
  <c r="P236" i="6"/>
  <c r="O236" i="6"/>
  <c r="N236" i="6"/>
  <c r="M236" i="6"/>
  <c r="L236" i="6"/>
  <c r="G236" i="6"/>
  <c r="D236" i="6"/>
  <c r="C236" i="6"/>
  <c r="B236" i="6"/>
  <c r="A236" i="6"/>
  <c r="AJ235" i="6"/>
  <c r="AI235" i="6"/>
  <c r="AH235" i="6"/>
  <c r="AG235" i="6"/>
  <c r="AF235" i="6"/>
  <c r="AE235" i="6"/>
  <c r="AD235" i="6"/>
  <c r="AC235" i="6"/>
  <c r="AB235" i="6"/>
  <c r="AA235" i="6"/>
  <c r="Z235" i="6"/>
  <c r="Y235" i="6"/>
  <c r="X235" i="6"/>
  <c r="V235" i="6"/>
  <c r="U235" i="6"/>
  <c r="T235" i="6"/>
  <c r="S235" i="6"/>
  <c r="R235" i="6"/>
  <c r="Q235" i="6"/>
  <c r="O235" i="6"/>
  <c r="N235" i="6"/>
  <c r="M235" i="6"/>
  <c r="L235" i="6"/>
  <c r="G235" i="6"/>
  <c r="D235" i="6"/>
  <c r="C235" i="6"/>
  <c r="B235" i="6"/>
  <c r="A235" i="6"/>
  <c r="AJ234" i="6"/>
  <c r="AI234" i="6"/>
  <c r="AH234" i="6"/>
  <c r="AG234" i="6"/>
  <c r="AF234" i="6"/>
  <c r="AE234" i="6"/>
  <c r="AD234" i="6"/>
  <c r="AC234" i="6"/>
  <c r="AB234" i="6"/>
  <c r="AA234" i="6"/>
  <c r="Z234" i="6"/>
  <c r="Y234" i="6"/>
  <c r="X234" i="6"/>
  <c r="V234" i="6"/>
  <c r="U234" i="6"/>
  <c r="T234" i="6"/>
  <c r="S234" i="6"/>
  <c r="R234" i="6"/>
  <c r="Q234" i="6"/>
  <c r="P234" i="6"/>
  <c r="O234" i="6"/>
  <c r="N234" i="6"/>
  <c r="M234" i="6"/>
  <c r="L234" i="6"/>
  <c r="G234" i="6"/>
  <c r="D234" i="6"/>
  <c r="C234" i="6"/>
  <c r="B234" i="6"/>
  <c r="A234" i="6"/>
  <c r="AJ233" i="6"/>
  <c r="AI233" i="6"/>
  <c r="AH233" i="6"/>
  <c r="AG233" i="6"/>
  <c r="AF233" i="6"/>
  <c r="AE233" i="6"/>
  <c r="AD233" i="6"/>
  <c r="AC233" i="6"/>
  <c r="AB233" i="6"/>
  <c r="AA233" i="6"/>
  <c r="Z233" i="6"/>
  <c r="Y233" i="6"/>
  <c r="X233" i="6"/>
  <c r="V233" i="6"/>
  <c r="U233" i="6"/>
  <c r="T233" i="6"/>
  <c r="S233" i="6"/>
  <c r="R233" i="6"/>
  <c r="Q233" i="6"/>
  <c r="P233" i="6"/>
  <c r="O233" i="6"/>
  <c r="N233" i="6"/>
  <c r="M233" i="6"/>
  <c r="L233" i="6"/>
  <c r="G233" i="6"/>
  <c r="D233" i="6"/>
  <c r="C233" i="6"/>
  <c r="B233" i="6"/>
  <c r="A233" i="6"/>
  <c r="AJ232" i="6"/>
  <c r="AI232" i="6"/>
  <c r="AH232" i="6"/>
  <c r="AG232" i="6"/>
  <c r="AF232" i="6"/>
  <c r="AE232" i="6"/>
  <c r="AD232" i="6"/>
  <c r="AC232" i="6"/>
  <c r="AB232" i="6"/>
  <c r="AA232" i="6"/>
  <c r="Z232" i="6"/>
  <c r="Y232" i="6"/>
  <c r="X232" i="6"/>
  <c r="V232" i="6"/>
  <c r="U232" i="6"/>
  <c r="T232" i="6"/>
  <c r="S232" i="6"/>
  <c r="R232" i="6"/>
  <c r="Q232" i="6"/>
  <c r="P232" i="6"/>
  <c r="O232" i="6"/>
  <c r="N232" i="6"/>
  <c r="M232" i="6"/>
  <c r="L232" i="6"/>
  <c r="G232" i="6"/>
  <c r="D232" i="6"/>
  <c r="C232" i="6"/>
  <c r="B232" i="6"/>
  <c r="A232" i="6"/>
  <c r="AJ231" i="6"/>
  <c r="AI231" i="6"/>
  <c r="AH231" i="6"/>
  <c r="AG231" i="6"/>
  <c r="AF231" i="6"/>
  <c r="AE231" i="6"/>
  <c r="AD231" i="6"/>
  <c r="AC231" i="6"/>
  <c r="AB231" i="6"/>
  <c r="AA231" i="6"/>
  <c r="Z231" i="6"/>
  <c r="Y231" i="6"/>
  <c r="X231" i="6"/>
  <c r="V231" i="6"/>
  <c r="U231" i="6"/>
  <c r="T231" i="6"/>
  <c r="S231" i="6"/>
  <c r="R231" i="6"/>
  <c r="Q231" i="6"/>
  <c r="O231" i="6"/>
  <c r="N231" i="6"/>
  <c r="M231" i="6"/>
  <c r="L231" i="6"/>
  <c r="G231" i="6"/>
  <c r="D231" i="6"/>
  <c r="C231" i="6"/>
  <c r="B231" i="6"/>
  <c r="A231" i="6"/>
  <c r="AJ230" i="6"/>
  <c r="AI230" i="6"/>
  <c r="AH230" i="6"/>
  <c r="AG230" i="6"/>
  <c r="AF230" i="6"/>
  <c r="AE230" i="6"/>
  <c r="AD230" i="6"/>
  <c r="AC230" i="6"/>
  <c r="AB230" i="6"/>
  <c r="AA230" i="6"/>
  <c r="Z230" i="6"/>
  <c r="Y230" i="6"/>
  <c r="X230" i="6"/>
  <c r="V230" i="6"/>
  <c r="U230" i="6"/>
  <c r="T230" i="6"/>
  <c r="S230" i="6"/>
  <c r="R230" i="6"/>
  <c r="Q230" i="6"/>
  <c r="O230" i="6"/>
  <c r="N230" i="6"/>
  <c r="M230" i="6"/>
  <c r="L230" i="6"/>
  <c r="G230" i="6"/>
  <c r="D230" i="6"/>
  <c r="C230" i="6"/>
  <c r="B230" i="6"/>
  <c r="A230" i="6"/>
  <c r="AJ229" i="6"/>
  <c r="AI229" i="6"/>
  <c r="AH229" i="6"/>
  <c r="AG229" i="6"/>
  <c r="AF229" i="6"/>
  <c r="AE229" i="6"/>
  <c r="AD229" i="6"/>
  <c r="AC229" i="6"/>
  <c r="AB229" i="6"/>
  <c r="AA229" i="6"/>
  <c r="Z229" i="6"/>
  <c r="Y229" i="6"/>
  <c r="X229" i="6"/>
  <c r="V229" i="6"/>
  <c r="U229" i="6"/>
  <c r="T229" i="6"/>
  <c r="S229" i="6"/>
  <c r="R229" i="6"/>
  <c r="Q229" i="6"/>
  <c r="O229" i="6"/>
  <c r="N229" i="6"/>
  <c r="M229" i="6"/>
  <c r="L229" i="6"/>
  <c r="G229" i="6"/>
  <c r="D229" i="6"/>
  <c r="C229" i="6"/>
  <c r="B229" i="6"/>
  <c r="A229" i="6"/>
  <c r="AJ228" i="6"/>
  <c r="AI228" i="6"/>
  <c r="AH228" i="6"/>
  <c r="AG228" i="6"/>
  <c r="AF228" i="6"/>
  <c r="AE228" i="6"/>
  <c r="AD228" i="6"/>
  <c r="AC228" i="6"/>
  <c r="AB228" i="6"/>
  <c r="AA228" i="6"/>
  <c r="Z228" i="6"/>
  <c r="Y228" i="6"/>
  <c r="X228" i="6"/>
  <c r="V228" i="6"/>
  <c r="U228" i="6"/>
  <c r="T228" i="6"/>
  <c r="S228" i="6"/>
  <c r="R228" i="6"/>
  <c r="Q228" i="6"/>
  <c r="P228" i="6"/>
  <c r="O228" i="6"/>
  <c r="N228" i="6"/>
  <c r="M228" i="6"/>
  <c r="L228" i="6"/>
  <c r="G228" i="6"/>
  <c r="D228" i="6"/>
  <c r="C228" i="6"/>
  <c r="B228" i="6"/>
  <c r="A228" i="6"/>
  <c r="AJ227" i="6"/>
  <c r="AI227" i="6"/>
  <c r="AH227" i="6"/>
  <c r="AG227" i="6"/>
  <c r="AF227" i="6"/>
  <c r="AE227" i="6"/>
  <c r="AD227" i="6"/>
  <c r="AC227" i="6"/>
  <c r="AB227" i="6"/>
  <c r="AA227" i="6"/>
  <c r="Z227" i="6"/>
  <c r="Y227" i="6"/>
  <c r="X227" i="6"/>
  <c r="V227" i="6"/>
  <c r="U227" i="6"/>
  <c r="T227" i="6"/>
  <c r="S227" i="6"/>
  <c r="R227" i="6"/>
  <c r="Q227" i="6"/>
  <c r="P227" i="6"/>
  <c r="O227" i="6"/>
  <c r="N227" i="6"/>
  <c r="M227" i="6"/>
  <c r="L227" i="6"/>
  <c r="G227" i="6"/>
  <c r="D227" i="6"/>
  <c r="C227" i="6"/>
  <c r="B227" i="6"/>
  <c r="A227" i="6"/>
  <c r="AJ226" i="6"/>
  <c r="AI226" i="6"/>
  <c r="AH226" i="6"/>
  <c r="AG226" i="6"/>
  <c r="AF226" i="6"/>
  <c r="AE226" i="6"/>
  <c r="AD226" i="6"/>
  <c r="AC226" i="6"/>
  <c r="AB226" i="6"/>
  <c r="AA226" i="6"/>
  <c r="Z226" i="6"/>
  <c r="Y226" i="6"/>
  <c r="X226" i="6"/>
  <c r="V226" i="6"/>
  <c r="U226" i="6"/>
  <c r="T226" i="6"/>
  <c r="S226" i="6"/>
  <c r="R226" i="6"/>
  <c r="Q226" i="6"/>
  <c r="P226" i="6"/>
  <c r="O226" i="6"/>
  <c r="N226" i="6"/>
  <c r="M226" i="6"/>
  <c r="L226" i="6"/>
  <c r="G226" i="6"/>
  <c r="D226" i="6"/>
  <c r="C226" i="6"/>
  <c r="B226" i="6"/>
  <c r="A226" i="6"/>
  <c r="AJ225" i="6"/>
  <c r="AI225" i="6"/>
  <c r="AH225" i="6"/>
  <c r="AG225" i="6"/>
  <c r="AF225" i="6"/>
  <c r="AE225" i="6"/>
  <c r="AD225" i="6"/>
  <c r="AC225" i="6"/>
  <c r="AB225" i="6"/>
  <c r="AA225" i="6"/>
  <c r="Z225" i="6"/>
  <c r="Y225" i="6"/>
  <c r="X225" i="6"/>
  <c r="V225" i="6"/>
  <c r="U225" i="6"/>
  <c r="T225" i="6"/>
  <c r="S225" i="6"/>
  <c r="R225" i="6"/>
  <c r="Q225" i="6"/>
  <c r="P225" i="6"/>
  <c r="O225" i="6"/>
  <c r="N225" i="6"/>
  <c r="M225" i="6"/>
  <c r="L225" i="6"/>
  <c r="G225" i="6"/>
  <c r="D225" i="6"/>
  <c r="C225" i="6"/>
  <c r="B225" i="6"/>
  <c r="A225" i="6"/>
  <c r="AJ224" i="6"/>
  <c r="AI224" i="6"/>
  <c r="AH224" i="6"/>
  <c r="AG224" i="6"/>
  <c r="AF224" i="6"/>
  <c r="AE224" i="6"/>
  <c r="AD224" i="6"/>
  <c r="AC224" i="6"/>
  <c r="AB224" i="6"/>
  <c r="AA224" i="6"/>
  <c r="Z224" i="6"/>
  <c r="Y224" i="6"/>
  <c r="X224" i="6"/>
  <c r="V224" i="6"/>
  <c r="U224" i="6"/>
  <c r="T224" i="6"/>
  <c r="S224" i="6"/>
  <c r="R224" i="6"/>
  <c r="Q224" i="6"/>
  <c r="O224" i="6"/>
  <c r="N224" i="6"/>
  <c r="M224" i="6"/>
  <c r="L224" i="6"/>
  <c r="G224" i="6"/>
  <c r="D224" i="6"/>
  <c r="C224" i="6"/>
  <c r="B224" i="6"/>
  <c r="A224" i="6"/>
  <c r="AJ223" i="6"/>
  <c r="AI223" i="6"/>
  <c r="AH223" i="6"/>
  <c r="AG223" i="6"/>
  <c r="AF223" i="6"/>
  <c r="AE223" i="6"/>
  <c r="AD223" i="6"/>
  <c r="AC223" i="6"/>
  <c r="AB223" i="6"/>
  <c r="AA223" i="6"/>
  <c r="Z223" i="6"/>
  <c r="Y223" i="6"/>
  <c r="X223" i="6"/>
  <c r="V223" i="6"/>
  <c r="U223" i="6"/>
  <c r="T223" i="6"/>
  <c r="S223" i="6"/>
  <c r="R223" i="6"/>
  <c r="Q223" i="6"/>
  <c r="O223" i="6"/>
  <c r="N223" i="6"/>
  <c r="M223" i="6"/>
  <c r="L223" i="6"/>
  <c r="G223" i="6"/>
  <c r="D223" i="6"/>
  <c r="C223" i="6"/>
  <c r="B223" i="6"/>
  <c r="A223" i="6"/>
  <c r="AJ222" i="6"/>
  <c r="AI222" i="6"/>
  <c r="AH222" i="6"/>
  <c r="AG222" i="6"/>
  <c r="AF222" i="6"/>
  <c r="AE222" i="6"/>
  <c r="AD222" i="6"/>
  <c r="AC222" i="6"/>
  <c r="AB222" i="6"/>
  <c r="AA222" i="6"/>
  <c r="Z222" i="6"/>
  <c r="Y222" i="6"/>
  <c r="X222" i="6"/>
  <c r="V222" i="6"/>
  <c r="U222" i="6"/>
  <c r="T222" i="6"/>
  <c r="S222" i="6"/>
  <c r="R222" i="6"/>
  <c r="Q222" i="6"/>
  <c r="P222" i="6"/>
  <c r="O222" i="6"/>
  <c r="N222" i="6"/>
  <c r="M222" i="6"/>
  <c r="L222" i="6"/>
  <c r="G222" i="6"/>
  <c r="D222" i="6"/>
  <c r="C222" i="6"/>
  <c r="B222" i="6"/>
  <c r="A222" i="6"/>
  <c r="AJ221" i="6"/>
  <c r="AI221" i="6"/>
  <c r="AH221" i="6"/>
  <c r="AG221" i="6"/>
  <c r="AF221" i="6"/>
  <c r="AE221" i="6"/>
  <c r="AD221" i="6"/>
  <c r="AC221" i="6"/>
  <c r="AB221" i="6"/>
  <c r="AA221" i="6"/>
  <c r="Z221" i="6"/>
  <c r="Y221" i="6"/>
  <c r="X221" i="6"/>
  <c r="V221" i="6"/>
  <c r="U221" i="6"/>
  <c r="T221" i="6"/>
  <c r="S221" i="6"/>
  <c r="R221" i="6"/>
  <c r="Q221" i="6"/>
  <c r="P221" i="6"/>
  <c r="O221" i="6"/>
  <c r="N221" i="6"/>
  <c r="M221" i="6"/>
  <c r="L221" i="6"/>
  <c r="G221" i="6"/>
  <c r="D221" i="6"/>
  <c r="C221" i="6"/>
  <c r="B221" i="6"/>
  <c r="A221" i="6"/>
  <c r="AJ220" i="6"/>
  <c r="AI220" i="6"/>
  <c r="AH220" i="6"/>
  <c r="AG220" i="6"/>
  <c r="AF220" i="6"/>
  <c r="AE220" i="6"/>
  <c r="AD220" i="6"/>
  <c r="AC220" i="6"/>
  <c r="AB220" i="6"/>
  <c r="AA220" i="6"/>
  <c r="Z220" i="6"/>
  <c r="Y220" i="6"/>
  <c r="X220" i="6"/>
  <c r="V220" i="6"/>
  <c r="U220" i="6"/>
  <c r="T220" i="6"/>
  <c r="S220" i="6"/>
  <c r="R220" i="6"/>
  <c r="Q220" i="6"/>
  <c r="O220" i="6"/>
  <c r="N220" i="6"/>
  <c r="M220" i="6"/>
  <c r="L220" i="6"/>
  <c r="G220" i="6"/>
  <c r="D220" i="6"/>
  <c r="C220" i="6"/>
  <c r="B220" i="6"/>
  <c r="A220" i="6"/>
  <c r="AJ219" i="6"/>
  <c r="AI219" i="6"/>
  <c r="AH219" i="6"/>
  <c r="AG219" i="6"/>
  <c r="AF219" i="6"/>
  <c r="AE219" i="6"/>
  <c r="AD219" i="6"/>
  <c r="AC219" i="6"/>
  <c r="AB219" i="6"/>
  <c r="AA219" i="6"/>
  <c r="Z219" i="6"/>
  <c r="Y219" i="6"/>
  <c r="X219" i="6"/>
  <c r="V219" i="6"/>
  <c r="U219" i="6"/>
  <c r="T219" i="6"/>
  <c r="S219" i="6"/>
  <c r="R219" i="6"/>
  <c r="Q219" i="6"/>
  <c r="O219" i="6"/>
  <c r="N219" i="6"/>
  <c r="M219" i="6"/>
  <c r="L219" i="6"/>
  <c r="G219" i="6"/>
  <c r="D219" i="6"/>
  <c r="C219" i="6"/>
  <c r="B219" i="6"/>
  <c r="A219" i="6"/>
  <c r="AJ218" i="6"/>
  <c r="AI218" i="6"/>
  <c r="AH218" i="6"/>
  <c r="AG218" i="6"/>
  <c r="AF218" i="6"/>
  <c r="AE218" i="6"/>
  <c r="AD218" i="6"/>
  <c r="AC218" i="6"/>
  <c r="AB218" i="6"/>
  <c r="AA218" i="6"/>
  <c r="Z218" i="6"/>
  <c r="Y218" i="6"/>
  <c r="X218" i="6"/>
  <c r="V218" i="6"/>
  <c r="U218" i="6"/>
  <c r="T218" i="6"/>
  <c r="S218" i="6"/>
  <c r="R218" i="6"/>
  <c r="Q218" i="6"/>
  <c r="P218" i="6"/>
  <c r="O218" i="6"/>
  <c r="N218" i="6"/>
  <c r="M218" i="6"/>
  <c r="L218" i="6"/>
  <c r="G218" i="6"/>
  <c r="D218" i="6"/>
  <c r="C218" i="6"/>
  <c r="B218" i="6"/>
  <c r="A218" i="6"/>
  <c r="AJ217" i="6"/>
  <c r="AI217" i="6"/>
  <c r="AH217" i="6"/>
  <c r="AG217" i="6"/>
  <c r="AF217" i="6"/>
  <c r="AE217" i="6"/>
  <c r="AD217" i="6"/>
  <c r="AC217" i="6"/>
  <c r="AB217" i="6"/>
  <c r="AA217" i="6"/>
  <c r="Z217" i="6"/>
  <c r="Y217" i="6"/>
  <c r="X217" i="6"/>
  <c r="V217" i="6"/>
  <c r="U217" i="6"/>
  <c r="T217" i="6"/>
  <c r="S217" i="6"/>
  <c r="R217" i="6"/>
  <c r="Q217" i="6"/>
  <c r="P217" i="6"/>
  <c r="O217" i="6"/>
  <c r="N217" i="6"/>
  <c r="M217" i="6"/>
  <c r="L217" i="6"/>
  <c r="G217" i="6"/>
  <c r="D217" i="6"/>
  <c r="C217" i="6"/>
  <c r="B217" i="6"/>
  <c r="A217" i="6"/>
  <c r="AJ216" i="6"/>
  <c r="AI216" i="6"/>
  <c r="AH216" i="6"/>
  <c r="AG216" i="6"/>
  <c r="AF216" i="6"/>
  <c r="AE216" i="6"/>
  <c r="AD216" i="6"/>
  <c r="AC216" i="6"/>
  <c r="AB216" i="6"/>
  <c r="AA216" i="6"/>
  <c r="Z216" i="6"/>
  <c r="Y216" i="6"/>
  <c r="X216" i="6"/>
  <c r="V216" i="6"/>
  <c r="U216" i="6"/>
  <c r="T216" i="6"/>
  <c r="S216" i="6"/>
  <c r="R216" i="6"/>
  <c r="Q216" i="6"/>
  <c r="O216" i="6"/>
  <c r="N216" i="6"/>
  <c r="M216" i="6"/>
  <c r="L216" i="6"/>
  <c r="G216" i="6"/>
  <c r="D216" i="6"/>
  <c r="C216" i="6"/>
  <c r="B216" i="6"/>
  <c r="A216" i="6"/>
  <c r="AJ215" i="6"/>
  <c r="AI215" i="6"/>
  <c r="AH215" i="6"/>
  <c r="AG215" i="6"/>
  <c r="AF215" i="6"/>
  <c r="AE215" i="6"/>
  <c r="AD215" i="6"/>
  <c r="AC215" i="6"/>
  <c r="AB215" i="6"/>
  <c r="AA215" i="6"/>
  <c r="Z215" i="6"/>
  <c r="Y215" i="6"/>
  <c r="X215" i="6"/>
  <c r="V215" i="6"/>
  <c r="U215" i="6"/>
  <c r="T215" i="6"/>
  <c r="S215" i="6"/>
  <c r="R215" i="6"/>
  <c r="Q215" i="6"/>
  <c r="P215" i="6"/>
  <c r="O215" i="6"/>
  <c r="N215" i="6"/>
  <c r="M215" i="6"/>
  <c r="L215" i="6"/>
  <c r="G215" i="6"/>
  <c r="D215" i="6"/>
  <c r="C215" i="6"/>
  <c r="B215" i="6"/>
  <c r="A215" i="6"/>
  <c r="AJ214" i="6"/>
  <c r="AI214" i="6"/>
  <c r="AH214" i="6"/>
  <c r="AG214" i="6"/>
  <c r="AF214" i="6"/>
  <c r="AE214" i="6"/>
  <c r="AD214" i="6"/>
  <c r="AC214" i="6"/>
  <c r="AB214" i="6"/>
  <c r="AA214" i="6"/>
  <c r="Z214" i="6"/>
  <c r="Y214" i="6"/>
  <c r="X214" i="6"/>
  <c r="V214" i="6"/>
  <c r="U214" i="6"/>
  <c r="T214" i="6"/>
  <c r="S214" i="6"/>
  <c r="R214" i="6"/>
  <c r="Q214" i="6"/>
  <c r="P214" i="6"/>
  <c r="O214" i="6"/>
  <c r="N214" i="6"/>
  <c r="M214" i="6"/>
  <c r="L214" i="6"/>
  <c r="G214" i="6"/>
  <c r="D214" i="6"/>
  <c r="C214" i="6"/>
  <c r="B214" i="6"/>
  <c r="A214" i="6"/>
  <c r="AJ213" i="6"/>
  <c r="AI213" i="6"/>
  <c r="AH213" i="6"/>
  <c r="AG213" i="6"/>
  <c r="AF213" i="6"/>
  <c r="AE213" i="6"/>
  <c r="AD213" i="6"/>
  <c r="AC213" i="6"/>
  <c r="AB213" i="6"/>
  <c r="AA213" i="6"/>
  <c r="Z213" i="6"/>
  <c r="Y213" i="6"/>
  <c r="X213" i="6"/>
  <c r="V213" i="6"/>
  <c r="U213" i="6"/>
  <c r="T213" i="6"/>
  <c r="S213" i="6"/>
  <c r="R213" i="6"/>
  <c r="Q213" i="6"/>
  <c r="P213" i="6"/>
  <c r="O213" i="6"/>
  <c r="N213" i="6"/>
  <c r="M213" i="6"/>
  <c r="L213" i="6"/>
  <c r="G213" i="6"/>
  <c r="D213" i="6"/>
  <c r="C213" i="6"/>
  <c r="B213" i="6"/>
  <c r="A213" i="6"/>
  <c r="AJ212" i="6"/>
  <c r="AI212" i="6"/>
  <c r="AH212" i="6"/>
  <c r="AG212" i="6"/>
  <c r="AF212" i="6"/>
  <c r="AE212" i="6"/>
  <c r="AD212" i="6"/>
  <c r="AC212" i="6"/>
  <c r="AB212" i="6"/>
  <c r="AA212" i="6"/>
  <c r="Z212" i="6"/>
  <c r="Y212" i="6"/>
  <c r="X212" i="6"/>
  <c r="V212" i="6"/>
  <c r="U212" i="6"/>
  <c r="T212" i="6"/>
  <c r="S212" i="6"/>
  <c r="R212" i="6"/>
  <c r="Q212" i="6"/>
  <c r="P212" i="6"/>
  <c r="O212" i="6"/>
  <c r="N212" i="6"/>
  <c r="M212" i="6"/>
  <c r="L212" i="6"/>
  <c r="G212" i="6"/>
  <c r="D212" i="6"/>
  <c r="C212" i="6"/>
  <c r="B212" i="6"/>
  <c r="A212" i="6"/>
  <c r="AJ211" i="6"/>
  <c r="AI211" i="6"/>
  <c r="AH211" i="6"/>
  <c r="AG211" i="6"/>
  <c r="AF211" i="6"/>
  <c r="AE211" i="6"/>
  <c r="AD211" i="6"/>
  <c r="AC211" i="6"/>
  <c r="AB211" i="6"/>
  <c r="AA211" i="6"/>
  <c r="Z211" i="6"/>
  <c r="Y211" i="6"/>
  <c r="X211" i="6"/>
  <c r="V211" i="6"/>
  <c r="U211" i="6"/>
  <c r="T211" i="6"/>
  <c r="S211" i="6"/>
  <c r="R211" i="6"/>
  <c r="Q211" i="6"/>
  <c r="O211" i="6"/>
  <c r="N211" i="6"/>
  <c r="M211" i="6"/>
  <c r="L211" i="6"/>
  <c r="G211" i="6"/>
  <c r="D211" i="6"/>
  <c r="C211" i="6"/>
  <c r="B211" i="6"/>
  <c r="A211" i="6"/>
  <c r="AJ210" i="6"/>
  <c r="AI210" i="6"/>
  <c r="AH210" i="6"/>
  <c r="AG210" i="6"/>
  <c r="AF210" i="6"/>
  <c r="AE210" i="6"/>
  <c r="AD210" i="6"/>
  <c r="AC210" i="6"/>
  <c r="AB210" i="6"/>
  <c r="AA210" i="6"/>
  <c r="Z210" i="6"/>
  <c r="Y210" i="6"/>
  <c r="X210" i="6"/>
  <c r="V210" i="6"/>
  <c r="U210" i="6"/>
  <c r="T210" i="6"/>
  <c r="S210" i="6"/>
  <c r="R210" i="6"/>
  <c r="Q210" i="6"/>
  <c r="O210" i="6"/>
  <c r="N210" i="6"/>
  <c r="M210" i="6"/>
  <c r="L210" i="6"/>
  <c r="G210" i="6"/>
  <c r="D210" i="6"/>
  <c r="C210" i="6"/>
  <c r="B210" i="6"/>
  <c r="A210" i="6"/>
  <c r="AJ209" i="6"/>
  <c r="AI209" i="6"/>
  <c r="AH209" i="6"/>
  <c r="AG209" i="6"/>
  <c r="AF209" i="6"/>
  <c r="AE209" i="6"/>
  <c r="AD209" i="6"/>
  <c r="AC209" i="6"/>
  <c r="AB209" i="6"/>
  <c r="AA209" i="6"/>
  <c r="Z209" i="6"/>
  <c r="Y209" i="6"/>
  <c r="X209" i="6"/>
  <c r="V209" i="6"/>
  <c r="U209" i="6"/>
  <c r="T209" i="6"/>
  <c r="S209" i="6"/>
  <c r="R209" i="6"/>
  <c r="Q209" i="6"/>
  <c r="P209" i="6"/>
  <c r="O209" i="6"/>
  <c r="N209" i="6"/>
  <c r="M209" i="6"/>
  <c r="L209" i="6"/>
  <c r="G209" i="6"/>
  <c r="D209" i="6"/>
  <c r="C209" i="6"/>
  <c r="B209" i="6"/>
  <c r="A209" i="6"/>
  <c r="AJ208" i="6"/>
  <c r="AI208" i="6"/>
  <c r="AH208" i="6"/>
  <c r="AG208" i="6"/>
  <c r="AF208" i="6"/>
  <c r="AE208" i="6"/>
  <c r="AD208" i="6"/>
  <c r="AC208" i="6"/>
  <c r="AB208" i="6"/>
  <c r="AA208" i="6"/>
  <c r="Z208" i="6"/>
  <c r="Y208" i="6"/>
  <c r="X208" i="6"/>
  <c r="V208" i="6"/>
  <c r="U208" i="6"/>
  <c r="T208" i="6"/>
  <c r="S208" i="6"/>
  <c r="R208" i="6"/>
  <c r="Q208" i="6"/>
  <c r="O208" i="6"/>
  <c r="N208" i="6"/>
  <c r="M208" i="6"/>
  <c r="L208" i="6"/>
  <c r="G208" i="6"/>
  <c r="D208" i="6"/>
  <c r="C208" i="6"/>
  <c r="B208" i="6"/>
  <c r="A208" i="6"/>
  <c r="AJ207" i="6"/>
  <c r="AI207" i="6"/>
  <c r="AH207" i="6"/>
  <c r="AG207" i="6"/>
  <c r="AF207" i="6"/>
  <c r="AE207" i="6"/>
  <c r="AD207" i="6"/>
  <c r="AC207" i="6"/>
  <c r="AB207" i="6"/>
  <c r="AA207" i="6"/>
  <c r="Z207" i="6"/>
  <c r="Y207" i="6"/>
  <c r="X207" i="6"/>
  <c r="V207" i="6"/>
  <c r="U207" i="6"/>
  <c r="T207" i="6"/>
  <c r="S207" i="6"/>
  <c r="R207" i="6"/>
  <c r="Q207" i="6"/>
  <c r="O207" i="6"/>
  <c r="N207" i="6"/>
  <c r="M207" i="6"/>
  <c r="L207" i="6"/>
  <c r="G207" i="6"/>
  <c r="D207" i="6"/>
  <c r="C207" i="6"/>
  <c r="B207" i="6"/>
  <c r="A207" i="6"/>
  <c r="AJ206" i="6"/>
  <c r="AI206" i="6"/>
  <c r="AH206" i="6"/>
  <c r="AG206" i="6"/>
  <c r="AF206" i="6"/>
  <c r="AE206" i="6"/>
  <c r="AD206" i="6"/>
  <c r="AC206" i="6"/>
  <c r="AB206" i="6"/>
  <c r="AA206" i="6"/>
  <c r="Z206" i="6"/>
  <c r="Y206" i="6"/>
  <c r="X206" i="6"/>
  <c r="V206" i="6"/>
  <c r="U206" i="6"/>
  <c r="T206" i="6"/>
  <c r="S206" i="6"/>
  <c r="R206" i="6"/>
  <c r="Q206" i="6"/>
  <c r="O206" i="6"/>
  <c r="N206" i="6"/>
  <c r="M206" i="6"/>
  <c r="L206" i="6"/>
  <c r="G206" i="6"/>
  <c r="D206" i="6"/>
  <c r="C206" i="6"/>
  <c r="B206" i="6"/>
  <c r="A206" i="6"/>
  <c r="AJ205" i="6"/>
  <c r="AI205" i="6"/>
  <c r="AH205" i="6"/>
  <c r="AG205" i="6"/>
  <c r="AF205" i="6"/>
  <c r="AE205" i="6"/>
  <c r="AD205" i="6"/>
  <c r="AC205" i="6"/>
  <c r="AB205" i="6"/>
  <c r="AA205" i="6"/>
  <c r="Z205" i="6"/>
  <c r="Y205" i="6"/>
  <c r="X205" i="6"/>
  <c r="V205" i="6"/>
  <c r="U205" i="6"/>
  <c r="T205" i="6"/>
  <c r="S205" i="6"/>
  <c r="R205" i="6"/>
  <c r="Q205" i="6"/>
  <c r="O205" i="6"/>
  <c r="N205" i="6"/>
  <c r="M205" i="6"/>
  <c r="L205" i="6"/>
  <c r="G205" i="6"/>
  <c r="D205" i="6"/>
  <c r="C205" i="6"/>
  <c r="B205" i="6"/>
  <c r="A205" i="6"/>
  <c r="AJ204" i="6"/>
  <c r="AI204" i="6"/>
  <c r="AH204" i="6"/>
  <c r="AG204" i="6"/>
  <c r="AF204" i="6"/>
  <c r="AE204" i="6"/>
  <c r="AD204" i="6"/>
  <c r="AC204" i="6"/>
  <c r="AB204" i="6"/>
  <c r="AA204" i="6"/>
  <c r="Z204" i="6"/>
  <c r="Y204" i="6"/>
  <c r="X204" i="6"/>
  <c r="V204" i="6"/>
  <c r="U204" i="6"/>
  <c r="T204" i="6"/>
  <c r="S204" i="6"/>
  <c r="R204" i="6"/>
  <c r="Q204" i="6"/>
  <c r="O204" i="6"/>
  <c r="N204" i="6"/>
  <c r="M204" i="6"/>
  <c r="L204" i="6"/>
  <c r="G204" i="6"/>
  <c r="D204" i="6"/>
  <c r="C204" i="6"/>
  <c r="B204" i="6"/>
  <c r="A204" i="6"/>
  <c r="AJ203" i="6"/>
  <c r="AI203" i="6"/>
  <c r="AH203" i="6"/>
  <c r="AG203" i="6"/>
  <c r="AF203" i="6"/>
  <c r="AE203" i="6"/>
  <c r="AD203" i="6"/>
  <c r="AC203" i="6"/>
  <c r="AB203" i="6"/>
  <c r="AA203" i="6"/>
  <c r="Z203" i="6"/>
  <c r="Y203" i="6"/>
  <c r="X203" i="6"/>
  <c r="V203" i="6"/>
  <c r="U203" i="6"/>
  <c r="T203" i="6"/>
  <c r="S203" i="6"/>
  <c r="R203" i="6"/>
  <c r="Q203" i="6"/>
  <c r="O203" i="6"/>
  <c r="N203" i="6"/>
  <c r="M203" i="6"/>
  <c r="L203" i="6"/>
  <c r="G203" i="6"/>
  <c r="D203" i="6"/>
  <c r="C203" i="6"/>
  <c r="B203" i="6"/>
  <c r="A203" i="6"/>
  <c r="AJ202" i="6"/>
  <c r="AI202" i="6"/>
  <c r="AH202" i="6"/>
  <c r="AG202" i="6"/>
  <c r="AF202" i="6"/>
  <c r="AE202" i="6"/>
  <c r="AD202" i="6"/>
  <c r="AC202" i="6"/>
  <c r="AB202" i="6"/>
  <c r="AA202" i="6"/>
  <c r="Z202" i="6"/>
  <c r="Y202" i="6"/>
  <c r="X202" i="6"/>
  <c r="V202" i="6"/>
  <c r="U202" i="6"/>
  <c r="T202" i="6"/>
  <c r="S202" i="6"/>
  <c r="R202" i="6"/>
  <c r="Q202" i="6"/>
  <c r="O202" i="6"/>
  <c r="N202" i="6"/>
  <c r="M202" i="6"/>
  <c r="L202" i="6"/>
  <c r="G202" i="6"/>
  <c r="D202" i="6"/>
  <c r="C202" i="6"/>
  <c r="B202" i="6"/>
  <c r="A202" i="6"/>
  <c r="AJ201" i="6"/>
  <c r="AI201" i="6"/>
  <c r="AH201" i="6"/>
  <c r="AG201" i="6"/>
  <c r="AF201" i="6"/>
  <c r="AE201" i="6"/>
  <c r="AD201" i="6"/>
  <c r="AC201" i="6"/>
  <c r="AB201" i="6"/>
  <c r="AA201" i="6"/>
  <c r="Z201" i="6"/>
  <c r="Y201" i="6"/>
  <c r="X201" i="6"/>
  <c r="V201" i="6"/>
  <c r="U201" i="6"/>
  <c r="T201" i="6"/>
  <c r="S201" i="6"/>
  <c r="R201" i="6"/>
  <c r="Q201" i="6"/>
  <c r="P201" i="6"/>
  <c r="O201" i="6"/>
  <c r="N201" i="6"/>
  <c r="M201" i="6"/>
  <c r="L201" i="6"/>
  <c r="G201" i="6"/>
  <c r="D201" i="6"/>
  <c r="C201" i="6"/>
  <c r="B201" i="6"/>
  <c r="A201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V200" i="6"/>
  <c r="U200" i="6"/>
  <c r="T200" i="6"/>
  <c r="S200" i="6"/>
  <c r="R200" i="6"/>
  <c r="Q200" i="6"/>
  <c r="P200" i="6"/>
  <c r="O200" i="6"/>
  <c r="N200" i="6"/>
  <c r="M200" i="6"/>
  <c r="L200" i="6"/>
  <c r="G200" i="6"/>
  <c r="D200" i="6"/>
  <c r="C200" i="6"/>
  <c r="B200" i="6"/>
  <c r="A200" i="6"/>
  <c r="AJ199" i="6"/>
  <c r="AI199" i="6"/>
  <c r="AH199" i="6"/>
  <c r="AG199" i="6"/>
  <c r="AF199" i="6"/>
  <c r="AE199" i="6"/>
  <c r="AD199" i="6"/>
  <c r="AC199" i="6"/>
  <c r="AB199" i="6"/>
  <c r="AA199" i="6"/>
  <c r="Z199" i="6"/>
  <c r="Y199" i="6"/>
  <c r="X199" i="6"/>
  <c r="V199" i="6"/>
  <c r="U199" i="6"/>
  <c r="T199" i="6"/>
  <c r="S199" i="6"/>
  <c r="R199" i="6"/>
  <c r="Q199" i="6"/>
  <c r="P199" i="6"/>
  <c r="O199" i="6"/>
  <c r="N199" i="6"/>
  <c r="M199" i="6"/>
  <c r="L199" i="6"/>
  <c r="G199" i="6"/>
  <c r="D199" i="6"/>
  <c r="C199" i="6"/>
  <c r="B199" i="6"/>
  <c r="A199" i="6"/>
  <c r="AJ198" i="6"/>
  <c r="AI198" i="6"/>
  <c r="AH198" i="6"/>
  <c r="AG198" i="6"/>
  <c r="AF198" i="6"/>
  <c r="AE198" i="6"/>
  <c r="AD198" i="6"/>
  <c r="AC198" i="6"/>
  <c r="AB198" i="6"/>
  <c r="AA198" i="6"/>
  <c r="Z198" i="6"/>
  <c r="Y198" i="6"/>
  <c r="X198" i="6"/>
  <c r="V198" i="6"/>
  <c r="U198" i="6"/>
  <c r="T198" i="6"/>
  <c r="S198" i="6"/>
  <c r="R198" i="6"/>
  <c r="Q198" i="6"/>
  <c r="P198" i="6"/>
  <c r="O198" i="6"/>
  <c r="N198" i="6"/>
  <c r="M198" i="6"/>
  <c r="L198" i="6"/>
  <c r="G198" i="6"/>
  <c r="D198" i="6"/>
  <c r="C198" i="6"/>
  <c r="B198" i="6"/>
  <c r="A198" i="6"/>
  <c r="AJ197" i="6"/>
  <c r="AI197" i="6"/>
  <c r="AH197" i="6"/>
  <c r="AG197" i="6"/>
  <c r="AF197" i="6"/>
  <c r="AE197" i="6"/>
  <c r="AD197" i="6"/>
  <c r="AC197" i="6"/>
  <c r="AB197" i="6"/>
  <c r="AA197" i="6"/>
  <c r="Z197" i="6"/>
  <c r="Y197" i="6"/>
  <c r="X197" i="6"/>
  <c r="V197" i="6"/>
  <c r="U197" i="6"/>
  <c r="T197" i="6"/>
  <c r="S197" i="6"/>
  <c r="R197" i="6"/>
  <c r="Q197" i="6"/>
  <c r="O197" i="6"/>
  <c r="N197" i="6"/>
  <c r="M197" i="6"/>
  <c r="L197" i="6"/>
  <c r="G197" i="6"/>
  <c r="D197" i="6"/>
  <c r="C197" i="6"/>
  <c r="B197" i="6"/>
  <c r="A197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X196" i="6"/>
  <c r="V196" i="6"/>
  <c r="U196" i="6"/>
  <c r="T196" i="6"/>
  <c r="S196" i="6"/>
  <c r="R196" i="6"/>
  <c r="Q196" i="6"/>
  <c r="O196" i="6"/>
  <c r="N196" i="6"/>
  <c r="M196" i="6"/>
  <c r="L196" i="6"/>
  <c r="G196" i="6"/>
  <c r="D196" i="6"/>
  <c r="C196" i="6"/>
  <c r="B196" i="6"/>
  <c r="A196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X195" i="6"/>
  <c r="V195" i="6"/>
  <c r="U195" i="6"/>
  <c r="T195" i="6"/>
  <c r="S195" i="6"/>
  <c r="R195" i="6"/>
  <c r="Q195" i="6"/>
  <c r="P195" i="6"/>
  <c r="O195" i="6"/>
  <c r="N195" i="6"/>
  <c r="M195" i="6"/>
  <c r="L195" i="6"/>
  <c r="G195" i="6"/>
  <c r="D195" i="6"/>
  <c r="C195" i="6"/>
  <c r="B195" i="6"/>
  <c r="A195" i="6"/>
  <c r="AJ194" i="6"/>
  <c r="AI194" i="6"/>
  <c r="AH194" i="6"/>
  <c r="AG194" i="6"/>
  <c r="AF194" i="6"/>
  <c r="AE194" i="6"/>
  <c r="AD194" i="6"/>
  <c r="AC194" i="6"/>
  <c r="AB194" i="6"/>
  <c r="AA194" i="6"/>
  <c r="Z194" i="6"/>
  <c r="Y194" i="6"/>
  <c r="X194" i="6"/>
  <c r="V194" i="6"/>
  <c r="U194" i="6"/>
  <c r="T194" i="6"/>
  <c r="S194" i="6"/>
  <c r="R194" i="6"/>
  <c r="Q194" i="6"/>
  <c r="O194" i="6"/>
  <c r="N194" i="6"/>
  <c r="M194" i="6"/>
  <c r="L194" i="6"/>
  <c r="G194" i="6"/>
  <c r="D194" i="6"/>
  <c r="C194" i="6"/>
  <c r="B194" i="6"/>
  <c r="A194" i="6"/>
  <c r="AJ193" i="6"/>
  <c r="AI193" i="6"/>
  <c r="AH193" i="6"/>
  <c r="AG193" i="6"/>
  <c r="AF193" i="6"/>
  <c r="AE193" i="6"/>
  <c r="AD193" i="6"/>
  <c r="AC193" i="6"/>
  <c r="AB193" i="6"/>
  <c r="AA193" i="6"/>
  <c r="Z193" i="6"/>
  <c r="Y193" i="6"/>
  <c r="X193" i="6"/>
  <c r="V193" i="6"/>
  <c r="U193" i="6"/>
  <c r="T193" i="6"/>
  <c r="S193" i="6"/>
  <c r="R193" i="6"/>
  <c r="Q193" i="6"/>
  <c r="O193" i="6"/>
  <c r="N193" i="6"/>
  <c r="M193" i="6"/>
  <c r="L193" i="6"/>
  <c r="G193" i="6"/>
  <c r="D193" i="6"/>
  <c r="C193" i="6"/>
  <c r="B193" i="6"/>
  <c r="A193" i="6"/>
  <c r="AJ192" i="6"/>
  <c r="AI192" i="6"/>
  <c r="AH192" i="6"/>
  <c r="AG192" i="6"/>
  <c r="AF192" i="6"/>
  <c r="AE192" i="6"/>
  <c r="AD192" i="6"/>
  <c r="AC192" i="6"/>
  <c r="AB192" i="6"/>
  <c r="AA192" i="6"/>
  <c r="Z192" i="6"/>
  <c r="Y192" i="6"/>
  <c r="X192" i="6"/>
  <c r="V192" i="6"/>
  <c r="U192" i="6"/>
  <c r="T192" i="6"/>
  <c r="S192" i="6"/>
  <c r="R192" i="6"/>
  <c r="Q192" i="6"/>
  <c r="P192" i="6"/>
  <c r="O192" i="6"/>
  <c r="N192" i="6"/>
  <c r="M192" i="6"/>
  <c r="L192" i="6"/>
  <c r="G192" i="6"/>
  <c r="D192" i="6"/>
  <c r="C192" i="6"/>
  <c r="B192" i="6"/>
  <c r="A192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V191" i="6"/>
  <c r="U191" i="6"/>
  <c r="T191" i="6"/>
  <c r="S191" i="6"/>
  <c r="R191" i="6"/>
  <c r="Q191" i="6"/>
  <c r="O191" i="6"/>
  <c r="N191" i="6"/>
  <c r="M191" i="6"/>
  <c r="L191" i="6"/>
  <c r="G191" i="6"/>
  <c r="D191" i="6"/>
  <c r="C191" i="6"/>
  <c r="B191" i="6"/>
  <c r="A191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V190" i="6"/>
  <c r="U190" i="6"/>
  <c r="T190" i="6"/>
  <c r="S190" i="6"/>
  <c r="R190" i="6"/>
  <c r="Q190" i="6"/>
  <c r="O190" i="6"/>
  <c r="N190" i="6"/>
  <c r="M190" i="6"/>
  <c r="L190" i="6"/>
  <c r="G190" i="6"/>
  <c r="D190" i="6"/>
  <c r="C190" i="6"/>
  <c r="B190" i="6"/>
  <c r="A190" i="6"/>
  <c r="AJ189" i="6"/>
  <c r="AI189" i="6"/>
  <c r="AH189" i="6"/>
  <c r="AG189" i="6"/>
  <c r="AF189" i="6"/>
  <c r="AE189" i="6"/>
  <c r="AD189" i="6"/>
  <c r="AC189" i="6"/>
  <c r="AB189" i="6"/>
  <c r="AA189" i="6"/>
  <c r="Z189" i="6"/>
  <c r="Y189" i="6"/>
  <c r="X189" i="6"/>
  <c r="V189" i="6"/>
  <c r="U189" i="6"/>
  <c r="T189" i="6"/>
  <c r="S189" i="6"/>
  <c r="R189" i="6"/>
  <c r="Q189" i="6"/>
  <c r="O189" i="6"/>
  <c r="N189" i="6"/>
  <c r="M189" i="6"/>
  <c r="L189" i="6"/>
  <c r="G189" i="6"/>
  <c r="D189" i="6"/>
  <c r="C189" i="6"/>
  <c r="B189" i="6"/>
  <c r="A189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V188" i="6"/>
  <c r="U188" i="6"/>
  <c r="T188" i="6"/>
  <c r="S188" i="6"/>
  <c r="R188" i="6"/>
  <c r="Q188" i="6"/>
  <c r="O188" i="6"/>
  <c r="N188" i="6"/>
  <c r="M188" i="6"/>
  <c r="L188" i="6"/>
  <c r="G188" i="6"/>
  <c r="D188" i="6"/>
  <c r="C188" i="6"/>
  <c r="B188" i="6"/>
  <c r="A188" i="6"/>
  <c r="AJ187" i="6"/>
  <c r="AI187" i="6"/>
  <c r="AH187" i="6"/>
  <c r="AG187" i="6"/>
  <c r="AF187" i="6"/>
  <c r="AE187" i="6"/>
  <c r="AD187" i="6"/>
  <c r="AC187" i="6"/>
  <c r="AB187" i="6"/>
  <c r="AA187" i="6"/>
  <c r="Z187" i="6"/>
  <c r="Y187" i="6"/>
  <c r="X187" i="6"/>
  <c r="V187" i="6"/>
  <c r="U187" i="6"/>
  <c r="T187" i="6"/>
  <c r="S187" i="6"/>
  <c r="R187" i="6"/>
  <c r="Q187" i="6"/>
  <c r="O187" i="6"/>
  <c r="N187" i="6"/>
  <c r="M187" i="6"/>
  <c r="L187" i="6"/>
  <c r="G187" i="6"/>
  <c r="D187" i="6"/>
  <c r="C187" i="6"/>
  <c r="B187" i="6"/>
  <c r="A187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X186" i="6"/>
  <c r="V186" i="6"/>
  <c r="U186" i="6"/>
  <c r="T186" i="6"/>
  <c r="S186" i="6"/>
  <c r="R186" i="6"/>
  <c r="Q186" i="6"/>
  <c r="O186" i="6"/>
  <c r="N186" i="6"/>
  <c r="M186" i="6"/>
  <c r="L186" i="6"/>
  <c r="G186" i="6"/>
  <c r="D186" i="6"/>
  <c r="C186" i="6"/>
  <c r="B186" i="6"/>
  <c r="A186" i="6"/>
  <c r="AJ185" i="6"/>
  <c r="AI185" i="6"/>
  <c r="AH185" i="6"/>
  <c r="AG185" i="6"/>
  <c r="AF185" i="6"/>
  <c r="AE185" i="6"/>
  <c r="AD185" i="6"/>
  <c r="AC185" i="6"/>
  <c r="AB185" i="6"/>
  <c r="AA185" i="6"/>
  <c r="Z185" i="6"/>
  <c r="Y185" i="6"/>
  <c r="X185" i="6"/>
  <c r="V185" i="6"/>
  <c r="U185" i="6"/>
  <c r="T185" i="6"/>
  <c r="S185" i="6"/>
  <c r="R185" i="6"/>
  <c r="Q185" i="6"/>
  <c r="O185" i="6"/>
  <c r="N185" i="6"/>
  <c r="M185" i="6"/>
  <c r="L185" i="6"/>
  <c r="G185" i="6"/>
  <c r="D185" i="6"/>
  <c r="C185" i="6"/>
  <c r="B185" i="6"/>
  <c r="A185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X184" i="6"/>
  <c r="V184" i="6"/>
  <c r="U184" i="6"/>
  <c r="T184" i="6"/>
  <c r="S184" i="6"/>
  <c r="R184" i="6"/>
  <c r="Q184" i="6"/>
  <c r="O184" i="6"/>
  <c r="N184" i="6"/>
  <c r="M184" i="6"/>
  <c r="L184" i="6"/>
  <c r="G184" i="6"/>
  <c r="D184" i="6"/>
  <c r="C184" i="6"/>
  <c r="B184" i="6"/>
  <c r="A184" i="6"/>
  <c r="AJ183" i="6"/>
  <c r="AI183" i="6"/>
  <c r="AH183" i="6"/>
  <c r="AG183" i="6"/>
  <c r="AF183" i="6"/>
  <c r="AE183" i="6"/>
  <c r="AD183" i="6"/>
  <c r="AC183" i="6"/>
  <c r="AB183" i="6"/>
  <c r="AA183" i="6"/>
  <c r="Z183" i="6"/>
  <c r="Y183" i="6"/>
  <c r="X183" i="6"/>
  <c r="V183" i="6"/>
  <c r="U183" i="6"/>
  <c r="T183" i="6"/>
  <c r="S183" i="6"/>
  <c r="R183" i="6"/>
  <c r="Q183" i="6"/>
  <c r="P183" i="6"/>
  <c r="O183" i="6"/>
  <c r="N183" i="6"/>
  <c r="M183" i="6"/>
  <c r="L183" i="6"/>
  <c r="G183" i="6"/>
  <c r="D183" i="6"/>
  <c r="C183" i="6"/>
  <c r="B183" i="6"/>
  <c r="A183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V182" i="6"/>
  <c r="U182" i="6"/>
  <c r="T182" i="6"/>
  <c r="S182" i="6"/>
  <c r="R182" i="6"/>
  <c r="Q182" i="6"/>
  <c r="O182" i="6"/>
  <c r="N182" i="6"/>
  <c r="M182" i="6"/>
  <c r="L182" i="6"/>
  <c r="G182" i="6"/>
  <c r="D182" i="6"/>
  <c r="C182" i="6"/>
  <c r="B182" i="6"/>
  <c r="A182" i="6"/>
  <c r="AJ181" i="6"/>
  <c r="AI181" i="6"/>
  <c r="AH181" i="6"/>
  <c r="AG181" i="6"/>
  <c r="AF181" i="6"/>
  <c r="AE181" i="6"/>
  <c r="AD181" i="6"/>
  <c r="AC181" i="6"/>
  <c r="AB181" i="6"/>
  <c r="AA181" i="6"/>
  <c r="Z181" i="6"/>
  <c r="Y181" i="6"/>
  <c r="X181" i="6"/>
  <c r="V181" i="6"/>
  <c r="U181" i="6"/>
  <c r="T181" i="6"/>
  <c r="S181" i="6"/>
  <c r="R181" i="6"/>
  <c r="Q181" i="6"/>
  <c r="O181" i="6"/>
  <c r="N181" i="6"/>
  <c r="M181" i="6"/>
  <c r="L181" i="6"/>
  <c r="G181" i="6"/>
  <c r="D181" i="6"/>
  <c r="C181" i="6"/>
  <c r="B181" i="6"/>
  <c r="A181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V180" i="6"/>
  <c r="U180" i="6"/>
  <c r="T180" i="6"/>
  <c r="S180" i="6"/>
  <c r="R180" i="6"/>
  <c r="Q180" i="6"/>
  <c r="P180" i="6"/>
  <c r="O180" i="6"/>
  <c r="N180" i="6"/>
  <c r="M180" i="6"/>
  <c r="L180" i="6"/>
  <c r="G180" i="6"/>
  <c r="D180" i="6"/>
  <c r="C180" i="6"/>
  <c r="B180" i="6"/>
  <c r="A180" i="6"/>
  <c r="AJ179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V179" i="6"/>
  <c r="U179" i="6"/>
  <c r="T179" i="6"/>
  <c r="S179" i="6"/>
  <c r="R179" i="6"/>
  <c r="Q179" i="6"/>
  <c r="P179" i="6"/>
  <c r="O179" i="6"/>
  <c r="N179" i="6"/>
  <c r="M179" i="6"/>
  <c r="L179" i="6"/>
  <c r="G179" i="6"/>
  <c r="D179" i="6"/>
  <c r="C179" i="6"/>
  <c r="B179" i="6"/>
  <c r="A179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V178" i="6"/>
  <c r="U178" i="6"/>
  <c r="T178" i="6"/>
  <c r="S178" i="6"/>
  <c r="R178" i="6"/>
  <c r="Q178" i="6"/>
  <c r="P178" i="6"/>
  <c r="O178" i="6"/>
  <c r="N178" i="6"/>
  <c r="M178" i="6"/>
  <c r="L178" i="6"/>
  <c r="G178" i="6"/>
  <c r="D178" i="6"/>
  <c r="C178" i="6"/>
  <c r="B178" i="6"/>
  <c r="A178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V177" i="6"/>
  <c r="U177" i="6"/>
  <c r="T177" i="6"/>
  <c r="S177" i="6"/>
  <c r="R177" i="6"/>
  <c r="Q177" i="6"/>
  <c r="O177" i="6"/>
  <c r="N177" i="6"/>
  <c r="M177" i="6"/>
  <c r="L177" i="6"/>
  <c r="G177" i="6"/>
  <c r="D177" i="6"/>
  <c r="C177" i="6"/>
  <c r="B177" i="6"/>
  <c r="A177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V176" i="6"/>
  <c r="U176" i="6"/>
  <c r="T176" i="6"/>
  <c r="S176" i="6"/>
  <c r="R176" i="6"/>
  <c r="Q176" i="6"/>
  <c r="P176" i="6"/>
  <c r="O176" i="6"/>
  <c r="N176" i="6"/>
  <c r="M176" i="6"/>
  <c r="L176" i="6"/>
  <c r="G176" i="6"/>
  <c r="D176" i="6"/>
  <c r="C176" i="6"/>
  <c r="B176" i="6"/>
  <c r="A176" i="6"/>
  <c r="AJ175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V175" i="6"/>
  <c r="U175" i="6"/>
  <c r="T175" i="6"/>
  <c r="S175" i="6"/>
  <c r="R175" i="6"/>
  <c r="Q175" i="6"/>
  <c r="O175" i="6"/>
  <c r="N175" i="6"/>
  <c r="M175" i="6"/>
  <c r="L175" i="6"/>
  <c r="G175" i="6"/>
  <c r="D175" i="6"/>
  <c r="C175" i="6"/>
  <c r="B175" i="6"/>
  <c r="A175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V174" i="6"/>
  <c r="U174" i="6"/>
  <c r="T174" i="6"/>
  <c r="S174" i="6"/>
  <c r="R174" i="6"/>
  <c r="Q174" i="6"/>
  <c r="P174" i="6"/>
  <c r="O174" i="6"/>
  <c r="N174" i="6"/>
  <c r="M174" i="6"/>
  <c r="L174" i="6"/>
  <c r="G174" i="6"/>
  <c r="D174" i="6"/>
  <c r="C174" i="6"/>
  <c r="B174" i="6"/>
  <c r="A174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V173" i="6"/>
  <c r="U173" i="6"/>
  <c r="T173" i="6"/>
  <c r="S173" i="6"/>
  <c r="R173" i="6"/>
  <c r="Q173" i="6"/>
  <c r="O173" i="6"/>
  <c r="N173" i="6"/>
  <c r="M173" i="6"/>
  <c r="L173" i="6"/>
  <c r="G173" i="6"/>
  <c r="D173" i="6"/>
  <c r="C173" i="6"/>
  <c r="B173" i="6"/>
  <c r="A173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V172" i="6"/>
  <c r="U172" i="6"/>
  <c r="T172" i="6"/>
  <c r="S172" i="6"/>
  <c r="R172" i="6"/>
  <c r="Q172" i="6"/>
  <c r="O172" i="6"/>
  <c r="N172" i="6"/>
  <c r="M172" i="6"/>
  <c r="L172" i="6"/>
  <c r="G172" i="6"/>
  <c r="D172" i="6"/>
  <c r="C172" i="6"/>
  <c r="B172" i="6"/>
  <c r="A172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V171" i="6"/>
  <c r="U171" i="6"/>
  <c r="T171" i="6"/>
  <c r="S171" i="6"/>
  <c r="R171" i="6"/>
  <c r="Q171" i="6"/>
  <c r="O171" i="6"/>
  <c r="N171" i="6"/>
  <c r="M171" i="6"/>
  <c r="L171" i="6"/>
  <c r="G171" i="6"/>
  <c r="D171" i="6"/>
  <c r="C171" i="6"/>
  <c r="B171" i="6"/>
  <c r="A171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V170" i="6"/>
  <c r="U170" i="6"/>
  <c r="T170" i="6"/>
  <c r="S170" i="6"/>
  <c r="R170" i="6"/>
  <c r="Q170" i="6"/>
  <c r="O170" i="6"/>
  <c r="N170" i="6"/>
  <c r="M170" i="6"/>
  <c r="L170" i="6"/>
  <c r="G170" i="6"/>
  <c r="D170" i="6"/>
  <c r="C170" i="6"/>
  <c r="B170" i="6"/>
  <c r="A170" i="6"/>
  <c r="AJ169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V169" i="6"/>
  <c r="U169" i="6"/>
  <c r="T169" i="6"/>
  <c r="S169" i="6"/>
  <c r="R169" i="6"/>
  <c r="Q169" i="6"/>
  <c r="O169" i="6"/>
  <c r="N169" i="6"/>
  <c r="M169" i="6"/>
  <c r="L169" i="6"/>
  <c r="G169" i="6"/>
  <c r="D169" i="6"/>
  <c r="C169" i="6"/>
  <c r="B169" i="6"/>
  <c r="A169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V168" i="6"/>
  <c r="U168" i="6"/>
  <c r="T168" i="6"/>
  <c r="S168" i="6"/>
  <c r="R168" i="6"/>
  <c r="Q168" i="6"/>
  <c r="O168" i="6"/>
  <c r="N168" i="6"/>
  <c r="M168" i="6"/>
  <c r="L168" i="6"/>
  <c r="G168" i="6"/>
  <c r="D168" i="6"/>
  <c r="C168" i="6"/>
  <c r="B168" i="6"/>
  <c r="A168" i="6"/>
  <c r="AJ167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V167" i="6"/>
  <c r="U167" i="6"/>
  <c r="T167" i="6"/>
  <c r="S167" i="6"/>
  <c r="R167" i="6"/>
  <c r="Q167" i="6"/>
  <c r="O167" i="6"/>
  <c r="N167" i="6"/>
  <c r="M167" i="6"/>
  <c r="L167" i="6"/>
  <c r="G167" i="6"/>
  <c r="D167" i="6"/>
  <c r="C167" i="6"/>
  <c r="B167" i="6"/>
  <c r="A167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V166" i="6"/>
  <c r="U166" i="6"/>
  <c r="T166" i="6"/>
  <c r="S166" i="6"/>
  <c r="R166" i="6"/>
  <c r="Q166" i="6"/>
  <c r="P166" i="6"/>
  <c r="O166" i="6"/>
  <c r="N166" i="6"/>
  <c r="M166" i="6"/>
  <c r="L166" i="6"/>
  <c r="G166" i="6"/>
  <c r="D166" i="6"/>
  <c r="C166" i="6"/>
  <c r="B166" i="6"/>
  <c r="A166" i="6"/>
  <c r="AJ165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V165" i="6"/>
  <c r="U165" i="6"/>
  <c r="T165" i="6"/>
  <c r="S165" i="6"/>
  <c r="R165" i="6"/>
  <c r="Q165" i="6"/>
  <c r="O165" i="6"/>
  <c r="N165" i="6"/>
  <c r="M165" i="6"/>
  <c r="L165" i="6"/>
  <c r="G165" i="6"/>
  <c r="D165" i="6"/>
  <c r="C165" i="6"/>
  <c r="B165" i="6"/>
  <c r="A165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V164" i="6"/>
  <c r="U164" i="6"/>
  <c r="T164" i="6"/>
  <c r="S164" i="6"/>
  <c r="R164" i="6"/>
  <c r="Q164" i="6"/>
  <c r="O164" i="6"/>
  <c r="N164" i="6"/>
  <c r="M164" i="6"/>
  <c r="L164" i="6"/>
  <c r="G164" i="6"/>
  <c r="D164" i="6"/>
  <c r="C164" i="6"/>
  <c r="B164" i="6"/>
  <c r="A164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V163" i="6"/>
  <c r="U163" i="6"/>
  <c r="T163" i="6"/>
  <c r="S163" i="6"/>
  <c r="R163" i="6"/>
  <c r="Q163" i="6"/>
  <c r="P163" i="6"/>
  <c r="O163" i="6"/>
  <c r="N163" i="6"/>
  <c r="M163" i="6"/>
  <c r="L163" i="6"/>
  <c r="G163" i="6"/>
  <c r="D163" i="6"/>
  <c r="C163" i="6"/>
  <c r="B163" i="6"/>
  <c r="A163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V162" i="6"/>
  <c r="U162" i="6"/>
  <c r="T162" i="6"/>
  <c r="S162" i="6"/>
  <c r="R162" i="6"/>
  <c r="Q162" i="6"/>
  <c r="P162" i="6"/>
  <c r="O162" i="6"/>
  <c r="N162" i="6"/>
  <c r="M162" i="6"/>
  <c r="L162" i="6"/>
  <c r="G162" i="6"/>
  <c r="D162" i="6"/>
  <c r="C162" i="6"/>
  <c r="B162" i="6"/>
  <c r="A162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V161" i="6"/>
  <c r="U161" i="6"/>
  <c r="T161" i="6"/>
  <c r="S161" i="6"/>
  <c r="R161" i="6"/>
  <c r="Q161" i="6"/>
  <c r="O161" i="6"/>
  <c r="N161" i="6"/>
  <c r="M161" i="6"/>
  <c r="L161" i="6"/>
  <c r="G161" i="6"/>
  <c r="D161" i="6"/>
  <c r="C161" i="6"/>
  <c r="B161" i="6"/>
  <c r="A161" i="6"/>
  <c r="AJ160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V160" i="6"/>
  <c r="U160" i="6"/>
  <c r="T160" i="6"/>
  <c r="S160" i="6"/>
  <c r="R160" i="6"/>
  <c r="Q160" i="6"/>
  <c r="O160" i="6"/>
  <c r="N160" i="6"/>
  <c r="M160" i="6"/>
  <c r="L160" i="6"/>
  <c r="G160" i="6"/>
  <c r="D160" i="6"/>
  <c r="C160" i="6"/>
  <c r="B160" i="6"/>
  <c r="A160" i="6"/>
  <c r="AJ159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V159" i="6"/>
  <c r="U159" i="6"/>
  <c r="T159" i="6"/>
  <c r="S159" i="6"/>
  <c r="R159" i="6"/>
  <c r="Q159" i="6"/>
  <c r="O159" i="6"/>
  <c r="N159" i="6"/>
  <c r="M159" i="6"/>
  <c r="L159" i="6"/>
  <c r="G159" i="6"/>
  <c r="D159" i="6"/>
  <c r="C159" i="6"/>
  <c r="B159" i="6"/>
  <c r="A159" i="6"/>
  <c r="AJ158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V158" i="6"/>
  <c r="U158" i="6"/>
  <c r="T158" i="6"/>
  <c r="S158" i="6"/>
  <c r="R158" i="6"/>
  <c r="Q158" i="6"/>
  <c r="O158" i="6"/>
  <c r="N158" i="6"/>
  <c r="M158" i="6"/>
  <c r="L158" i="6"/>
  <c r="G158" i="6"/>
  <c r="D158" i="6"/>
  <c r="C158" i="6"/>
  <c r="B158" i="6"/>
  <c r="A158" i="6"/>
  <c r="AJ157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V157" i="6"/>
  <c r="U157" i="6"/>
  <c r="T157" i="6"/>
  <c r="S157" i="6"/>
  <c r="R157" i="6"/>
  <c r="Q157" i="6"/>
  <c r="O157" i="6"/>
  <c r="N157" i="6"/>
  <c r="M157" i="6"/>
  <c r="L157" i="6"/>
  <c r="G157" i="6"/>
  <c r="D157" i="6"/>
  <c r="C157" i="6"/>
  <c r="B157" i="6"/>
  <c r="A157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V156" i="6"/>
  <c r="U156" i="6"/>
  <c r="T156" i="6"/>
  <c r="S156" i="6"/>
  <c r="R156" i="6"/>
  <c r="Q156" i="6"/>
  <c r="O156" i="6"/>
  <c r="N156" i="6"/>
  <c r="M156" i="6"/>
  <c r="L156" i="6"/>
  <c r="G156" i="6"/>
  <c r="D156" i="6"/>
  <c r="C156" i="6"/>
  <c r="B156" i="6"/>
  <c r="A156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V155" i="6"/>
  <c r="U155" i="6"/>
  <c r="T155" i="6"/>
  <c r="S155" i="6"/>
  <c r="R155" i="6"/>
  <c r="Q155" i="6"/>
  <c r="O155" i="6"/>
  <c r="N155" i="6"/>
  <c r="M155" i="6"/>
  <c r="L155" i="6"/>
  <c r="G155" i="6"/>
  <c r="D155" i="6"/>
  <c r="C155" i="6"/>
  <c r="B155" i="6"/>
  <c r="A155" i="6"/>
  <c r="AJ154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V154" i="6"/>
  <c r="U154" i="6"/>
  <c r="T154" i="6"/>
  <c r="S154" i="6"/>
  <c r="R154" i="6"/>
  <c r="Q154" i="6"/>
  <c r="O154" i="6"/>
  <c r="N154" i="6"/>
  <c r="M154" i="6"/>
  <c r="L154" i="6"/>
  <c r="G154" i="6"/>
  <c r="D154" i="6"/>
  <c r="C154" i="6"/>
  <c r="B154" i="6"/>
  <c r="A154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V153" i="6"/>
  <c r="U153" i="6"/>
  <c r="T153" i="6"/>
  <c r="S153" i="6"/>
  <c r="R153" i="6"/>
  <c r="Q153" i="6"/>
  <c r="O153" i="6"/>
  <c r="N153" i="6"/>
  <c r="M153" i="6"/>
  <c r="L153" i="6"/>
  <c r="G153" i="6"/>
  <c r="D153" i="6"/>
  <c r="C153" i="6"/>
  <c r="B153" i="6"/>
  <c r="A153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V152" i="6"/>
  <c r="U152" i="6"/>
  <c r="T152" i="6"/>
  <c r="S152" i="6"/>
  <c r="R152" i="6"/>
  <c r="Q152" i="6"/>
  <c r="O152" i="6"/>
  <c r="N152" i="6"/>
  <c r="M152" i="6"/>
  <c r="L152" i="6"/>
  <c r="G152" i="6"/>
  <c r="D152" i="6"/>
  <c r="C152" i="6"/>
  <c r="B152" i="6"/>
  <c r="A152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V151" i="6"/>
  <c r="U151" i="6"/>
  <c r="T151" i="6"/>
  <c r="S151" i="6"/>
  <c r="R151" i="6"/>
  <c r="Q151" i="6"/>
  <c r="P151" i="6"/>
  <c r="O151" i="6"/>
  <c r="N151" i="6"/>
  <c r="M151" i="6"/>
  <c r="L151" i="6"/>
  <c r="G151" i="6"/>
  <c r="D151" i="6"/>
  <c r="C151" i="6"/>
  <c r="B151" i="6"/>
  <c r="A151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V150" i="6"/>
  <c r="U150" i="6"/>
  <c r="T150" i="6"/>
  <c r="S150" i="6"/>
  <c r="R150" i="6"/>
  <c r="Q150" i="6"/>
  <c r="O150" i="6"/>
  <c r="N150" i="6"/>
  <c r="M150" i="6"/>
  <c r="L150" i="6"/>
  <c r="G150" i="6"/>
  <c r="D150" i="6"/>
  <c r="C150" i="6"/>
  <c r="B150" i="6"/>
  <c r="A150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V149" i="6"/>
  <c r="U149" i="6"/>
  <c r="T149" i="6"/>
  <c r="S149" i="6"/>
  <c r="R149" i="6"/>
  <c r="Q149" i="6"/>
  <c r="O149" i="6"/>
  <c r="N149" i="6"/>
  <c r="M149" i="6"/>
  <c r="L149" i="6"/>
  <c r="G149" i="6"/>
  <c r="D149" i="6"/>
  <c r="C149" i="6"/>
  <c r="B149" i="6"/>
  <c r="A149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V148" i="6"/>
  <c r="U148" i="6"/>
  <c r="T148" i="6"/>
  <c r="S148" i="6"/>
  <c r="R148" i="6"/>
  <c r="Q148" i="6"/>
  <c r="P148" i="6"/>
  <c r="O148" i="6"/>
  <c r="N148" i="6"/>
  <c r="M148" i="6"/>
  <c r="L148" i="6"/>
  <c r="G148" i="6"/>
  <c r="D148" i="6"/>
  <c r="C148" i="6"/>
  <c r="B148" i="6"/>
  <c r="A148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V147" i="6"/>
  <c r="U147" i="6"/>
  <c r="T147" i="6"/>
  <c r="S147" i="6"/>
  <c r="R147" i="6"/>
  <c r="Q147" i="6"/>
  <c r="P147" i="6"/>
  <c r="O147" i="6"/>
  <c r="N147" i="6"/>
  <c r="M147" i="6"/>
  <c r="L147" i="6"/>
  <c r="G147" i="6"/>
  <c r="D147" i="6"/>
  <c r="C147" i="6"/>
  <c r="B147" i="6"/>
  <c r="A147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V146" i="6"/>
  <c r="U146" i="6"/>
  <c r="T146" i="6"/>
  <c r="S146" i="6"/>
  <c r="R146" i="6"/>
  <c r="Q146" i="6"/>
  <c r="O146" i="6"/>
  <c r="N146" i="6"/>
  <c r="M146" i="6"/>
  <c r="L146" i="6"/>
  <c r="G146" i="6"/>
  <c r="D146" i="6"/>
  <c r="C146" i="6"/>
  <c r="B146" i="6"/>
  <c r="A146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V145" i="6"/>
  <c r="U145" i="6"/>
  <c r="T145" i="6"/>
  <c r="S145" i="6"/>
  <c r="R145" i="6"/>
  <c r="Q145" i="6"/>
  <c r="P145" i="6"/>
  <c r="O145" i="6"/>
  <c r="N145" i="6"/>
  <c r="M145" i="6"/>
  <c r="L145" i="6"/>
  <c r="G145" i="6"/>
  <c r="D145" i="6"/>
  <c r="C145" i="6"/>
  <c r="B145" i="6"/>
  <c r="A145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V144" i="6"/>
  <c r="U144" i="6"/>
  <c r="T144" i="6"/>
  <c r="S144" i="6"/>
  <c r="R144" i="6"/>
  <c r="Q144" i="6"/>
  <c r="P144" i="6"/>
  <c r="O144" i="6"/>
  <c r="N144" i="6"/>
  <c r="M144" i="6"/>
  <c r="L144" i="6"/>
  <c r="G144" i="6"/>
  <c r="D144" i="6"/>
  <c r="C144" i="6"/>
  <c r="B144" i="6"/>
  <c r="A144" i="6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V143" i="6"/>
  <c r="U143" i="6"/>
  <c r="T143" i="6"/>
  <c r="S143" i="6"/>
  <c r="R143" i="6"/>
  <c r="Q143" i="6"/>
  <c r="O143" i="6"/>
  <c r="N143" i="6"/>
  <c r="M143" i="6"/>
  <c r="L143" i="6"/>
  <c r="G143" i="6"/>
  <c r="D143" i="6"/>
  <c r="C143" i="6"/>
  <c r="B143" i="6"/>
  <c r="A143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V142" i="6"/>
  <c r="U142" i="6"/>
  <c r="T142" i="6"/>
  <c r="S142" i="6"/>
  <c r="R142" i="6"/>
  <c r="Q142" i="6"/>
  <c r="O142" i="6"/>
  <c r="N142" i="6"/>
  <c r="M142" i="6"/>
  <c r="L142" i="6"/>
  <c r="G142" i="6"/>
  <c r="D142" i="6"/>
  <c r="C142" i="6"/>
  <c r="B142" i="6"/>
  <c r="A142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V141" i="6"/>
  <c r="U141" i="6"/>
  <c r="T141" i="6"/>
  <c r="S141" i="6"/>
  <c r="R141" i="6"/>
  <c r="Q141" i="6"/>
  <c r="O141" i="6"/>
  <c r="N141" i="6"/>
  <c r="M141" i="6"/>
  <c r="L141" i="6"/>
  <c r="G141" i="6"/>
  <c r="D141" i="6"/>
  <c r="C141" i="6"/>
  <c r="B141" i="6"/>
  <c r="A141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V140" i="6"/>
  <c r="U140" i="6"/>
  <c r="T140" i="6"/>
  <c r="S140" i="6"/>
  <c r="R140" i="6"/>
  <c r="Q140" i="6"/>
  <c r="O140" i="6"/>
  <c r="N140" i="6"/>
  <c r="M140" i="6"/>
  <c r="L140" i="6"/>
  <c r="G140" i="6"/>
  <c r="D140" i="6"/>
  <c r="C140" i="6"/>
  <c r="B140" i="6"/>
  <c r="A140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V139" i="6"/>
  <c r="U139" i="6"/>
  <c r="T139" i="6"/>
  <c r="S139" i="6"/>
  <c r="R139" i="6"/>
  <c r="Q139" i="6"/>
  <c r="O139" i="6"/>
  <c r="N139" i="6"/>
  <c r="M139" i="6"/>
  <c r="L139" i="6"/>
  <c r="G139" i="6"/>
  <c r="D139" i="6"/>
  <c r="C139" i="6"/>
  <c r="B139" i="6"/>
  <c r="A139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V138" i="6"/>
  <c r="U138" i="6"/>
  <c r="T138" i="6"/>
  <c r="S138" i="6"/>
  <c r="R138" i="6"/>
  <c r="Q138" i="6"/>
  <c r="O138" i="6"/>
  <c r="N138" i="6"/>
  <c r="M138" i="6"/>
  <c r="L138" i="6"/>
  <c r="G138" i="6"/>
  <c r="D138" i="6"/>
  <c r="C138" i="6"/>
  <c r="B138" i="6"/>
  <c r="A138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V137" i="6"/>
  <c r="U137" i="6"/>
  <c r="T137" i="6"/>
  <c r="S137" i="6"/>
  <c r="R137" i="6"/>
  <c r="Q137" i="6"/>
  <c r="O137" i="6"/>
  <c r="N137" i="6"/>
  <c r="M137" i="6"/>
  <c r="L137" i="6"/>
  <c r="G137" i="6"/>
  <c r="D137" i="6"/>
  <c r="C137" i="6"/>
  <c r="B137" i="6"/>
  <c r="A137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V136" i="6"/>
  <c r="U136" i="6"/>
  <c r="T136" i="6"/>
  <c r="S136" i="6"/>
  <c r="R136" i="6"/>
  <c r="Q136" i="6"/>
  <c r="O136" i="6"/>
  <c r="N136" i="6"/>
  <c r="M136" i="6"/>
  <c r="L136" i="6"/>
  <c r="G136" i="6"/>
  <c r="D136" i="6"/>
  <c r="C136" i="6"/>
  <c r="B136" i="6"/>
  <c r="A136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V135" i="6"/>
  <c r="U135" i="6"/>
  <c r="T135" i="6"/>
  <c r="S135" i="6"/>
  <c r="R135" i="6"/>
  <c r="Q135" i="6"/>
  <c r="O135" i="6"/>
  <c r="N135" i="6"/>
  <c r="M135" i="6"/>
  <c r="L135" i="6"/>
  <c r="G135" i="6"/>
  <c r="D135" i="6"/>
  <c r="C135" i="6"/>
  <c r="B135" i="6"/>
  <c r="A135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V134" i="6"/>
  <c r="U134" i="6"/>
  <c r="T134" i="6"/>
  <c r="S134" i="6"/>
  <c r="R134" i="6"/>
  <c r="Q134" i="6"/>
  <c r="O134" i="6"/>
  <c r="N134" i="6"/>
  <c r="M134" i="6"/>
  <c r="L134" i="6"/>
  <c r="G134" i="6"/>
  <c r="D134" i="6"/>
  <c r="C134" i="6"/>
  <c r="B134" i="6"/>
  <c r="A134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V133" i="6"/>
  <c r="U133" i="6"/>
  <c r="T133" i="6"/>
  <c r="S133" i="6"/>
  <c r="R133" i="6"/>
  <c r="Q133" i="6"/>
  <c r="O133" i="6"/>
  <c r="N133" i="6"/>
  <c r="M133" i="6"/>
  <c r="L133" i="6"/>
  <c r="G133" i="6"/>
  <c r="D133" i="6"/>
  <c r="C133" i="6"/>
  <c r="B133" i="6"/>
  <c r="A133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V132" i="6"/>
  <c r="U132" i="6"/>
  <c r="T132" i="6"/>
  <c r="S132" i="6"/>
  <c r="R132" i="6"/>
  <c r="Q132" i="6"/>
  <c r="O132" i="6"/>
  <c r="N132" i="6"/>
  <c r="M132" i="6"/>
  <c r="L132" i="6"/>
  <c r="G132" i="6"/>
  <c r="D132" i="6"/>
  <c r="C132" i="6"/>
  <c r="B132" i="6"/>
  <c r="A132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V131" i="6"/>
  <c r="U131" i="6"/>
  <c r="T131" i="6"/>
  <c r="S131" i="6"/>
  <c r="R131" i="6"/>
  <c r="Q131" i="6"/>
  <c r="P131" i="6"/>
  <c r="O131" i="6"/>
  <c r="N131" i="6"/>
  <c r="M131" i="6"/>
  <c r="L131" i="6"/>
  <c r="G131" i="6"/>
  <c r="D131" i="6"/>
  <c r="C131" i="6"/>
  <c r="B131" i="6"/>
  <c r="A131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V130" i="6"/>
  <c r="U130" i="6"/>
  <c r="T130" i="6"/>
  <c r="S130" i="6"/>
  <c r="R130" i="6"/>
  <c r="Q130" i="6"/>
  <c r="P130" i="6"/>
  <c r="O130" i="6"/>
  <c r="N130" i="6"/>
  <c r="M130" i="6"/>
  <c r="L130" i="6"/>
  <c r="G130" i="6"/>
  <c r="D130" i="6"/>
  <c r="C130" i="6"/>
  <c r="B130" i="6"/>
  <c r="A130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V129" i="6"/>
  <c r="U129" i="6"/>
  <c r="T129" i="6"/>
  <c r="S129" i="6"/>
  <c r="R129" i="6"/>
  <c r="Q129" i="6"/>
  <c r="O129" i="6"/>
  <c r="N129" i="6"/>
  <c r="M129" i="6"/>
  <c r="L129" i="6"/>
  <c r="G129" i="6"/>
  <c r="D129" i="6"/>
  <c r="C129" i="6"/>
  <c r="B129" i="6"/>
  <c r="A129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V128" i="6"/>
  <c r="U128" i="6"/>
  <c r="T128" i="6"/>
  <c r="S128" i="6"/>
  <c r="R128" i="6"/>
  <c r="Q128" i="6"/>
  <c r="P128" i="6"/>
  <c r="O128" i="6"/>
  <c r="N128" i="6"/>
  <c r="M128" i="6"/>
  <c r="L128" i="6"/>
  <c r="G128" i="6"/>
  <c r="D128" i="6"/>
  <c r="C128" i="6"/>
  <c r="B128" i="6"/>
  <c r="A128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V127" i="6"/>
  <c r="U127" i="6"/>
  <c r="T127" i="6"/>
  <c r="S127" i="6"/>
  <c r="R127" i="6"/>
  <c r="Q127" i="6"/>
  <c r="O127" i="6"/>
  <c r="N127" i="6"/>
  <c r="M127" i="6"/>
  <c r="L127" i="6"/>
  <c r="G127" i="6"/>
  <c r="D127" i="6"/>
  <c r="C127" i="6"/>
  <c r="B127" i="6"/>
  <c r="A127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V126" i="6"/>
  <c r="U126" i="6"/>
  <c r="T126" i="6"/>
  <c r="S126" i="6"/>
  <c r="R126" i="6"/>
  <c r="Q126" i="6"/>
  <c r="O126" i="6"/>
  <c r="N126" i="6"/>
  <c r="M126" i="6"/>
  <c r="L126" i="6"/>
  <c r="G126" i="6"/>
  <c r="D126" i="6"/>
  <c r="C126" i="6"/>
  <c r="B126" i="6"/>
  <c r="A126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V125" i="6"/>
  <c r="U125" i="6"/>
  <c r="T125" i="6"/>
  <c r="S125" i="6"/>
  <c r="R125" i="6"/>
  <c r="Q125" i="6"/>
  <c r="O125" i="6"/>
  <c r="N125" i="6"/>
  <c r="M125" i="6"/>
  <c r="L125" i="6"/>
  <c r="G125" i="6"/>
  <c r="D125" i="6"/>
  <c r="C125" i="6"/>
  <c r="B125" i="6"/>
  <c r="A125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V124" i="6"/>
  <c r="U124" i="6"/>
  <c r="T124" i="6"/>
  <c r="S124" i="6"/>
  <c r="R124" i="6"/>
  <c r="Q124" i="6"/>
  <c r="O124" i="6"/>
  <c r="N124" i="6"/>
  <c r="M124" i="6"/>
  <c r="L124" i="6"/>
  <c r="G124" i="6"/>
  <c r="D124" i="6"/>
  <c r="C124" i="6"/>
  <c r="B124" i="6"/>
  <c r="A124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V123" i="6"/>
  <c r="U123" i="6"/>
  <c r="T123" i="6"/>
  <c r="S123" i="6"/>
  <c r="R123" i="6"/>
  <c r="Q123" i="6"/>
  <c r="O123" i="6"/>
  <c r="N123" i="6"/>
  <c r="M123" i="6"/>
  <c r="L123" i="6"/>
  <c r="G123" i="6"/>
  <c r="D123" i="6"/>
  <c r="C123" i="6"/>
  <c r="B123" i="6"/>
  <c r="A123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V122" i="6"/>
  <c r="U122" i="6"/>
  <c r="T122" i="6"/>
  <c r="S122" i="6"/>
  <c r="R122" i="6"/>
  <c r="Q122" i="6"/>
  <c r="P122" i="6"/>
  <c r="O122" i="6"/>
  <c r="N122" i="6"/>
  <c r="M122" i="6"/>
  <c r="L122" i="6"/>
  <c r="G122" i="6"/>
  <c r="D122" i="6"/>
  <c r="C122" i="6"/>
  <c r="B122" i="6"/>
  <c r="A122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V121" i="6"/>
  <c r="U121" i="6"/>
  <c r="T121" i="6"/>
  <c r="S121" i="6"/>
  <c r="R121" i="6"/>
  <c r="Q121" i="6"/>
  <c r="P121" i="6"/>
  <c r="O121" i="6"/>
  <c r="N121" i="6"/>
  <c r="M121" i="6"/>
  <c r="L121" i="6"/>
  <c r="G121" i="6"/>
  <c r="D121" i="6"/>
  <c r="C121" i="6"/>
  <c r="B121" i="6"/>
  <c r="A121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V120" i="6"/>
  <c r="U120" i="6"/>
  <c r="T120" i="6"/>
  <c r="S120" i="6"/>
  <c r="R120" i="6"/>
  <c r="Q120" i="6"/>
  <c r="O120" i="6"/>
  <c r="N120" i="6"/>
  <c r="M120" i="6"/>
  <c r="L120" i="6"/>
  <c r="G120" i="6"/>
  <c r="D120" i="6"/>
  <c r="C120" i="6"/>
  <c r="B120" i="6"/>
  <c r="A120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V119" i="6"/>
  <c r="U119" i="6"/>
  <c r="T119" i="6"/>
  <c r="S119" i="6"/>
  <c r="R119" i="6"/>
  <c r="Q119" i="6"/>
  <c r="O119" i="6"/>
  <c r="N119" i="6"/>
  <c r="M119" i="6"/>
  <c r="L119" i="6"/>
  <c r="G119" i="6"/>
  <c r="D119" i="6"/>
  <c r="C119" i="6"/>
  <c r="B119" i="6"/>
  <c r="A119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V118" i="6"/>
  <c r="U118" i="6"/>
  <c r="T118" i="6"/>
  <c r="S118" i="6"/>
  <c r="R118" i="6"/>
  <c r="Q118" i="6"/>
  <c r="P118" i="6"/>
  <c r="O118" i="6"/>
  <c r="N118" i="6"/>
  <c r="M118" i="6"/>
  <c r="L118" i="6"/>
  <c r="G118" i="6"/>
  <c r="D118" i="6"/>
  <c r="C118" i="6"/>
  <c r="B118" i="6"/>
  <c r="A118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V117" i="6"/>
  <c r="U117" i="6"/>
  <c r="T117" i="6"/>
  <c r="S117" i="6"/>
  <c r="R117" i="6"/>
  <c r="Q117" i="6"/>
  <c r="O117" i="6"/>
  <c r="N117" i="6"/>
  <c r="M117" i="6"/>
  <c r="L117" i="6"/>
  <c r="G117" i="6"/>
  <c r="D117" i="6"/>
  <c r="C117" i="6"/>
  <c r="B117" i="6"/>
  <c r="A117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V116" i="6"/>
  <c r="U116" i="6"/>
  <c r="T116" i="6"/>
  <c r="S116" i="6"/>
  <c r="R116" i="6"/>
  <c r="Q116" i="6"/>
  <c r="O116" i="6"/>
  <c r="N116" i="6"/>
  <c r="M116" i="6"/>
  <c r="L116" i="6"/>
  <c r="G116" i="6"/>
  <c r="D116" i="6"/>
  <c r="C116" i="6"/>
  <c r="B116" i="6"/>
  <c r="A116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V115" i="6"/>
  <c r="U115" i="6"/>
  <c r="T115" i="6"/>
  <c r="S115" i="6"/>
  <c r="R115" i="6"/>
  <c r="Q115" i="6"/>
  <c r="O115" i="6"/>
  <c r="N115" i="6"/>
  <c r="M115" i="6"/>
  <c r="L115" i="6"/>
  <c r="G115" i="6"/>
  <c r="D115" i="6"/>
  <c r="C115" i="6"/>
  <c r="B115" i="6"/>
  <c r="A115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V114" i="6"/>
  <c r="U114" i="6"/>
  <c r="T114" i="6"/>
  <c r="S114" i="6"/>
  <c r="R114" i="6"/>
  <c r="Q114" i="6"/>
  <c r="P114" i="6"/>
  <c r="O114" i="6"/>
  <c r="N114" i="6"/>
  <c r="M114" i="6"/>
  <c r="L114" i="6"/>
  <c r="G114" i="6"/>
  <c r="D114" i="6"/>
  <c r="C114" i="6"/>
  <c r="B114" i="6"/>
  <c r="A114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V113" i="6"/>
  <c r="U113" i="6"/>
  <c r="T113" i="6"/>
  <c r="S113" i="6"/>
  <c r="R113" i="6"/>
  <c r="Q113" i="6"/>
  <c r="P113" i="6"/>
  <c r="O113" i="6"/>
  <c r="N113" i="6"/>
  <c r="M113" i="6"/>
  <c r="L113" i="6"/>
  <c r="G113" i="6"/>
  <c r="D113" i="6"/>
  <c r="C113" i="6"/>
  <c r="B113" i="6"/>
  <c r="A113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V112" i="6"/>
  <c r="U112" i="6"/>
  <c r="T112" i="6"/>
  <c r="S112" i="6"/>
  <c r="R112" i="6"/>
  <c r="Q112" i="6"/>
  <c r="P112" i="6"/>
  <c r="O112" i="6"/>
  <c r="N112" i="6"/>
  <c r="M112" i="6"/>
  <c r="L112" i="6"/>
  <c r="G112" i="6"/>
  <c r="D112" i="6"/>
  <c r="C112" i="6"/>
  <c r="B112" i="6"/>
  <c r="A112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V111" i="6"/>
  <c r="U111" i="6"/>
  <c r="T111" i="6"/>
  <c r="S111" i="6"/>
  <c r="R111" i="6"/>
  <c r="Q111" i="6"/>
  <c r="P111" i="6"/>
  <c r="O111" i="6"/>
  <c r="N111" i="6"/>
  <c r="M111" i="6"/>
  <c r="L111" i="6"/>
  <c r="G111" i="6"/>
  <c r="D111" i="6"/>
  <c r="C111" i="6"/>
  <c r="B111" i="6"/>
  <c r="A111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V110" i="6"/>
  <c r="U110" i="6"/>
  <c r="T110" i="6"/>
  <c r="S110" i="6"/>
  <c r="R110" i="6"/>
  <c r="Q110" i="6"/>
  <c r="O110" i="6"/>
  <c r="N110" i="6"/>
  <c r="M110" i="6"/>
  <c r="L110" i="6"/>
  <c r="G110" i="6"/>
  <c r="D110" i="6"/>
  <c r="C110" i="6"/>
  <c r="B110" i="6"/>
  <c r="A110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V109" i="6"/>
  <c r="U109" i="6"/>
  <c r="T109" i="6"/>
  <c r="S109" i="6"/>
  <c r="R109" i="6"/>
  <c r="Q109" i="6"/>
  <c r="O109" i="6"/>
  <c r="N109" i="6"/>
  <c r="M109" i="6"/>
  <c r="L109" i="6"/>
  <c r="G109" i="6"/>
  <c r="D109" i="6"/>
  <c r="C109" i="6"/>
  <c r="B109" i="6"/>
  <c r="A109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V108" i="6"/>
  <c r="U108" i="6"/>
  <c r="T108" i="6"/>
  <c r="S108" i="6"/>
  <c r="R108" i="6"/>
  <c r="Q108" i="6"/>
  <c r="O108" i="6"/>
  <c r="N108" i="6"/>
  <c r="M108" i="6"/>
  <c r="L108" i="6"/>
  <c r="G108" i="6"/>
  <c r="D108" i="6"/>
  <c r="C108" i="6"/>
  <c r="B108" i="6"/>
  <c r="A108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V107" i="6"/>
  <c r="U107" i="6"/>
  <c r="T107" i="6"/>
  <c r="S107" i="6"/>
  <c r="R107" i="6"/>
  <c r="Q107" i="6"/>
  <c r="O107" i="6"/>
  <c r="N107" i="6"/>
  <c r="M107" i="6"/>
  <c r="L107" i="6"/>
  <c r="G107" i="6"/>
  <c r="D107" i="6"/>
  <c r="C107" i="6"/>
  <c r="B107" i="6"/>
  <c r="A107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V106" i="6"/>
  <c r="U106" i="6"/>
  <c r="T106" i="6"/>
  <c r="S106" i="6"/>
  <c r="R106" i="6"/>
  <c r="Q106" i="6"/>
  <c r="O106" i="6"/>
  <c r="N106" i="6"/>
  <c r="M106" i="6"/>
  <c r="L106" i="6"/>
  <c r="G106" i="6"/>
  <c r="D106" i="6"/>
  <c r="C106" i="6"/>
  <c r="B106" i="6"/>
  <c r="A106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V105" i="6"/>
  <c r="U105" i="6"/>
  <c r="T105" i="6"/>
  <c r="S105" i="6"/>
  <c r="R105" i="6"/>
  <c r="Q105" i="6"/>
  <c r="P105" i="6"/>
  <c r="O105" i="6"/>
  <c r="N105" i="6"/>
  <c r="M105" i="6"/>
  <c r="L105" i="6"/>
  <c r="G105" i="6"/>
  <c r="D105" i="6"/>
  <c r="C105" i="6"/>
  <c r="B105" i="6"/>
  <c r="A105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V104" i="6"/>
  <c r="U104" i="6"/>
  <c r="T104" i="6"/>
  <c r="S104" i="6"/>
  <c r="R104" i="6"/>
  <c r="Q104" i="6"/>
  <c r="O104" i="6"/>
  <c r="N104" i="6"/>
  <c r="M104" i="6"/>
  <c r="L104" i="6"/>
  <c r="G104" i="6"/>
  <c r="D104" i="6"/>
  <c r="C104" i="6"/>
  <c r="B104" i="6"/>
  <c r="A104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V103" i="6"/>
  <c r="U103" i="6"/>
  <c r="T103" i="6"/>
  <c r="S103" i="6"/>
  <c r="R103" i="6"/>
  <c r="Q103" i="6"/>
  <c r="O103" i="6"/>
  <c r="N103" i="6"/>
  <c r="M103" i="6"/>
  <c r="L103" i="6"/>
  <c r="G103" i="6"/>
  <c r="D103" i="6"/>
  <c r="C103" i="6"/>
  <c r="B103" i="6"/>
  <c r="A103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V102" i="6"/>
  <c r="U102" i="6"/>
  <c r="T102" i="6"/>
  <c r="S102" i="6"/>
  <c r="R102" i="6"/>
  <c r="Q102" i="6"/>
  <c r="O102" i="6"/>
  <c r="N102" i="6"/>
  <c r="M102" i="6"/>
  <c r="L102" i="6"/>
  <c r="G102" i="6"/>
  <c r="D102" i="6"/>
  <c r="C102" i="6"/>
  <c r="B102" i="6"/>
  <c r="A102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V101" i="6"/>
  <c r="U101" i="6"/>
  <c r="T101" i="6"/>
  <c r="S101" i="6"/>
  <c r="R101" i="6"/>
  <c r="Q101" i="6"/>
  <c r="O101" i="6"/>
  <c r="N101" i="6"/>
  <c r="M101" i="6"/>
  <c r="L101" i="6"/>
  <c r="G101" i="6"/>
  <c r="D101" i="6"/>
  <c r="C101" i="6"/>
  <c r="B101" i="6"/>
  <c r="A101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V100" i="6"/>
  <c r="U100" i="6"/>
  <c r="T100" i="6"/>
  <c r="S100" i="6"/>
  <c r="R100" i="6"/>
  <c r="Q100" i="6"/>
  <c r="P100" i="6"/>
  <c r="O100" i="6"/>
  <c r="N100" i="6"/>
  <c r="M100" i="6"/>
  <c r="L100" i="6"/>
  <c r="G100" i="6"/>
  <c r="D100" i="6"/>
  <c r="C100" i="6"/>
  <c r="B100" i="6"/>
  <c r="A100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V99" i="6"/>
  <c r="U99" i="6"/>
  <c r="T99" i="6"/>
  <c r="S99" i="6"/>
  <c r="R99" i="6"/>
  <c r="Q99" i="6"/>
  <c r="P99" i="6"/>
  <c r="O99" i="6"/>
  <c r="N99" i="6"/>
  <c r="M99" i="6"/>
  <c r="L99" i="6"/>
  <c r="G99" i="6"/>
  <c r="D99" i="6"/>
  <c r="C99" i="6"/>
  <c r="B99" i="6"/>
  <c r="A99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V98" i="6"/>
  <c r="U98" i="6"/>
  <c r="T98" i="6"/>
  <c r="S98" i="6"/>
  <c r="R98" i="6"/>
  <c r="Q98" i="6"/>
  <c r="P98" i="6"/>
  <c r="O98" i="6"/>
  <c r="N98" i="6"/>
  <c r="M98" i="6"/>
  <c r="L98" i="6"/>
  <c r="G98" i="6"/>
  <c r="D98" i="6"/>
  <c r="C98" i="6"/>
  <c r="B98" i="6"/>
  <c r="A98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V97" i="6"/>
  <c r="U97" i="6"/>
  <c r="T97" i="6"/>
  <c r="S97" i="6"/>
  <c r="R97" i="6"/>
  <c r="Q97" i="6"/>
  <c r="P97" i="6"/>
  <c r="O97" i="6"/>
  <c r="N97" i="6"/>
  <c r="M97" i="6"/>
  <c r="L97" i="6"/>
  <c r="G97" i="6"/>
  <c r="D97" i="6"/>
  <c r="C97" i="6"/>
  <c r="B97" i="6"/>
  <c r="A97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V96" i="6"/>
  <c r="U96" i="6"/>
  <c r="T96" i="6"/>
  <c r="S96" i="6"/>
  <c r="R96" i="6"/>
  <c r="Q96" i="6"/>
  <c r="O96" i="6"/>
  <c r="N96" i="6"/>
  <c r="M96" i="6"/>
  <c r="L96" i="6"/>
  <c r="G96" i="6"/>
  <c r="D96" i="6"/>
  <c r="C96" i="6"/>
  <c r="B96" i="6"/>
  <c r="A96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V95" i="6"/>
  <c r="U95" i="6"/>
  <c r="T95" i="6"/>
  <c r="S95" i="6"/>
  <c r="R95" i="6"/>
  <c r="Q95" i="6"/>
  <c r="P95" i="6"/>
  <c r="O95" i="6"/>
  <c r="N95" i="6"/>
  <c r="M95" i="6"/>
  <c r="L95" i="6"/>
  <c r="G95" i="6"/>
  <c r="D95" i="6"/>
  <c r="C95" i="6"/>
  <c r="B95" i="6"/>
  <c r="A95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V94" i="6"/>
  <c r="U94" i="6"/>
  <c r="T94" i="6"/>
  <c r="S94" i="6"/>
  <c r="R94" i="6"/>
  <c r="Q94" i="6"/>
  <c r="O94" i="6"/>
  <c r="N94" i="6"/>
  <c r="M94" i="6"/>
  <c r="L94" i="6"/>
  <c r="G94" i="6"/>
  <c r="D94" i="6"/>
  <c r="C94" i="6"/>
  <c r="B94" i="6"/>
  <c r="A94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V93" i="6"/>
  <c r="U93" i="6"/>
  <c r="T93" i="6"/>
  <c r="S93" i="6"/>
  <c r="R93" i="6"/>
  <c r="Q93" i="6"/>
  <c r="O93" i="6"/>
  <c r="N93" i="6"/>
  <c r="M93" i="6"/>
  <c r="L93" i="6"/>
  <c r="G93" i="6"/>
  <c r="D93" i="6"/>
  <c r="C93" i="6"/>
  <c r="B93" i="6"/>
  <c r="A93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V92" i="6"/>
  <c r="U92" i="6"/>
  <c r="T92" i="6"/>
  <c r="S92" i="6"/>
  <c r="R92" i="6"/>
  <c r="Q92" i="6"/>
  <c r="P92" i="6"/>
  <c r="O92" i="6"/>
  <c r="N92" i="6"/>
  <c r="M92" i="6"/>
  <c r="L92" i="6"/>
  <c r="G92" i="6"/>
  <c r="D92" i="6"/>
  <c r="C92" i="6"/>
  <c r="B92" i="6"/>
  <c r="A92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V91" i="6"/>
  <c r="U91" i="6"/>
  <c r="T91" i="6"/>
  <c r="S91" i="6"/>
  <c r="R91" i="6"/>
  <c r="Q91" i="6"/>
  <c r="O91" i="6"/>
  <c r="N91" i="6"/>
  <c r="M91" i="6"/>
  <c r="L91" i="6"/>
  <c r="G91" i="6"/>
  <c r="D91" i="6"/>
  <c r="C91" i="6"/>
  <c r="B91" i="6"/>
  <c r="A91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V90" i="6"/>
  <c r="U90" i="6"/>
  <c r="T90" i="6"/>
  <c r="S90" i="6"/>
  <c r="R90" i="6"/>
  <c r="Q90" i="6"/>
  <c r="O90" i="6"/>
  <c r="N90" i="6"/>
  <c r="M90" i="6"/>
  <c r="L90" i="6"/>
  <c r="G90" i="6"/>
  <c r="D90" i="6"/>
  <c r="C90" i="6"/>
  <c r="B90" i="6"/>
  <c r="A90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V89" i="6"/>
  <c r="U89" i="6"/>
  <c r="T89" i="6"/>
  <c r="S89" i="6"/>
  <c r="R89" i="6"/>
  <c r="Q89" i="6"/>
  <c r="O89" i="6"/>
  <c r="N89" i="6"/>
  <c r="M89" i="6"/>
  <c r="L89" i="6"/>
  <c r="G89" i="6"/>
  <c r="D89" i="6"/>
  <c r="C89" i="6"/>
  <c r="B89" i="6"/>
  <c r="A89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V88" i="6"/>
  <c r="U88" i="6"/>
  <c r="T88" i="6"/>
  <c r="S88" i="6"/>
  <c r="R88" i="6"/>
  <c r="Q88" i="6"/>
  <c r="O88" i="6"/>
  <c r="N88" i="6"/>
  <c r="M88" i="6"/>
  <c r="L88" i="6"/>
  <c r="G88" i="6"/>
  <c r="D88" i="6"/>
  <c r="C88" i="6"/>
  <c r="B88" i="6"/>
  <c r="A88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V87" i="6"/>
  <c r="U87" i="6"/>
  <c r="T87" i="6"/>
  <c r="S87" i="6"/>
  <c r="R87" i="6"/>
  <c r="Q87" i="6"/>
  <c r="P87" i="6"/>
  <c r="O87" i="6"/>
  <c r="N87" i="6"/>
  <c r="M87" i="6"/>
  <c r="L87" i="6"/>
  <c r="G87" i="6"/>
  <c r="D87" i="6"/>
  <c r="C87" i="6"/>
  <c r="B87" i="6"/>
  <c r="A87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V86" i="6"/>
  <c r="U86" i="6"/>
  <c r="T86" i="6"/>
  <c r="S86" i="6"/>
  <c r="R86" i="6"/>
  <c r="Q86" i="6"/>
  <c r="O86" i="6"/>
  <c r="N86" i="6"/>
  <c r="M86" i="6"/>
  <c r="L86" i="6"/>
  <c r="G86" i="6"/>
  <c r="D86" i="6"/>
  <c r="C86" i="6"/>
  <c r="B86" i="6"/>
  <c r="A86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V85" i="6"/>
  <c r="U85" i="6"/>
  <c r="T85" i="6"/>
  <c r="S85" i="6"/>
  <c r="R85" i="6"/>
  <c r="Q85" i="6"/>
  <c r="O85" i="6"/>
  <c r="N85" i="6"/>
  <c r="M85" i="6"/>
  <c r="L85" i="6"/>
  <c r="G85" i="6"/>
  <c r="D85" i="6"/>
  <c r="C85" i="6"/>
  <c r="B85" i="6"/>
  <c r="A85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V84" i="6"/>
  <c r="U84" i="6"/>
  <c r="T84" i="6"/>
  <c r="S84" i="6"/>
  <c r="R84" i="6"/>
  <c r="Q84" i="6"/>
  <c r="O84" i="6"/>
  <c r="N84" i="6"/>
  <c r="M84" i="6"/>
  <c r="L84" i="6"/>
  <c r="G84" i="6"/>
  <c r="D84" i="6"/>
  <c r="C84" i="6"/>
  <c r="B84" i="6"/>
  <c r="A84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V83" i="6"/>
  <c r="U83" i="6"/>
  <c r="T83" i="6"/>
  <c r="S83" i="6"/>
  <c r="R83" i="6"/>
  <c r="Q83" i="6"/>
  <c r="P83" i="6"/>
  <c r="O83" i="6"/>
  <c r="N83" i="6"/>
  <c r="M83" i="6"/>
  <c r="L83" i="6"/>
  <c r="G83" i="6"/>
  <c r="D83" i="6"/>
  <c r="C83" i="6"/>
  <c r="B83" i="6"/>
  <c r="A83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V82" i="6"/>
  <c r="U82" i="6"/>
  <c r="T82" i="6"/>
  <c r="S82" i="6"/>
  <c r="R82" i="6"/>
  <c r="Q82" i="6"/>
  <c r="P82" i="6"/>
  <c r="O82" i="6"/>
  <c r="N82" i="6"/>
  <c r="M82" i="6"/>
  <c r="L82" i="6"/>
  <c r="G82" i="6"/>
  <c r="D82" i="6"/>
  <c r="C82" i="6"/>
  <c r="B82" i="6"/>
  <c r="A82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V81" i="6"/>
  <c r="U81" i="6"/>
  <c r="T81" i="6"/>
  <c r="S81" i="6"/>
  <c r="R81" i="6"/>
  <c r="Q81" i="6"/>
  <c r="O81" i="6"/>
  <c r="N81" i="6"/>
  <c r="M81" i="6"/>
  <c r="L81" i="6"/>
  <c r="G81" i="6"/>
  <c r="D81" i="6"/>
  <c r="C81" i="6"/>
  <c r="B81" i="6"/>
  <c r="A81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V80" i="6"/>
  <c r="U80" i="6"/>
  <c r="T80" i="6"/>
  <c r="S80" i="6"/>
  <c r="R80" i="6"/>
  <c r="Q80" i="6"/>
  <c r="O80" i="6"/>
  <c r="N80" i="6"/>
  <c r="M80" i="6"/>
  <c r="L80" i="6"/>
  <c r="G80" i="6"/>
  <c r="D80" i="6"/>
  <c r="C80" i="6"/>
  <c r="B80" i="6"/>
  <c r="A80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V79" i="6"/>
  <c r="U79" i="6"/>
  <c r="T79" i="6"/>
  <c r="S79" i="6"/>
  <c r="R79" i="6"/>
  <c r="Q79" i="6"/>
  <c r="O79" i="6"/>
  <c r="N79" i="6"/>
  <c r="M79" i="6"/>
  <c r="L79" i="6"/>
  <c r="G79" i="6"/>
  <c r="D79" i="6"/>
  <c r="C79" i="6"/>
  <c r="B79" i="6"/>
  <c r="A79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V78" i="6"/>
  <c r="U78" i="6"/>
  <c r="T78" i="6"/>
  <c r="S78" i="6"/>
  <c r="R78" i="6"/>
  <c r="Q78" i="6"/>
  <c r="P78" i="6"/>
  <c r="O78" i="6"/>
  <c r="N78" i="6"/>
  <c r="M78" i="6"/>
  <c r="L78" i="6"/>
  <c r="G78" i="6"/>
  <c r="D78" i="6"/>
  <c r="C78" i="6"/>
  <c r="B78" i="6"/>
  <c r="A78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V77" i="6"/>
  <c r="U77" i="6"/>
  <c r="T77" i="6"/>
  <c r="S77" i="6"/>
  <c r="R77" i="6"/>
  <c r="Q77" i="6"/>
  <c r="P77" i="6"/>
  <c r="O77" i="6"/>
  <c r="N77" i="6"/>
  <c r="M77" i="6"/>
  <c r="L77" i="6"/>
  <c r="G77" i="6"/>
  <c r="D77" i="6"/>
  <c r="C77" i="6"/>
  <c r="B77" i="6"/>
  <c r="A77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V76" i="6"/>
  <c r="U76" i="6"/>
  <c r="T76" i="6"/>
  <c r="S76" i="6"/>
  <c r="R76" i="6"/>
  <c r="Q76" i="6"/>
  <c r="P76" i="6"/>
  <c r="O76" i="6"/>
  <c r="N76" i="6"/>
  <c r="M76" i="6"/>
  <c r="L76" i="6"/>
  <c r="G76" i="6"/>
  <c r="D76" i="6"/>
  <c r="C76" i="6"/>
  <c r="B76" i="6"/>
  <c r="A76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V75" i="6"/>
  <c r="U75" i="6"/>
  <c r="T75" i="6"/>
  <c r="S75" i="6"/>
  <c r="R75" i="6"/>
  <c r="Q75" i="6"/>
  <c r="O75" i="6"/>
  <c r="N75" i="6"/>
  <c r="M75" i="6"/>
  <c r="L75" i="6"/>
  <c r="G75" i="6"/>
  <c r="D75" i="6"/>
  <c r="C75" i="6"/>
  <c r="B75" i="6"/>
  <c r="A75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V74" i="6"/>
  <c r="U74" i="6"/>
  <c r="T74" i="6"/>
  <c r="S74" i="6"/>
  <c r="R74" i="6"/>
  <c r="Q74" i="6"/>
  <c r="O74" i="6"/>
  <c r="N74" i="6"/>
  <c r="M74" i="6"/>
  <c r="L74" i="6"/>
  <c r="G74" i="6"/>
  <c r="D74" i="6"/>
  <c r="C74" i="6"/>
  <c r="B74" i="6"/>
  <c r="A74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V73" i="6"/>
  <c r="U73" i="6"/>
  <c r="T73" i="6"/>
  <c r="S73" i="6"/>
  <c r="R73" i="6"/>
  <c r="Q73" i="6"/>
  <c r="O73" i="6"/>
  <c r="N73" i="6"/>
  <c r="M73" i="6"/>
  <c r="L73" i="6"/>
  <c r="G73" i="6"/>
  <c r="D73" i="6"/>
  <c r="C73" i="6"/>
  <c r="B73" i="6"/>
  <c r="A73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V72" i="6"/>
  <c r="U72" i="6"/>
  <c r="T72" i="6"/>
  <c r="S72" i="6"/>
  <c r="R72" i="6"/>
  <c r="Q72" i="6"/>
  <c r="P72" i="6"/>
  <c r="O72" i="6"/>
  <c r="N72" i="6"/>
  <c r="M72" i="6"/>
  <c r="L72" i="6"/>
  <c r="G72" i="6"/>
  <c r="D72" i="6"/>
  <c r="C72" i="6"/>
  <c r="B72" i="6"/>
  <c r="A72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V71" i="6"/>
  <c r="U71" i="6"/>
  <c r="T71" i="6"/>
  <c r="S71" i="6"/>
  <c r="R71" i="6"/>
  <c r="Q71" i="6"/>
  <c r="P71" i="6"/>
  <c r="O71" i="6"/>
  <c r="N71" i="6"/>
  <c r="M71" i="6"/>
  <c r="L71" i="6"/>
  <c r="G71" i="6"/>
  <c r="D71" i="6"/>
  <c r="C71" i="6"/>
  <c r="B71" i="6"/>
  <c r="A71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V70" i="6"/>
  <c r="U70" i="6"/>
  <c r="T70" i="6"/>
  <c r="S70" i="6"/>
  <c r="R70" i="6"/>
  <c r="Q70" i="6"/>
  <c r="O70" i="6"/>
  <c r="N70" i="6"/>
  <c r="M70" i="6"/>
  <c r="L70" i="6"/>
  <c r="G70" i="6"/>
  <c r="D70" i="6"/>
  <c r="C70" i="6"/>
  <c r="B70" i="6"/>
  <c r="A70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V69" i="6"/>
  <c r="U69" i="6"/>
  <c r="T69" i="6"/>
  <c r="S69" i="6"/>
  <c r="R69" i="6"/>
  <c r="Q69" i="6"/>
  <c r="P69" i="6"/>
  <c r="O69" i="6"/>
  <c r="N69" i="6"/>
  <c r="M69" i="6"/>
  <c r="L69" i="6"/>
  <c r="G69" i="6"/>
  <c r="D69" i="6"/>
  <c r="C69" i="6"/>
  <c r="B69" i="6"/>
  <c r="A69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V68" i="6"/>
  <c r="U68" i="6"/>
  <c r="T68" i="6"/>
  <c r="S68" i="6"/>
  <c r="R68" i="6"/>
  <c r="Q68" i="6"/>
  <c r="P68" i="6"/>
  <c r="O68" i="6"/>
  <c r="N68" i="6"/>
  <c r="M68" i="6"/>
  <c r="L68" i="6"/>
  <c r="G68" i="6"/>
  <c r="D68" i="6"/>
  <c r="C68" i="6"/>
  <c r="B68" i="6"/>
  <c r="A68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V67" i="6"/>
  <c r="U67" i="6"/>
  <c r="T67" i="6"/>
  <c r="S67" i="6"/>
  <c r="R67" i="6"/>
  <c r="Q67" i="6"/>
  <c r="P67" i="6"/>
  <c r="O67" i="6"/>
  <c r="N67" i="6"/>
  <c r="M67" i="6"/>
  <c r="L67" i="6"/>
  <c r="G67" i="6"/>
  <c r="D67" i="6"/>
  <c r="C67" i="6"/>
  <c r="B67" i="6"/>
  <c r="A67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V66" i="6"/>
  <c r="U66" i="6"/>
  <c r="T66" i="6"/>
  <c r="S66" i="6"/>
  <c r="R66" i="6"/>
  <c r="Q66" i="6"/>
  <c r="P66" i="6"/>
  <c r="O66" i="6"/>
  <c r="N66" i="6"/>
  <c r="M66" i="6"/>
  <c r="L66" i="6"/>
  <c r="G66" i="6"/>
  <c r="D66" i="6"/>
  <c r="C66" i="6"/>
  <c r="B66" i="6"/>
  <c r="A66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V65" i="6"/>
  <c r="U65" i="6"/>
  <c r="T65" i="6"/>
  <c r="S65" i="6"/>
  <c r="R65" i="6"/>
  <c r="Q65" i="6"/>
  <c r="O65" i="6"/>
  <c r="N65" i="6"/>
  <c r="M65" i="6"/>
  <c r="L65" i="6"/>
  <c r="G65" i="6"/>
  <c r="D65" i="6"/>
  <c r="C65" i="6"/>
  <c r="B65" i="6"/>
  <c r="A65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V64" i="6"/>
  <c r="U64" i="6"/>
  <c r="T64" i="6"/>
  <c r="S64" i="6"/>
  <c r="R64" i="6"/>
  <c r="Q64" i="6"/>
  <c r="O64" i="6"/>
  <c r="N64" i="6"/>
  <c r="M64" i="6"/>
  <c r="L64" i="6"/>
  <c r="G64" i="6"/>
  <c r="D64" i="6"/>
  <c r="C64" i="6"/>
  <c r="B64" i="6"/>
  <c r="A64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V63" i="6"/>
  <c r="U63" i="6"/>
  <c r="T63" i="6"/>
  <c r="S63" i="6"/>
  <c r="R63" i="6"/>
  <c r="Q63" i="6"/>
  <c r="P63" i="6"/>
  <c r="O63" i="6"/>
  <c r="N63" i="6"/>
  <c r="M63" i="6"/>
  <c r="L63" i="6"/>
  <c r="G63" i="6"/>
  <c r="D63" i="6"/>
  <c r="C63" i="6"/>
  <c r="B63" i="6"/>
  <c r="A63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V62" i="6"/>
  <c r="U62" i="6"/>
  <c r="T62" i="6"/>
  <c r="S62" i="6"/>
  <c r="R62" i="6"/>
  <c r="Q62" i="6"/>
  <c r="P62" i="6"/>
  <c r="O62" i="6"/>
  <c r="N62" i="6"/>
  <c r="M62" i="6"/>
  <c r="L62" i="6"/>
  <c r="G62" i="6"/>
  <c r="D62" i="6"/>
  <c r="C62" i="6"/>
  <c r="B62" i="6"/>
  <c r="A62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V61" i="6"/>
  <c r="U61" i="6"/>
  <c r="T61" i="6"/>
  <c r="S61" i="6"/>
  <c r="R61" i="6"/>
  <c r="Q61" i="6"/>
  <c r="O61" i="6"/>
  <c r="N61" i="6"/>
  <c r="M61" i="6"/>
  <c r="L61" i="6"/>
  <c r="G61" i="6"/>
  <c r="D61" i="6"/>
  <c r="C61" i="6"/>
  <c r="B61" i="6"/>
  <c r="A61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V60" i="6"/>
  <c r="U60" i="6"/>
  <c r="T60" i="6"/>
  <c r="S60" i="6"/>
  <c r="R60" i="6"/>
  <c r="Q60" i="6"/>
  <c r="O60" i="6"/>
  <c r="N60" i="6"/>
  <c r="M60" i="6"/>
  <c r="L60" i="6"/>
  <c r="G60" i="6"/>
  <c r="D60" i="6"/>
  <c r="C60" i="6"/>
  <c r="B60" i="6"/>
  <c r="A60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V59" i="6"/>
  <c r="U59" i="6"/>
  <c r="T59" i="6"/>
  <c r="S59" i="6"/>
  <c r="R59" i="6"/>
  <c r="Q59" i="6"/>
  <c r="O59" i="6"/>
  <c r="N59" i="6"/>
  <c r="M59" i="6"/>
  <c r="L59" i="6"/>
  <c r="G59" i="6"/>
  <c r="D59" i="6"/>
  <c r="C59" i="6"/>
  <c r="B59" i="6"/>
  <c r="A59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V58" i="6"/>
  <c r="U58" i="6"/>
  <c r="T58" i="6"/>
  <c r="S58" i="6"/>
  <c r="R58" i="6"/>
  <c r="Q58" i="6"/>
  <c r="O58" i="6"/>
  <c r="N58" i="6"/>
  <c r="M58" i="6"/>
  <c r="L58" i="6"/>
  <c r="G58" i="6"/>
  <c r="D58" i="6"/>
  <c r="C58" i="6"/>
  <c r="B58" i="6"/>
  <c r="A58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V57" i="6"/>
  <c r="U57" i="6"/>
  <c r="T57" i="6"/>
  <c r="S57" i="6"/>
  <c r="R57" i="6"/>
  <c r="Q57" i="6"/>
  <c r="O57" i="6"/>
  <c r="N57" i="6"/>
  <c r="M57" i="6"/>
  <c r="L57" i="6"/>
  <c r="G57" i="6"/>
  <c r="D57" i="6"/>
  <c r="C57" i="6"/>
  <c r="B57" i="6"/>
  <c r="A57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V56" i="6"/>
  <c r="U56" i="6"/>
  <c r="T56" i="6"/>
  <c r="S56" i="6"/>
  <c r="R56" i="6"/>
  <c r="Q56" i="6"/>
  <c r="P56" i="6"/>
  <c r="O56" i="6"/>
  <c r="N56" i="6"/>
  <c r="M56" i="6"/>
  <c r="L56" i="6"/>
  <c r="G56" i="6"/>
  <c r="D56" i="6"/>
  <c r="C56" i="6"/>
  <c r="B56" i="6"/>
  <c r="A56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V55" i="6"/>
  <c r="U55" i="6"/>
  <c r="T55" i="6"/>
  <c r="S55" i="6"/>
  <c r="R55" i="6"/>
  <c r="Q55" i="6"/>
  <c r="P55" i="6"/>
  <c r="O55" i="6"/>
  <c r="N55" i="6"/>
  <c r="M55" i="6"/>
  <c r="L55" i="6"/>
  <c r="G55" i="6"/>
  <c r="D55" i="6"/>
  <c r="C55" i="6"/>
  <c r="B55" i="6"/>
  <c r="A55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V54" i="6"/>
  <c r="U54" i="6"/>
  <c r="T54" i="6"/>
  <c r="S54" i="6"/>
  <c r="R54" i="6"/>
  <c r="Q54" i="6"/>
  <c r="O54" i="6"/>
  <c r="N54" i="6"/>
  <c r="M54" i="6"/>
  <c r="L54" i="6"/>
  <c r="G54" i="6"/>
  <c r="D54" i="6"/>
  <c r="C54" i="6"/>
  <c r="B54" i="6"/>
  <c r="A54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V53" i="6"/>
  <c r="U53" i="6"/>
  <c r="T53" i="6"/>
  <c r="S53" i="6"/>
  <c r="R53" i="6"/>
  <c r="Q53" i="6"/>
  <c r="P53" i="6"/>
  <c r="O53" i="6"/>
  <c r="N53" i="6"/>
  <c r="M53" i="6"/>
  <c r="L53" i="6"/>
  <c r="G53" i="6"/>
  <c r="D53" i="6"/>
  <c r="C53" i="6"/>
  <c r="B53" i="6"/>
  <c r="A53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V52" i="6"/>
  <c r="U52" i="6"/>
  <c r="T52" i="6"/>
  <c r="S52" i="6"/>
  <c r="R52" i="6"/>
  <c r="Q52" i="6"/>
  <c r="P52" i="6"/>
  <c r="O52" i="6"/>
  <c r="N52" i="6"/>
  <c r="M52" i="6"/>
  <c r="L52" i="6"/>
  <c r="G52" i="6"/>
  <c r="D52" i="6"/>
  <c r="C52" i="6"/>
  <c r="B52" i="6"/>
  <c r="A52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V51" i="6"/>
  <c r="U51" i="6"/>
  <c r="T51" i="6"/>
  <c r="S51" i="6"/>
  <c r="R51" i="6"/>
  <c r="Q51" i="6"/>
  <c r="P51" i="6"/>
  <c r="O51" i="6"/>
  <c r="N51" i="6"/>
  <c r="M51" i="6"/>
  <c r="L51" i="6"/>
  <c r="G51" i="6"/>
  <c r="D51" i="6"/>
  <c r="C51" i="6"/>
  <c r="B51" i="6"/>
  <c r="A51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V50" i="6"/>
  <c r="U50" i="6"/>
  <c r="T50" i="6"/>
  <c r="S50" i="6"/>
  <c r="R50" i="6"/>
  <c r="Q50" i="6"/>
  <c r="O50" i="6"/>
  <c r="N50" i="6"/>
  <c r="M50" i="6"/>
  <c r="L50" i="6"/>
  <c r="G50" i="6"/>
  <c r="D50" i="6"/>
  <c r="C50" i="6"/>
  <c r="B50" i="6"/>
  <c r="A50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V49" i="6"/>
  <c r="U49" i="6"/>
  <c r="T49" i="6"/>
  <c r="S49" i="6"/>
  <c r="R49" i="6"/>
  <c r="Q49" i="6"/>
  <c r="O49" i="6"/>
  <c r="N49" i="6"/>
  <c r="M49" i="6"/>
  <c r="L49" i="6"/>
  <c r="G49" i="6"/>
  <c r="D49" i="6"/>
  <c r="C49" i="6"/>
  <c r="B49" i="6"/>
  <c r="A49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V48" i="6"/>
  <c r="U48" i="6"/>
  <c r="T48" i="6"/>
  <c r="S48" i="6"/>
  <c r="R48" i="6"/>
  <c r="Q48" i="6"/>
  <c r="P48" i="6"/>
  <c r="O48" i="6"/>
  <c r="N48" i="6"/>
  <c r="M48" i="6"/>
  <c r="L48" i="6"/>
  <c r="G48" i="6"/>
  <c r="D48" i="6"/>
  <c r="C48" i="6"/>
  <c r="B48" i="6"/>
  <c r="A48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V47" i="6"/>
  <c r="U47" i="6"/>
  <c r="T47" i="6"/>
  <c r="S47" i="6"/>
  <c r="R47" i="6"/>
  <c r="Q47" i="6"/>
  <c r="O47" i="6"/>
  <c r="N47" i="6"/>
  <c r="M47" i="6"/>
  <c r="L47" i="6"/>
  <c r="G47" i="6"/>
  <c r="D47" i="6"/>
  <c r="C47" i="6"/>
  <c r="B47" i="6"/>
  <c r="A47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V46" i="6"/>
  <c r="U46" i="6"/>
  <c r="T46" i="6"/>
  <c r="S46" i="6"/>
  <c r="R46" i="6"/>
  <c r="Q46" i="6"/>
  <c r="O46" i="6"/>
  <c r="N46" i="6"/>
  <c r="M46" i="6"/>
  <c r="L46" i="6"/>
  <c r="G46" i="6"/>
  <c r="D46" i="6"/>
  <c r="C46" i="6"/>
  <c r="B46" i="6"/>
  <c r="A46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V45" i="6"/>
  <c r="U45" i="6"/>
  <c r="T45" i="6"/>
  <c r="S45" i="6"/>
  <c r="R45" i="6"/>
  <c r="Q45" i="6"/>
  <c r="O45" i="6"/>
  <c r="N45" i="6"/>
  <c r="M45" i="6"/>
  <c r="L45" i="6"/>
  <c r="G45" i="6"/>
  <c r="D45" i="6"/>
  <c r="C45" i="6"/>
  <c r="B45" i="6"/>
  <c r="A45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V44" i="6"/>
  <c r="U44" i="6"/>
  <c r="T44" i="6"/>
  <c r="S44" i="6"/>
  <c r="R44" i="6"/>
  <c r="Q44" i="6"/>
  <c r="P44" i="6"/>
  <c r="O44" i="6"/>
  <c r="N44" i="6"/>
  <c r="M44" i="6"/>
  <c r="L44" i="6"/>
  <c r="G44" i="6"/>
  <c r="D44" i="6"/>
  <c r="C44" i="6"/>
  <c r="B44" i="6"/>
  <c r="A44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V43" i="6"/>
  <c r="U43" i="6"/>
  <c r="T43" i="6"/>
  <c r="S43" i="6"/>
  <c r="R43" i="6"/>
  <c r="Q43" i="6"/>
  <c r="P43" i="6"/>
  <c r="O43" i="6"/>
  <c r="N43" i="6"/>
  <c r="M43" i="6"/>
  <c r="L43" i="6"/>
  <c r="G43" i="6"/>
  <c r="D43" i="6"/>
  <c r="C43" i="6"/>
  <c r="B43" i="6"/>
  <c r="A43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V42" i="6"/>
  <c r="U42" i="6"/>
  <c r="T42" i="6"/>
  <c r="S42" i="6"/>
  <c r="R42" i="6"/>
  <c r="Q42" i="6"/>
  <c r="P42" i="6"/>
  <c r="O42" i="6"/>
  <c r="N42" i="6"/>
  <c r="M42" i="6"/>
  <c r="L42" i="6"/>
  <c r="G42" i="6"/>
  <c r="D42" i="6"/>
  <c r="C42" i="6"/>
  <c r="B42" i="6"/>
  <c r="A42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V41" i="6"/>
  <c r="U41" i="6"/>
  <c r="T41" i="6"/>
  <c r="S41" i="6"/>
  <c r="R41" i="6"/>
  <c r="Q41" i="6"/>
  <c r="P41" i="6"/>
  <c r="O41" i="6"/>
  <c r="N41" i="6"/>
  <c r="M41" i="6"/>
  <c r="L41" i="6"/>
  <c r="G41" i="6"/>
  <c r="D41" i="6"/>
  <c r="C41" i="6"/>
  <c r="B41" i="6"/>
  <c r="A41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V40" i="6"/>
  <c r="U40" i="6"/>
  <c r="T40" i="6"/>
  <c r="S40" i="6"/>
  <c r="R40" i="6"/>
  <c r="Q40" i="6"/>
  <c r="P40" i="6"/>
  <c r="O40" i="6"/>
  <c r="N40" i="6"/>
  <c r="M40" i="6"/>
  <c r="L40" i="6"/>
  <c r="G40" i="6"/>
  <c r="D40" i="6"/>
  <c r="C40" i="6"/>
  <c r="B40" i="6"/>
  <c r="A40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V39" i="6"/>
  <c r="U39" i="6"/>
  <c r="T39" i="6"/>
  <c r="S39" i="6"/>
  <c r="R39" i="6"/>
  <c r="Q39" i="6"/>
  <c r="P39" i="6"/>
  <c r="O39" i="6"/>
  <c r="N39" i="6"/>
  <c r="M39" i="6"/>
  <c r="L39" i="6"/>
  <c r="G39" i="6"/>
  <c r="D39" i="6"/>
  <c r="C39" i="6"/>
  <c r="B39" i="6"/>
  <c r="A39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V38" i="6"/>
  <c r="U38" i="6"/>
  <c r="T38" i="6"/>
  <c r="S38" i="6"/>
  <c r="R38" i="6"/>
  <c r="Q38" i="6"/>
  <c r="P38" i="6"/>
  <c r="O38" i="6"/>
  <c r="N38" i="6"/>
  <c r="M38" i="6"/>
  <c r="L38" i="6"/>
  <c r="G38" i="6"/>
  <c r="D38" i="6"/>
  <c r="C38" i="6"/>
  <c r="B38" i="6"/>
  <c r="A38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V37" i="6"/>
  <c r="U37" i="6"/>
  <c r="T37" i="6"/>
  <c r="S37" i="6"/>
  <c r="R37" i="6"/>
  <c r="Q37" i="6"/>
  <c r="O37" i="6"/>
  <c r="N37" i="6"/>
  <c r="M37" i="6"/>
  <c r="L37" i="6"/>
  <c r="G37" i="6"/>
  <c r="D37" i="6"/>
  <c r="C37" i="6"/>
  <c r="B37" i="6"/>
  <c r="A37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V36" i="6"/>
  <c r="U36" i="6"/>
  <c r="T36" i="6"/>
  <c r="S36" i="6"/>
  <c r="R36" i="6"/>
  <c r="Q36" i="6"/>
  <c r="P36" i="6"/>
  <c r="O36" i="6"/>
  <c r="N36" i="6"/>
  <c r="M36" i="6"/>
  <c r="L36" i="6"/>
  <c r="G36" i="6"/>
  <c r="D36" i="6"/>
  <c r="C36" i="6"/>
  <c r="B36" i="6"/>
  <c r="A36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V35" i="6"/>
  <c r="U35" i="6"/>
  <c r="T35" i="6"/>
  <c r="S35" i="6"/>
  <c r="R35" i="6"/>
  <c r="Q35" i="6"/>
  <c r="O35" i="6"/>
  <c r="N35" i="6"/>
  <c r="M35" i="6"/>
  <c r="L35" i="6"/>
  <c r="G35" i="6"/>
  <c r="D35" i="6"/>
  <c r="C35" i="6"/>
  <c r="B35" i="6"/>
  <c r="A35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V34" i="6"/>
  <c r="U34" i="6"/>
  <c r="T34" i="6"/>
  <c r="S34" i="6"/>
  <c r="R34" i="6"/>
  <c r="Q34" i="6"/>
  <c r="O34" i="6"/>
  <c r="N34" i="6"/>
  <c r="M34" i="6"/>
  <c r="L34" i="6"/>
  <c r="G34" i="6"/>
  <c r="D34" i="6"/>
  <c r="C34" i="6"/>
  <c r="B34" i="6"/>
  <c r="A34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V33" i="6"/>
  <c r="U33" i="6"/>
  <c r="T33" i="6"/>
  <c r="S33" i="6"/>
  <c r="R33" i="6"/>
  <c r="Q33" i="6"/>
  <c r="O33" i="6"/>
  <c r="N33" i="6"/>
  <c r="M33" i="6"/>
  <c r="L33" i="6"/>
  <c r="G33" i="6"/>
  <c r="D33" i="6"/>
  <c r="C33" i="6"/>
  <c r="B33" i="6"/>
  <c r="A33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V32" i="6"/>
  <c r="U32" i="6"/>
  <c r="T32" i="6"/>
  <c r="S32" i="6"/>
  <c r="R32" i="6"/>
  <c r="Q32" i="6"/>
  <c r="O32" i="6"/>
  <c r="N32" i="6"/>
  <c r="M32" i="6"/>
  <c r="L32" i="6"/>
  <c r="G32" i="6"/>
  <c r="D32" i="6"/>
  <c r="C32" i="6"/>
  <c r="B32" i="6"/>
  <c r="A32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V31" i="6"/>
  <c r="U31" i="6"/>
  <c r="T31" i="6"/>
  <c r="S31" i="6"/>
  <c r="R31" i="6"/>
  <c r="Q31" i="6"/>
  <c r="O31" i="6"/>
  <c r="N31" i="6"/>
  <c r="M31" i="6"/>
  <c r="L31" i="6"/>
  <c r="G31" i="6"/>
  <c r="D31" i="6"/>
  <c r="C31" i="6"/>
  <c r="B31" i="6"/>
  <c r="A31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V30" i="6"/>
  <c r="U30" i="6"/>
  <c r="T30" i="6"/>
  <c r="S30" i="6"/>
  <c r="R30" i="6"/>
  <c r="Q30" i="6"/>
  <c r="O30" i="6"/>
  <c r="N30" i="6"/>
  <c r="M30" i="6"/>
  <c r="L30" i="6"/>
  <c r="G30" i="6"/>
  <c r="D30" i="6"/>
  <c r="C30" i="6"/>
  <c r="B30" i="6"/>
  <c r="A30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V29" i="6"/>
  <c r="U29" i="6"/>
  <c r="T29" i="6"/>
  <c r="S29" i="6"/>
  <c r="R29" i="6"/>
  <c r="Q29" i="6"/>
  <c r="O29" i="6"/>
  <c r="N29" i="6"/>
  <c r="M29" i="6"/>
  <c r="L29" i="6"/>
  <c r="G29" i="6"/>
  <c r="D29" i="6"/>
  <c r="C29" i="6"/>
  <c r="B29" i="6"/>
  <c r="A29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V28" i="6"/>
  <c r="U28" i="6"/>
  <c r="T28" i="6"/>
  <c r="S28" i="6"/>
  <c r="R28" i="6"/>
  <c r="Q28" i="6"/>
  <c r="O28" i="6"/>
  <c r="N28" i="6"/>
  <c r="M28" i="6"/>
  <c r="L28" i="6"/>
  <c r="G28" i="6"/>
  <c r="D28" i="6"/>
  <c r="C28" i="6"/>
  <c r="B28" i="6"/>
  <c r="A28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V27" i="6"/>
  <c r="U27" i="6"/>
  <c r="T27" i="6"/>
  <c r="S27" i="6"/>
  <c r="R27" i="6"/>
  <c r="Q27" i="6"/>
  <c r="O27" i="6"/>
  <c r="N27" i="6"/>
  <c r="M27" i="6"/>
  <c r="L27" i="6"/>
  <c r="G27" i="6"/>
  <c r="D27" i="6"/>
  <c r="C27" i="6"/>
  <c r="B27" i="6"/>
  <c r="A27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V26" i="6"/>
  <c r="U26" i="6"/>
  <c r="T26" i="6"/>
  <c r="S26" i="6"/>
  <c r="R26" i="6"/>
  <c r="Q26" i="6"/>
  <c r="O26" i="6"/>
  <c r="N26" i="6"/>
  <c r="M26" i="6"/>
  <c r="L26" i="6"/>
  <c r="G26" i="6"/>
  <c r="D26" i="6"/>
  <c r="C26" i="6"/>
  <c r="B26" i="6"/>
  <c r="A26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V25" i="6"/>
  <c r="U25" i="6"/>
  <c r="T25" i="6"/>
  <c r="S25" i="6"/>
  <c r="R25" i="6"/>
  <c r="Q25" i="6"/>
  <c r="O25" i="6"/>
  <c r="N25" i="6"/>
  <c r="M25" i="6"/>
  <c r="L25" i="6"/>
  <c r="G25" i="6"/>
  <c r="D25" i="6"/>
  <c r="C25" i="6"/>
  <c r="B25" i="6"/>
  <c r="A25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V24" i="6"/>
  <c r="U24" i="6"/>
  <c r="T24" i="6"/>
  <c r="S24" i="6"/>
  <c r="R24" i="6"/>
  <c r="Q24" i="6"/>
  <c r="O24" i="6"/>
  <c r="N24" i="6"/>
  <c r="M24" i="6"/>
  <c r="L24" i="6"/>
  <c r="G24" i="6"/>
  <c r="D24" i="6"/>
  <c r="C24" i="6"/>
  <c r="B24" i="6"/>
  <c r="A24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V23" i="6"/>
  <c r="U23" i="6"/>
  <c r="T23" i="6"/>
  <c r="S23" i="6"/>
  <c r="R23" i="6"/>
  <c r="Q23" i="6"/>
  <c r="O23" i="6"/>
  <c r="N23" i="6"/>
  <c r="M23" i="6"/>
  <c r="L23" i="6"/>
  <c r="G23" i="6"/>
  <c r="D23" i="6"/>
  <c r="C23" i="6"/>
  <c r="B23" i="6"/>
  <c r="A23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V22" i="6"/>
  <c r="U22" i="6"/>
  <c r="T22" i="6"/>
  <c r="S22" i="6"/>
  <c r="R22" i="6"/>
  <c r="Q22" i="6"/>
  <c r="O22" i="6"/>
  <c r="N22" i="6"/>
  <c r="M22" i="6"/>
  <c r="L22" i="6"/>
  <c r="G22" i="6"/>
  <c r="D22" i="6"/>
  <c r="C22" i="6"/>
  <c r="B22" i="6"/>
  <c r="A22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V21" i="6"/>
  <c r="U21" i="6"/>
  <c r="T21" i="6"/>
  <c r="S21" i="6"/>
  <c r="R21" i="6"/>
  <c r="Q21" i="6"/>
  <c r="O21" i="6"/>
  <c r="N21" i="6"/>
  <c r="M21" i="6"/>
  <c r="L21" i="6"/>
  <c r="G21" i="6"/>
  <c r="D21" i="6"/>
  <c r="C21" i="6"/>
  <c r="B21" i="6"/>
  <c r="A21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V20" i="6"/>
  <c r="U20" i="6"/>
  <c r="T20" i="6"/>
  <c r="S20" i="6"/>
  <c r="R20" i="6"/>
  <c r="Q20" i="6"/>
  <c r="P20" i="6"/>
  <c r="O20" i="6"/>
  <c r="N20" i="6"/>
  <c r="M20" i="6"/>
  <c r="L20" i="6"/>
  <c r="G20" i="6"/>
  <c r="D20" i="6"/>
  <c r="C20" i="6"/>
  <c r="B20" i="6"/>
  <c r="A20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V19" i="6"/>
  <c r="U19" i="6"/>
  <c r="T19" i="6"/>
  <c r="S19" i="6"/>
  <c r="R19" i="6"/>
  <c r="Q19" i="6"/>
  <c r="P19" i="6"/>
  <c r="O19" i="6"/>
  <c r="N19" i="6"/>
  <c r="M19" i="6"/>
  <c r="L19" i="6"/>
  <c r="G19" i="6"/>
  <c r="D19" i="6"/>
  <c r="C19" i="6"/>
  <c r="B19" i="6"/>
  <c r="A19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V18" i="6"/>
  <c r="U18" i="6"/>
  <c r="T18" i="6"/>
  <c r="S18" i="6"/>
  <c r="R18" i="6"/>
  <c r="Q18" i="6"/>
  <c r="P18" i="6"/>
  <c r="O18" i="6"/>
  <c r="N18" i="6"/>
  <c r="M18" i="6"/>
  <c r="L18" i="6"/>
  <c r="G18" i="6"/>
  <c r="D18" i="6"/>
  <c r="C18" i="6"/>
  <c r="B18" i="6"/>
  <c r="A18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V17" i="6"/>
  <c r="U17" i="6"/>
  <c r="T17" i="6"/>
  <c r="S17" i="6"/>
  <c r="R17" i="6"/>
  <c r="Q17" i="6"/>
  <c r="O17" i="6"/>
  <c r="N17" i="6"/>
  <c r="M17" i="6"/>
  <c r="L17" i="6"/>
  <c r="G17" i="6"/>
  <c r="D17" i="6"/>
  <c r="C17" i="6"/>
  <c r="B17" i="6"/>
  <c r="A17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V16" i="6"/>
  <c r="U16" i="6"/>
  <c r="T16" i="6"/>
  <c r="S16" i="6"/>
  <c r="R16" i="6"/>
  <c r="Q16" i="6"/>
  <c r="P16" i="6"/>
  <c r="O16" i="6"/>
  <c r="N16" i="6"/>
  <c r="M16" i="6"/>
  <c r="L16" i="6"/>
  <c r="G16" i="6"/>
  <c r="D16" i="6"/>
  <c r="C16" i="6"/>
  <c r="B16" i="6"/>
  <c r="A16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V15" i="6"/>
  <c r="U15" i="6"/>
  <c r="T15" i="6"/>
  <c r="S15" i="6"/>
  <c r="R15" i="6"/>
  <c r="Q15" i="6"/>
  <c r="O15" i="6"/>
  <c r="N15" i="6"/>
  <c r="M15" i="6"/>
  <c r="L15" i="6"/>
  <c r="G15" i="6"/>
  <c r="D15" i="6"/>
  <c r="C15" i="6"/>
  <c r="B15" i="6"/>
  <c r="A15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V14" i="6"/>
  <c r="U14" i="6"/>
  <c r="T14" i="6"/>
  <c r="S14" i="6"/>
  <c r="R14" i="6"/>
  <c r="Q14" i="6"/>
  <c r="O14" i="6"/>
  <c r="N14" i="6"/>
  <c r="M14" i="6"/>
  <c r="L14" i="6"/>
  <c r="G14" i="6"/>
  <c r="D14" i="6"/>
  <c r="C14" i="6"/>
  <c r="B14" i="6"/>
  <c r="A14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V13" i="6"/>
  <c r="U13" i="6"/>
  <c r="T13" i="6"/>
  <c r="S13" i="6"/>
  <c r="R13" i="6"/>
  <c r="Q13" i="6"/>
  <c r="P13" i="6"/>
  <c r="O13" i="6"/>
  <c r="N13" i="6"/>
  <c r="M13" i="6"/>
  <c r="L13" i="6"/>
  <c r="G13" i="6"/>
  <c r="D13" i="6"/>
  <c r="C13" i="6"/>
  <c r="B13" i="6"/>
  <c r="A13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V12" i="6"/>
  <c r="U12" i="6"/>
  <c r="T12" i="6"/>
  <c r="S12" i="6"/>
  <c r="R12" i="6"/>
  <c r="Q12" i="6"/>
  <c r="P12" i="6"/>
  <c r="O12" i="6"/>
  <c r="N12" i="6"/>
  <c r="M12" i="6"/>
  <c r="L12" i="6"/>
  <c r="G12" i="6"/>
  <c r="D12" i="6"/>
  <c r="C12" i="6"/>
  <c r="B12" i="6"/>
  <c r="A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V11" i="6"/>
  <c r="U11" i="6"/>
  <c r="T11" i="6"/>
  <c r="S11" i="6"/>
  <c r="R11" i="6"/>
  <c r="Q11" i="6"/>
  <c r="P11" i="6"/>
  <c r="O11" i="6"/>
  <c r="N11" i="6"/>
  <c r="M11" i="6"/>
  <c r="L11" i="6"/>
  <c r="G11" i="6"/>
  <c r="D11" i="6"/>
  <c r="C11" i="6"/>
  <c r="B11" i="6"/>
  <c r="A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V10" i="6"/>
  <c r="U10" i="6"/>
  <c r="T10" i="6"/>
  <c r="S10" i="6"/>
  <c r="R10" i="6"/>
  <c r="Q10" i="6"/>
  <c r="P10" i="6"/>
  <c r="O10" i="6"/>
  <c r="N10" i="6"/>
  <c r="M10" i="6"/>
  <c r="L10" i="6"/>
  <c r="G10" i="6"/>
  <c r="D10" i="6"/>
  <c r="C10" i="6"/>
  <c r="B10" i="6"/>
  <c r="A10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V9" i="6"/>
  <c r="U9" i="6"/>
  <c r="T9" i="6"/>
  <c r="S9" i="6"/>
  <c r="R9" i="6"/>
  <c r="Q9" i="6"/>
  <c r="O9" i="6"/>
  <c r="N9" i="6"/>
  <c r="M9" i="6"/>
  <c r="L9" i="6"/>
  <c r="G9" i="6"/>
  <c r="D9" i="6"/>
  <c r="C9" i="6"/>
  <c r="B9" i="6"/>
  <c r="A9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V8" i="6"/>
  <c r="U8" i="6"/>
  <c r="T8" i="6"/>
  <c r="S8" i="6"/>
  <c r="R8" i="6"/>
  <c r="Q8" i="6"/>
  <c r="P8" i="6"/>
  <c r="O8" i="6"/>
  <c r="N8" i="6"/>
  <c r="M8" i="6"/>
  <c r="L8" i="6"/>
  <c r="G8" i="6"/>
  <c r="D8" i="6"/>
  <c r="C8" i="6"/>
  <c r="B8" i="6"/>
  <c r="A8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V7" i="6"/>
  <c r="U7" i="6"/>
  <c r="T7" i="6"/>
  <c r="S7" i="6"/>
  <c r="R7" i="6"/>
  <c r="Q7" i="6"/>
  <c r="P7" i="6"/>
  <c r="O7" i="6"/>
  <c r="N7" i="6"/>
  <c r="M7" i="6"/>
  <c r="L7" i="6"/>
  <c r="G7" i="6"/>
  <c r="D7" i="6"/>
  <c r="C7" i="6"/>
  <c r="B7" i="6"/>
  <c r="A7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V6" i="6"/>
  <c r="U6" i="6"/>
  <c r="T6" i="6"/>
  <c r="S6" i="6"/>
  <c r="R6" i="6"/>
  <c r="Q6" i="6"/>
  <c r="P6" i="6"/>
  <c r="O6" i="6"/>
  <c r="N6" i="6"/>
  <c r="M6" i="6"/>
  <c r="L6" i="6"/>
  <c r="G6" i="6"/>
  <c r="D6" i="6"/>
  <c r="C6" i="6"/>
  <c r="B6" i="6"/>
  <c r="A6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V5" i="6"/>
  <c r="U5" i="6"/>
  <c r="T5" i="6"/>
  <c r="S5" i="6"/>
  <c r="R5" i="6"/>
  <c r="Q5" i="6"/>
  <c r="P5" i="6"/>
  <c r="O5" i="6"/>
  <c r="N5" i="6"/>
  <c r="M5" i="6"/>
  <c r="L5" i="6"/>
  <c r="G5" i="6"/>
  <c r="D5" i="6"/>
  <c r="C5" i="6"/>
  <c r="B5" i="6"/>
  <c r="A5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V4" i="6"/>
  <c r="U4" i="6"/>
  <c r="T4" i="6"/>
  <c r="S4" i="6"/>
  <c r="R4" i="6"/>
  <c r="Q4" i="6"/>
  <c r="P4" i="6"/>
  <c r="O4" i="6"/>
  <c r="N4" i="6"/>
  <c r="M4" i="6"/>
  <c r="L4" i="6"/>
  <c r="G4" i="6"/>
  <c r="D4" i="6"/>
  <c r="C4" i="6"/>
  <c r="B4" i="6"/>
  <c r="A4" i="6"/>
  <c r="B110" i="5" l="1"/>
  <c r="AQ100" i="5" l="1"/>
  <c r="I100" i="5"/>
  <c r="AQ98" i="5"/>
  <c r="I98" i="5"/>
  <c r="I46" i="5"/>
  <c r="AQ46" i="5"/>
  <c r="AM95" i="4"/>
  <c r="AQ95" i="4"/>
  <c r="G579" i="3" l="1"/>
  <c r="H579" i="3"/>
  <c r="I95" i="4"/>
  <c r="I579" i="3" s="1"/>
  <c r="J579" i="3" s="1"/>
  <c r="F579" i="3"/>
  <c r="J721" i="1"/>
  <c r="J720" i="1"/>
  <c r="J719" i="1"/>
  <c r="J718" i="1"/>
  <c r="H720" i="1"/>
  <c r="H719" i="1"/>
  <c r="H718" i="1"/>
  <c r="H576" i="3"/>
  <c r="H575" i="3"/>
  <c r="H574" i="3"/>
  <c r="J576" i="3"/>
  <c r="J577" i="3"/>
  <c r="J575" i="3"/>
  <c r="J574" i="3"/>
  <c r="I576" i="3"/>
  <c r="I575" i="3"/>
  <c r="I577" i="3"/>
  <c r="I574" i="3"/>
  <c r="F576" i="3" l="1"/>
  <c r="F574" i="3"/>
  <c r="F575" i="3"/>
  <c r="I572" i="3"/>
  <c r="I718" i="1" s="1"/>
  <c r="I720" i="1" s="1"/>
  <c r="I721" i="1" s="1"/>
  <c r="I723" i="1" s="1"/>
  <c r="F572" i="3"/>
  <c r="I719" i="1"/>
  <c r="I135" i="2"/>
  <c r="F135" i="2"/>
  <c r="F716" i="1"/>
  <c r="F720" i="1"/>
  <c r="F719" i="1"/>
  <c r="F718" i="1"/>
  <c r="AM716" i="1"/>
  <c r="I716" i="1"/>
  <c r="G574" i="3" l="1"/>
  <c r="G576" i="3"/>
  <c r="F577" i="3"/>
  <c r="G575" i="3" s="1"/>
  <c r="F721" i="1"/>
  <c r="G719" i="1" s="1"/>
  <c r="G577" i="3" l="1"/>
  <c r="G720" i="1"/>
  <c r="F723" i="1"/>
  <c r="G718" i="1"/>
  <c r="G721" i="1" s="1"/>
</calcChain>
</file>

<file path=xl/sharedStrings.xml><?xml version="1.0" encoding="utf-8"?>
<sst xmlns="http://schemas.openxmlformats.org/spreadsheetml/2006/main" count="36563" uniqueCount="2536">
  <si>
    <t>Vendor Name</t>
  </si>
  <si>
    <t>Gazettal Description</t>
  </si>
  <si>
    <t>Line Description</t>
  </si>
  <si>
    <t>Agreement</t>
  </si>
  <si>
    <t>Consultant Justification Description</t>
  </si>
  <si>
    <t>Gazettal C</t>
  </si>
  <si>
    <t>Gazettal o</t>
  </si>
  <si>
    <t>Gazettal Other Reason</t>
  </si>
  <si>
    <t>Proposing</t>
  </si>
  <si>
    <t>Creater Name</t>
  </si>
  <si>
    <t>Creation D</t>
  </si>
  <si>
    <t>Old PO - A</t>
  </si>
  <si>
    <t>Old PO - I</t>
  </si>
  <si>
    <t>Created by</t>
  </si>
  <si>
    <t>Vendor</t>
  </si>
  <si>
    <t xml:space="preserve">      Net Price</t>
  </si>
  <si>
    <t>Delegation</t>
  </si>
  <si>
    <t>01.04.2010</t>
  </si>
  <si>
    <t>XBrdcast &amp; Dig Swt</t>
  </si>
  <si>
    <t>Grant</t>
  </si>
  <si>
    <t>Eastern Australian Satellite</t>
  </si>
  <si>
    <t>Provision of satellite digital television services to viewers in areas of signals deficiency</t>
  </si>
  <si>
    <t>07.05.2010</t>
  </si>
  <si>
    <t>30.06.2021</t>
  </si>
  <si>
    <t>Satellite digital television services</t>
  </si>
  <si>
    <t>New Contr - No Panel</t>
  </si>
  <si>
    <t>Gavin Bowman</t>
  </si>
  <si>
    <t>Kylie Perry</t>
  </si>
  <si>
    <t>02.07.2010</t>
  </si>
  <si>
    <t>GBOWMAN</t>
  </si>
  <si>
    <t>KPERRY</t>
  </si>
  <si>
    <t>ADMNFUNDS</t>
  </si>
  <si>
    <t>AUSTRALIAN BROADCASTING CORPORATION</t>
  </si>
  <si>
    <t>Implementation of the 2007 TV Towers election commitment to improve digital television</t>
  </si>
  <si>
    <t>18.06.2010</t>
  </si>
  <si>
    <t>30.06.2020</t>
  </si>
  <si>
    <t>Implementation of the 2007 TV Towers</t>
  </si>
  <si>
    <t>Paul Vincent</t>
  </si>
  <si>
    <t>Kylie SMITH</t>
  </si>
  <si>
    <t>PVINCENT</t>
  </si>
  <si>
    <t>KSMITH</t>
  </si>
  <si>
    <t>30.03.2011</t>
  </si>
  <si>
    <t>WA Satco Pty Ltd</t>
  </si>
  <si>
    <t>Western VAST Service</t>
  </si>
  <si>
    <t>31.03.2011</t>
  </si>
  <si>
    <t>Cyril Loa Kum Cheung</t>
  </si>
  <si>
    <t>07.04.2011</t>
  </si>
  <si>
    <t>CLOA</t>
  </si>
  <si>
    <t>14.05.2012</t>
  </si>
  <si>
    <t>Procurement</t>
  </si>
  <si>
    <t>Hills Holdings Limited</t>
  </si>
  <si>
    <t>Household Assistance Scheme - Early Switchover Metropolitan Area -  Perth &amp; remote West Austalia</t>
  </si>
  <si>
    <t>16.05.2012</t>
  </si>
  <si>
    <t>01.05.2015</t>
  </si>
  <si>
    <t>OS</t>
  </si>
  <si>
    <t>Early Switchover Metropolitan - Perth</t>
  </si>
  <si>
    <t>Official Ord - Panel</t>
  </si>
  <si>
    <t>Taranya De Silva</t>
  </si>
  <si>
    <t>Parnell Kennon</t>
  </si>
  <si>
    <t>DCON/11/176</t>
  </si>
  <si>
    <t>DCON/12/143</t>
  </si>
  <si>
    <t>SON528981</t>
  </si>
  <si>
    <t>21.05.2012</t>
  </si>
  <si>
    <t>TDESILVA</t>
  </si>
  <si>
    <t>PKENNON</t>
  </si>
  <si>
    <t>07.06.2013</t>
  </si>
  <si>
    <t>AWA Ltd</t>
  </si>
  <si>
    <t>Household Assistance Scheme Early Switchover Metropolitan - select areas</t>
  </si>
  <si>
    <t>07.06.2012</t>
  </si>
  <si>
    <t>Early Switchover Metropolitan</t>
  </si>
  <si>
    <t>DCON/12/142</t>
  </si>
  <si>
    <t>SON618861</t>
  </si>
  <si>
    <t>19.06.2012</t>
  </si>
  <si>
    <t>10.07.2012</t>
  </si>
  <si>
    <t>Brisbane Indigenous Media Associati</t>
  </si>
  <si>
    <t>Reg 9 &amp; Reg 10 IBP Grants 2012-15</t>
  </si>
  <si>
    <t>01.07.2014</t>
  </si>
  <si>
    <t>30.06.2015</t>
  </si>
  <si>
    <t>Operational for BIMA</t>
  </si>
  <si>
    <t>Arunee SITTHIRATH</t>
  </si>
  <si>
    <t>ASITTHIRATH</t>
  </si>
  <si>
    <t>GMS1041021</t>
  </si>
  <si>
    <t>Mackay &amp; District Aboriginal &amp; Isla</t>
  </si>
  <si>
    <t>Operational for MACKAY</t>
  </si>
  <si>
    <t>GMS1866966</t>
  </si>
  <si>
    <t>Broome Aboriginal Media Association</t>
  </si>
  <si>
    <t>OPERATIONAL FOR BAMA</t>
  </si>
  <si>
    <t>GMS1067010</t>
  </si>
  <si>
    <t>OPERATIONAL FOR BAMA RIMO</t>
  </si>
  <si>
    <t>Puranyangu-Rangka Kerrem (Aborigina</t>
  </si>
  <si>
    <t>OPERATIONAL FOR PRK RADIO</t>
  </si>
  <si>
    <t>GMS1066043</t>
  </si>
  <si>
    <t>Aboriginal Resource and Development</t>
  </si>
  <si>
    <t>OPERATIONAL FOR ARDS</t>
  </si>
  <si>
    <t>GMS1008201</t>
  </si>
  <si>
    <t>Imparja Television Pty Ltd</t>
  </si>
  <si>
    <t>VAST FOR ICTV</t>
  </si>
  <si>
    <t>GMS1850155</t>
  </si>
  <si>
    <t>10.10.2012</t>
  </si>
  <si>
    <t>Early Switchover Metropolitan &amp; Tasmania</t>
  </si>
  <si>
    <t>Vladanka Gourgouras</t>
  </si>
  <si>
    <t>17.12.2012</t>
  </si>
  <si>
    <t>BGOURGOURAS</t>
  </si>
  <si>
    <t>02.05.2013</t>
  </si>
  <si>
    <t>Adele Bright</t>
  </si>
  <si>
    <t>ABRIGHT</t>
  </si>
  <si>
    <t>12.10.2012</t>
  </si>
  <si>
    <t>Broadcasting [OLD]</t>
  </si>
  <si>
    <t>Broadcast Australia</t>
  </si>
  <si>
    <t>Restack Program Implemention Manage</t>
  </si>
  <si>
    <t>05.10.2012</t>
  </si>
  <si>
    <t>Ruth Shegog</t>
  </si>
  <si>
    <t>Katrina Shaw</t>
  </si>
  <si>
    <t>09.07.2014</t>
  </si>
  <si>
    <t>RSHEGOG</t>
  </si>
  <si>
    <t>KSHAW</t>
  </si>
  <si>
    <t>21.11.2012</t>
  </si>
  <si>
    <t>CONVERGENT CONSULTING</t>
  </si>
  <si>
    <t>Restack Engineering Consultant</t>
  </si>
  <si>
    <t>OT</t>
  </si>
  <si>
    <t>Sylvia Spaseski</t>
  </si>
  <si>
    <t>DCON/12/102</t>
  </si>
  <si>
    <t>29.01.2015</t>
  </si>
  <si>
    <t>SSPASESKI</t>
  </si>
  <si>
    <t>PRO&amp;SRVCS</t>
  </si>
  <si>
    <t>11.02.2013</t>
  </si>
  <si>
    <t>Payments for Restack Implementation</t>
  </si>
  <si>
    <t>08.02.2013</t>
  </si>
  <si>
    <t>Payments for early Restack Installation</t>
  </si>
  <si>
    <t>Diana Ferry</t>
  </si>
  <si>
    <t>Lee Nicholson</t>
  </si>
  <si>
    <t>DFERRY</t>
  </si>
  <si>
    <t>LNICHOLSON</t>
  </si>
  <si>
    <t>23.10.2009</t>
  </si>
  <si>
    <t>DELOITTE TOUCHE TOHMATSU</t>
  </si>
  <si>
    <t>Restack Program Independent  Financial Adviser</t>
  </si>
  <si>
    <t>25.03.2013</t>
  </si>
  <si>
    <t>31.01.2015</t>
  </si>
  <si>
    <t>Restack Inpendendent Financial Adviser</t>
  </si>
  <si>
    <t>X</t>
  </si>
  <si>
    <t>Need for independent research or assessment</t>
  </si>
  <si>
    <t>Paul Heinemann</t>
  </si>
  <si>
    <t>PHEINEMANN</t>
  </si>
  <si>
    <t>NI</t>
  </si>
  <si>
    <t>08.05.2013</t>
  </si>
  <si>
    <t>15.08.2013</t>
  </si>
  <si>
    <t>The Australian Indigenous Communica</t>
  </si>
  <si>
    <t>2013-14 Indigenous Broadcast  Funding</t>
  </si>
  <si>
    <t>AICA - Yr 2 77856</t>
  </si>
  <si>
    <t>Toni Ahkin</t>
  </si>
  <si>
    <t>28.06.2013</t>
  </si>
  <si>
    <t>TAHKIN</t>
  </si>
  <si>
    <t>GMS1866854</t>
  </si>
  <si>
    <t>Muda Aboriginal Corporation</t>
  </si>
  <si>
    <t>Muda - Yr 2 - 77674</t>
  </si>
  <si>
    <t>GMS1026075</t>
  </si>
  <si>
    <t>Central Australian Aboriginal Media</t>
  </si>
  <si>
    <t>CAAM - RIMO - Yr 2 IBP funds 78126</t>
  </si>
  <si>
    <t>GMS1850212</t>
  </si>
  <si>
    <t>CAAMA Radio - Yr 2 78125 IBP 13-14</t>
  </si>
  <si>
    <t>Indigenous Remote Communications</t>
  </si>
  <si>
    <t>IRCA Year 2 - IBP funds 13-14 peak body</t>
  </si>
  <si>
    <t>GMS1866544</t>
  </si>
  <si>
    <t>West Arnhem Shire Council</t>
  </si>
  <si>
    <t>West Arnhem Year 2 - IBP funds 13-14</t>
  </si>
  <si>
    <t>GMS1868349</t>
  </si>
  <si>
    <t>Mount Isa Aboriginal Media Associat</t>
  </si>
  <si>
    <t>Mount Isa Year 2 IBP funds 13-14 77704</t>
  </si>
  <si>
    <t>GMS1043041</t>
  </si>
  <si>
    <t>Umeewarra Aboriginal Media Associat</t>
  </si>
  <si>
    <t>Umeewarra Year 2 77577 IBP funds 14-15</t>
  </si>
  <si>
    <t>GMS1500147</t>
  </si>
  <si>
    <t>16.04.2015</t>
  </si>
  <si>
    <t>01.10.2014</t>
  </si>
  <si>
    <t>HAYS PERSONNEL SERVICES (AUST) P/L</t>
  </si>
  <si>
    <t>30.04.2014</t>
  </si>
  <si>
    <t>30.11.2014</t>
  </si>
  <si>
    <t>APS4 - Non-ongoing - B Dalton</t>
  </si>
  <si>
    <t>Stephanie Ranty</t>
  </si>
  <si>
    <t>Kristy Went</t>
  </si>
  <si>
    <t>04.11.2014</t>
  </si>
  <si>
    <t>SRANTY</t>
  </si>
  <si>
    <t>KWENT</t>
  </si>
  <si>
    <t>19.08.2014</t>
  </si>
  <si>
    <t>Wizard People Pty Ltd</t>
  </si>
  <si>
    <t>APS4 - Agency Contractor</t>
  </si>
  <si>
    <t>13.05.2014</t>
  </si>
  <si>
    <t>29.08.2014</t>
  </si>
  <si>
    <t>DCON/12/244</t>
  </si>
  <si>
    <t>DCON/13/34</t>
  </si>
  <si>
    <t>SON1180562</t>
  </si>
  <si>
    <t>21.08.2014</t>
  </si>
  <si>
    <t>20.06.2014</t>
  </si>
  <si>
    <t>NetRatings Australia Pty Ltd</t>
  </si>
  <si>
    <t>Subscription to Nielsen Online Ratings database</t>
  </si>
  <si>
    <t>23.06.2014</t>
  </si>
  <si>
    <t>LT</t>
  </si>
  <si>
    <t>Nielsen Online Ratings subscription</t>
  </si>
  <si>
    <t>David Abkiewicz</t>
  </si>
  <si>
    <t>LIMITED TENDER</t>
  </si>
  <si>
    <t>30.06.2014</t>
  </si>
  <si>
    <t>DABKIEWICZ</t>
  </si>
  <si>
    <t>26.06.2014</t>
  </si>
  <si>
    <t>Offis Pty Ltd</t>
  </si>
  <si>
    <t>Hosting of mySwitch applications and Digital Ready Websites</t>
  </si>
  <si>
    <t>Hosting of MySwitch and Digital Ready</t>
  </si>
  <si>
    <t>Shane Perris</t>
  </si>
  <si>
    <t>Victoria Ellis</t>
  </si>
  <si>
    <t>24.02.2015</t>
  </si>
  <si>
    <t>SPERRIS</t>
  </si>
  <si>
    <t>VELLIS</t>
  </si>
  <si>
    <t>10.07.2014</t>
  </si>
  <si>
    <t>L.E.K. Consulting</t>
  </si>
  <si>
    <t>Transmission Options Project Workshop</t>
  </si>
  <si>
    <t>01.08.2014</t>
  </si>
  <si>
    <t>IC</t>
  </si>
  <si>
    <t>Internal Costing/Profit Information</t>
  </si>
  <si>
    <t>Other</t>
  </si>
  <si>
    <t>COMMERCIAL IN CONFIDENCE</t>
  </si>
  <si>
    <t>Martin Hiscutt</t>
  </si>
  <si>
    <t>Francesco De Montis</t>
  </si>
  <si>
    <t>DCON/13/252</t>
  </si>
  <si>
    <t>SON1230552</t>
  </si>
  <si>
    <t>31.07.2014</t>
  </si>
  <si>
    <t>MHISCUTT</t>
  </si>
  <si>
    <t>FDEMONTIS</t>
  </si>
  <si>
    <t>20.05.2013</t>
  </si>
  <si>
    <t>Digit Switch [OLD]</t>
  </si>
  <si>
    <t>Win Television WA Pty Ltd</t>
  </si>
  <si>
    <t>REP Deed - WIN Television WA Pty Ltd</t>
  </si>
  <si>
    <t>01.01.2014</t>
  </si>
  <si>
    <t>30.03.2018</t>
  </si>
  <si>
    <t>Erin Donohue</t>
  </si>
  <si>
    <t>21.05.2013</t>
  </si>
  <si>
    <t>EDONOHUE</t>
  </si>
  <si>
    <t>Nine Network Australia Pty Ltd</t>
  </si>
  <si>
    <t>Electronic News Gathering - Nine Network</t>
  </si>
  <si>
    <t>29.04.2016</t>
  </si>
  <si>
    <t>27.05.2013</t>
  </si>
  <si>
    <t>Seven Network (Operations) Ltd</t>
  </si>
  <si>
    <t>Electronic News Gathering- Network Seven</t>
  </si>
  <si>
    <t>Electronic News Gathering- Seven Network</t>
  </si>
  <si>
    <t>Network Ten Pty Ltd</t>
  </si>
  <si>
    <t>Electronic News Gathering - Network Ten</t>
  </si>
  <si>
    <t>04.06.2013</t>
  </si>
  <si>
    <t>Mid-Western Television Pty Ltd</t>
  </si>
  <si>
    <t>REP Deed - Mid-Western Television</t>
  </si>
  <si>
    <t>01.01.2013</t>
  </si>
  <si>
    <t>Golden West Satellite Communication</t>
  </si>
  <si>
    <t>REP Deed - Golden West Satellite Comms</t>
  </si>
  <si>
    <t>Geraldton Telecasters Pty Ltd</t>
  </si>
  <si>
    <t>REP Deed - Geraldton Telecasters Pty Ltd</t>
  </si>
  <si>
    <t>GOLDEN WEST NETWORK</t>
  </si>
  <si>
    <t>REP Deed - Golden West Network Pty Ltd</t>
  </si>
  <si>
    <t>23.04.2014</t>
  </si>
  <si>
    <t>DigitSwchCPP [OLD]</t>
  </si>
  <si>
    <t>Liquid Learning Group Pty Ltd</t>
  </si>
  <si>
    <t>Women in Leadership Summitt 2014</t>
  </si>
  <si>
    <t>22.07.2014</t>
  </si>
  <si>
    <t>24.07.2014</t>
  </si>
  <si>
    <t>Lynnere Gray</t>
  </si>
  <si>
    <t>LGRAY</t>
  </si>
  <si>
    <t>19.06.2014</t>
  </si>
  <si>
    <t>Clarius Group Limited</t>
  </si>
  <si>
    <t>Assessment Provider</t>
  </si>
  <si>
    <t>18.06.2014</t>
  </si>
  <si>
    <t>Assessment Provider - EL1 selection</t>
  </si>
  <si>
    <t>Lauren Purcell</t>
  </si>
  <si>
    <t>DCON/14/72</t>
  </si>
  <si>
    <t>SON1024371</t>
  </si>
  <si>
    <t>LPURCELL</t>
  </si>
  <si>
    <t>Hudson Global Resources (Aust) P/L</t>
  </si>
  <si>
    <t>10.10.2014</t>
  </si>
  <si>
    <t>Assessment Provider - APS1-6 selection</t>
  </si>
  <si>
    <t>DCON/14/95</t>
  </si>
  <si>
    <t>03.10.2014</t>
  </si>
  <si>
    <t>PriceWaterHouseCoopers</t>
  </si>
  <si>
    <t>Venue costs</t>
  </si>
  <si>
    <t>27.08.2014</t>
  </si>
  <si>
    <t>Beesness Pty Ltd</t>
  </si>
  <si>
    <t>DCON/14/106 Leadership Review</t>
  </si>
  <si>
    <t>Leadership Review</t>
  </si>
  <si>
    <t>Need for specialised or professional skill</t>
  </si>
  <si>
    <t>Jared Henry</t>
  </si>
  <si>
    <t>08.10.2014</t>
  </si>
  <si>
    <t>JHENRY</t>
  </si>
  <si>
    <t>NS</t>
  </si>
  <si>
    <t>29.06.2015</t>
  </si>
  <si>
    <t>Consumer &amp; Content</t>
  </si>
  <si>
    <t>McArthur (NSW) Pty Ltd</t>
  </si>
  <si>
    <t>APS4 Agency Contractor - Restack</t>
  </si>
  <si>
    <t>12.09.2014</t>
  </si>
  <si>
    <t>14.11.2014</t>
  </si>
  <si>
    <t>DCON/13/23</t>
  </si>
  <si>
    <t>30.06.2017</t>
  </si>
  <si>
    <t>COMMUNITY BROADCASTING FOUNDATION</t>
  </si>
  <si>
    <t>Community Broadcasting Foundation</t>
  </si>
  <si>
    <t>16.09.2014</t>
  </si>
  <si>
    <t>Nicole BROWN</t>
  </si>
  <si>
    <t>06.02.2015</t>
  </si>
  <si>
    <t>NBROWN</t>
  </si>
  <si>
    <t>25.09.2014</t>
  </si>
  <si>
    <t>30.05.2015</t>
  </si>
  <si>
    <t>APS4 Contractor EA Postal Services</t>
  </si>
  <si>
    <t>02.10.2014</t>
  </si>
  <si>
    <t>Amanda O'Rourke &amp; Assoc Pty Ltd</t>
  </si>
  <si>
    <t>Recruitment - e-safety Commissioner</t>
  </si>
  <si>
    <t>Suzanne Jenkinson</t>
  </si>
  <si>
    <t>DCON14/118</t>
  </si>
  <si>
    <t>SJENKINSON</t>
  </si>
  <si>
    <t>23.10.2014</t>
  </si>
  <si>
    <t>Horizon One Recruitment Pty ltd</t>
  </si>
  <si>
    <t>APS6 Contractor Restack</t>
  </si>
  <si>
    <t>20.02.2015</t>
  </si>
  <si>
    <t>Hosting of Speedtest Service</t>
  </si>
  <si>
    <t>05.11.2014</t>
  </si>
  <si>
    <t>Hosting Services</t>
  </si>
  <si>
    <t>16.06.2015</t>
  </si>
  <si>
    <t>DFP Recruitment Services</t>
  </si>
  <si>
    <t>APS6 Contractor Restack 2</t>
  </si>
  <si>
    <t>27.10.2014</t>
  </si>
  <si>
    <t>30.01.2015</t>
  </si>
  <si>
    <t>APS4 Contractor Postal Services</t>
  </si>
  <si>
    <t>12.12.2014</t>
  </si>
  <si>
    <t>28.11.2014</t>
  </si>
  <si>
    <t>EFFECTIVE PEOPLE PTY LIMITED</t>
  </si>
  <si>
    <t>APS4 Contractor - Consumer Access</t>
  </si>
  <si>
    <t>03.02.2015</t>
  </si>
  <si>
    <t>22.11.2014</t>
  </si>
  <si>
    <t>Pitney Bowes Software Pty Ltd</t>
  </si>
  <si>
    <t>21.11.2015</t>
  </si>
  <si>
    <t>Exchange Info Plus Renewal 2014</t>
  </si>
  <si>
    <t>Anil Arkeri</t>
  </si>
  <si>
    <t>07.01.2015</t>
  </si>
  <si>
    <t>AARKERI</t>
  </si>
  <si>
    <t>12.01.2015</t>
  </si>
  <si>
    <t>Mitchell and Partners Pty Ltd</t>
  </si>
  <si>
    <t>MyBroadband speed test awareness</t>
  </si>
  <si>
    <t>FIN13BPAM1826-RFT</t>
  </si>
  <si>
    <t>SON2186301</t>
  </si>
  <si>
    <t>13.01.2015</t>
  </si>
  <si>
    <t>22.01.2015</t>
  </si>
  <si>
    <t>Ladoo Pty Ltd</t>
  </si>
  <si>
    <t>SSO Alert Service Template Update</t>
  </si>
  <si>
    <t>WENDY REARDON</t>
  </si>
  <si>
    <t>WREARDON</t>
  </si>
  <si>
    <t>07.04.2014</t>
  </si>
  <si>
    <t>MEDIA MONITORS T/A ISENTIA</t>
  </si>
  <si>
    <t>SSO Social Media Strategy</t>
  </si>
  <si>
    <t>19.02.2015</t>
  </si>
  <si>
    <t>Lynne Goodyer</t>
  </si>
  <si>
    <t>23.06.2015</t>
  </si>
  <si>
    <t>LGOODYER</t>
  </si>
  <si>
    <t>29.04.2015</t>
  </si>
  <si>
    <t>Cudex Pty Ltd T/A Newspoll</t>
  </si>
  <si>
    <t>Omnibus Survey - Do Not Call Register</t>
  </si>
  <si>
    <t>DCON/12/133</t>
  </si>
  <si>
    <t>DCON/12/309</t>
  </si>
  <si>
    <t>SON1143842</t>
  </si>
  <si>
    <t>12.05.2015</t>
  </si>
  <si>
    <t>25.05.2015</t>
  </si>
  <si>
    <t>Essence Communications</t>
  </si>
  <si>
    <t>SSO Market Research</t>
  </si>
  <si>
    <t>30.11.2015</t>
  </si>
  <si>
    <t>DCON/12/283</t>
  </si>
  <si>
    <t>02.06.2015</t>
  </si>
  <si>
    <t>Enex Pty Ltd</t>
  </si>
  <si>
    <t>SSO Industry Focused Editorial Content</t>
  </si>
  <si>
    <t>Amy Roberts</t>
  </si>
  <si>
    <t>24.06.2015</t>
  </si>
  <si>
    <t>AROBERTS</t>
  </si>
  <si>
    <t>05.06.2015</t>
  </si>
  <si>
    <t>INTERNATIONAL ECONOMICS UNIT TRUST</t>
  </si>
  <si>
    <t>Analysis of untimed local calls</t>
  </si>
  <si>
    <t>31.07.2015</t>
  </si>
  <si>
    <t>DCON/12/328</t>
  </si>
  <si>
    <t>15.06.2015</t>
  </si>
  <si>
    <t>01.06.2015</t>
  </si>
  <si>
    <t>Advertising for ABC Board Appointments</t>
  </si>
  <si>
    <t>Candace Exposito</t>
  </si>
  <si>
    <t>17.06.2015</t>
  </si>
  <si>
    <t>CEXPOSITO</t>
  </si>
  <si>
    <t>26.05.2015</t>
  </si>
  <si>
    <t>Watermark Search International</t>
  </si>
  <si>
    <t>Recruitment Services for ABC Board Appt</t>
  </si>
  <si>
    <t>18.06.2015</t>
  </si>
  <si>
    <t>01.09.2015</t>
  </si>
  <si>
    <t>DCON/15/33</t>
  </si>
  <si>
    <t>Swift Digital</t>
  </si>
  <si>
    <t>Stay Smart Online Alert Service EDM 2015-2016</t>
  </si>
  <si>
    <t>Stay Smart Online Alert Service EDM 2016</t>
  </si>
  <si>
    <t>16.10.2014</t>
  </si>
  <si>
    <t>Comms Research</t>
  </si>
  <si>
    <t>AUSTRALIAN UNIVERSITY</t>
  </si>
  <si>
    <t>Staff training</t>
  </si>
  <si>
    <t>31.10.2014</t>
  </si>
  <si>
    <t>Anne Gubler</t>
  </si>
  <si>
    <t>AGUBLER</t>
  </si>
  <si>
    <t>EL1 Agency Contractor BCR</t>
  </si>
  <si>
    <t>22.10.2014</t>
  </si>
  <si>
    <t>05.12.2014</t>
  </si>
  <si>
    <t>DCON/13/36</t>
  </si>
  <si>
    <t>20.01.2015</t>
  </si>
  <si>
    <t>Information Management Centre-Data Hub</t>
  </si>
  <si>
    <t>19.12.2014</t>
  </si>
  <si>
    <t>Jem VAROVA</t>
  </si>
  <si>
    <t>Maura Fitzgerald</t>
  </si>
  <si>
    <t>19.06.2015</t>
  </si>
  <si>
    <t>JVAROVA</t>
  </si>
  <si>
    <t>MFITZGERALD</t>
  </si>
  <si>
    <t>Callida Consulting</t>
  </si>
  <si>
    <t>Lisa Zhong</t>
  </si>
  <si>
    <t>11/000006268</t>
  </si>
  <si>
    <t>PAD/14/182769</t>
  </si>
  <si>
    <t>SON867801</t>
  </si>
  <si>
    <t>LZHONG</t>
  </si>
  <si>
    <t>20.11.2014</t>
  </si>
  <si>
    <t>Dean Parham</t>
  </si>
  <si>
    <t>Advisor- Economic Measurement Services</t>
  </si>
  <si>
    <t>20.05.2015</t>
  </si>
  <si>
    <t>Peace Segarajasekeran</t>
  </si>
  <si>
    <t>DCON/14/141</t>
  </si>
  <si>
    <t>29.05.2015</t>
  </si>
  <si>
    <t>PSEGARAJASEK</t>
  </si>
  <si>
    <t>21.11.2014</t>
  </si>
  <si>
    <t>Essence Communications Australia Pt</t>
  </si>
  <si>
    <t>Stakeholder Survey Services</t>
  </si>
  <si>
    <t>TS</t>
  </si>
  <si>
    <t>Intellectual property</t>
  </si>
  <si>
    <t>COSTINGS</t>
  </si>
  <si>
    <t>Megan Bonny</t>
  </si>
  <si>
    <t>Kylie HINTON</t>
  </si>
  <si>
    <t>23.04.2015</t>
  </si>
  <si>
    <t>MBONNY</t>
  </si>
  <si>
    <t>KHINTON</t>
  </si>
  <si>
    <t>EL2 Contractor -Director, Economics</t>
  </si>
  <si>
    <t>11.12.2014</t>
  </si>
  <si>
    <t>08.12.2014</t>
  </si>
  <si>
    <t>Staff Services</t>
  </si>
  <si>
    <t>26.06.2015</t>
  </si>
  <si>
    <t>FEES</t>
  </si>
  <si>
    <t>15.04.2015</t>
  </si>
  <si>
    <t>23.12.2014</t>
  </si>
  <si>
    <t>Provision of a Market Analysis Framework</t>
  </si>
  <si>
    <t>02.04.2015</t>
  </si>
  <si>
    <t>CONFIDENTIAL MARKET DATA</t>
  </si>
  <si>
    <t>Economic Measurement Review</t>
  </si>
  <si>
    <t>08.01.2015</t>
  </si>
  <si>
    <t>13.02.2015</t>
  </si>
  <si>
    <t>21.01.2015</t>
  </si>
  <si>
    <t>AUSTRALIAN NATIONAL UNIVERSITY</t>
  </si>
  <si>
    <t>Statistics Training</t>
  </si>
  <si>
    <t>27.01.2015</t>
  </si>
  <si>
    <t>Australian Public</t>
  </si>
  <si>
    <t>APSC SES Band 2 Leadership Program (C4)</t>
  </si>
  <si>
    <t>13.03.2015</t>
  </si>
  <si>
    <t>APS6 - Agency Contractor</t>
  </si>
  <si>
    <t>28.01.2015</t>
  </si>
  <si>
    <t>01.02.2015</t>
  </si>
  <si>
    <t>IDC AUSTRALIA PTY LTD</t>
  </si>
  <si>
    <t>Research Subscription</t>
  </si>
  <si>
    <t>31.01.2016</t>
  </si>
  <si>
    <t>05.02.2015</t>
  </si>
  <si>
    <t>Contexti Pty Ltd</t>
  </si>
  <si>
    <t>Research Hub Guidance Models</t>
  </si>
  <si>
    <t>16.02.2015</t>
  </si>
  <si>
    <t>Tonina Staunton</t>
  </si>
  <si>
    <t>12.02.2015</t>
  </si>
  <si>
    <t>TSTAUNTON</t>
  </si>
  <si>
    <t>23.02.2015</t>
  </si>
  <si>
    <t>OVUM PTY LTD</t>
  </si>
  <si>
    <t>Information Hub Contents Scoping</t>
  </si>
  <si>
    <t>17.04.2015</t>
  </si>
  <si>
    <t>DCON/12/314</t>
  </si>
  <si>
    <t>10.06.2015</t>
  </si>
  <si>
    <t>02.03.2015</t>
  </si>
  <si>
    <t>Contractor services</t>
  </si>
  <si>
    <t>16.03.2015</t>
  </si>
  <si>
    <t>DCON/13/27</t>
  </si>
  <si>
    <t>25.03.2015</t>
  </si>
  <si>
    <t>27.02.2015</t>
  </si>
  <si>
    <t>ADECCO</t>
  </si>
  <si>
    <t>APS4 Business Support Officer, BCR</t>
  </si>
  <si>
    <t>05.03.2015</t>
  </si>
  <si>
    <t>04.03.2015</t>
  </si>
  <si>
    <t>12.06.2015</t>
  </si>
  <si>
    <t>12.03.2015</t>
  </si>
  <si>
    <t>IBIS WORLD</t>
  </si>
  <si>
    <t>30.04.2016</t>
  </si>
  <si>
    <t>Richard BULLOCK</t>
  </si>
  <si>
    <t>RBULLOCK</t>
  </si>
  <si>
    <t>Prototype development</t>
  </si>
  <si>
    <t>10.04.2015</t>
  </si>
  <si>
    <t>DCON/15/19</t>
  </si>
  <si>
    <t>22.12.2014</t>
  </si>
  <si>
    <t>Purchase of Connected Consumer Report</t>
  </si>
  <si>
    <t>26.03.2015</t>
  </si>
  <si>
    <t>08.04.2015</t>
  </si>
  <si>
    <t>30.04.2015</t>
  </si>
  <si>
    <t>EL1 BCR Hays</t>
  </si>
  <si>
    <t>13.04.2015</t>
  </si>
  <si>
    <t>APS4 Non-ongoing Contractor BCR</t>
  </si>
  <si>
    <t>01.04.2015</t>
  </si>
  <si>
    <t>Provision of expert advisory services</t>
  </si>
  <si>
    <t>30.09.2015</t>
  </si>
  <si>
    <t>Andrew Verdon</t>
  </si>
  <si>
    <t>DCON/15/3</t>
  </si>
  <si>
    <t>AVERDON</t>
  </si>
  <si>
    <t>Analysys Mason Limited T/as</t>
  </si>
  <si>
    <t>DCON15/1</t>
  </si>
  <si>
    <t>14.04.2015</t>
  </si>
  <si>
    <t>04.05.2015</t>
  </si>
  <si>
    <t>APS5 Non-ongoing Contactor, Data &amp; Stats</t>
  </si>
  <si>
    <t>20.04.2015</t>
  </si>
  <si>
    <t>22.07.2015</t>
  </si>
  <si>
    <t>APS5 Non-ongoing Contractor - BCR</t>
  </si>
  <si>
    <t>19.05.2015</t>
  </si>
  <si>
    <t>AUSTRADE</t>
  </si>
  <si>
    <t>02.02.2015</t>
  </si>
  <si>
    <t>Sliced Tech Pty Ltd</t>
  </si>
  <si>
    <t>Big data platform</t>
  </si>
  <si>
    <t>FIN14BPAM2098</t>
  </si>
  <si>
    <t>DCON/15/12</t>
  </si>
  <si>
    <t>SON2914302</t>
  </si>
  <si>
    <t>21.04.2015</t>
  </si>
  <si>
    <t>PPB Pty Ltd</t>
  </si>
  <si>
    <t>DCON 15/2</t>
  </si>
  <si>
    <t>05.05.2015</t>
  </si>
  <si>
    <t>Training and analysis</t>
  </si>
  <si>
    <t>28.05.2015</t>
  </si>
  <si>
    <t>09.07.2015</t>
  </si>
  <si>
    <t>APS5 Non-ongoing EA - BCR</t>
  </si>
  <si>
    <t>04.06.2015</t>
  </si>
  <si>
    <t>Data analyst</t>
  </si>
  <si>
    <t>03.06.2015</t>
  </si>
  <si>
    <t>11.06.2015</t>
  </si>
  <si>
    <t>The Trustee for the ThinkPlace</t>
  </si>
  <si>
    <t>Develop Digital Comms Strategy</t>
  </si>
  <si>
    <t>Develop Digital Comms Strategy for BCR</t>
  </si>
  <si>
    <t>Elizabeth O'Shea</t>
  </si>
  <si>
    <t>Rowan Thompson</t>
  </si>
  <si>
    <t>EOSHEA</t>
  </si>
  <si>
    <t>RTHOMPSON</t>
  </si>
  <si>
    <t>25.06.2015</t>
  </si>
  <si>
    <t>25.09.2015</t>
  </si>
  <si>
    <t>APS4 Non-ongoing BCR</t>
  </si>
  <si>
    <t>Deloitte Access Economics</t>
  </si>
  <si>
    <t>Assessment Econ Benefits- Open Govt Data</t>
  </si>
  <si>
    <t>PA</t>
  </si>
  <si>
    <t>Privacy Act 1988</t>
  </si>
  <si>
    <t>Carmela Brion</t>
  </si>
  <si>
    <t>DCON/12/294</t>
  </si>
  <si>
    <t>CBRION</t>
  </si>
  <si>
    <t>NETWORK STRATEGIES LTD</t>
  </si>
  <si>
    <t>Strategic Issues Framework Model</t>
  </si>
  <si>
    <t>14.08.2015</t>
  </si>
  <si>
    <t>Nick McClintock</t>
  </si>
  <si>
    <t>DCON/12/308</t>
  </si>
  <si>
    <t>NMCCLINTOCK</t>
  </si>
  <si>
    <t>28.10.2013</t>
  </si>
  <si>
    <t>Digital Serv [OLD]</t>
  </si>
  <si>
    <t>Quality Parts &amp; Machinery</t>
  </si>
  <si>
    <t>Indigenous Communications Program Community Liaison Officer</t>
  </si>
  <si>
    <t>25.05.2010</t>
  </si>
  <si>
    <t>ICP Community Liaison Officer</t>
  </si>
  <si>
    <t>Susan Rixon</t>
  </si>
  <si>
    <t>Bernadette GRIFFITHS</t>
  </si>
  <si>
    <t>DCON/09/21</t>
  </si>
  <si>
    <t>20.07.2010</t>
  </si>
  <si>
    <t>SRIXON</t>
  </si>
  <si>
    <t>BGRIFFITHS</t>
  </si>
  <si>
    <t>05.08.2013</t>
  </si>
  <si>
    <t>NATIONAL ICT AUSTRALIA LTD</t>
  </si>
  <si>
    <t>New funding agreement for NICTA</t>
  </si>
  <si>
    <t>01.07.2011</t>
  </si>
  <si>
    <t>30.06.2016</t>
  </si>
  <si>
    <t>Scean Kearns</t>
  </si>
  <si>
    <t>24.06.2014</t>
  </si>
  <si>
    <t>SKEARNS</t>
  </si>
  <si>
    <t>Digital Learning Futures Pty Ltd</t>
  </si>
  <si>
    <t>14.10.2009</t>
  </si>
  <si>
    <t>DCON/09/70</t>
  </si>
  <si>
    <t>SON236676</t>
  </si>
  <si>
    <t>22.07.2010</t>
  </si>
  <si>
    <t>Ethos Global Foundation Ltd</t>
  </si>
  <si>
    <t>10.10.2009</t>
  </si>
  <si>
    <t>DCON/09/71</t>
  </si>
  <si>
    <t>Hanson and Associates</t>
  </si>
  <si>
    <t>DCON/09/72</t>
  </si>
  <si>
    <t>25.06.2013</t>
  </si>
  <si>
    <t>Centre for Appropriate Technology</t>
  </si>
  <si>
    <t>Indigenous Communications Program - monitoring and maintenance services to 245 community phones</t>
  </si>
  <si>
    <t>02.02.2012</t>
  </si>
  <si>
    <t>Monitor and maintenance 245 comm. phones</t>
  </si>
  <si>
    <t>Jennifer Roberts</t>
  </si>
  <si>
    <t>DCON/11/109</t>
  </si>
  <si>
    <t>06.02.2012</t>
  </si>
  <si>
    <t>JROBERTS1</t>
  </si>
  <si>
    <t>03.06.2014</t>
  </si>
  <si>
    <t>LEASEPLAN</t>
  </si>
  <si>
    <t>Vehicle lease</t>
  </si>
  <si>
    <t>07.05.2012</t>
  </si>
  <si>
    <t>27.07.2014</t>
  </si>
  <si>
    <t>SES Vehicle Lease A Rizvi YJA85S</t>
  </si>
  <si>
    <t>Narelle Woods</t>
  </si>
  <si>
    <t>Karen O'Sullivan</t>
  </si>
  <si>
    <t>DCON/11/159</t>
  </si>
  <si>
    <t>SON27006</t>
  </si>
  <si>
    <t>NWOODS</t>
  </si>
  <si>
    <t>KOSULLIVAN</t>
  </si>
  <si>
    <t>28.06.2012</t>
  </si>
  <si>
    <t>Australian Private Networks Pty Ltd</t>
  </si>
  <si>
    <t>Digital Doorway Technology Trial</t>
  </si>
  <si>
    <t>26.06.2012</t>
  </si>
  <si>
    <t>James Johnson</t>
  </si>
  <si>
    <t>Karen Groeneveld</t>
  </si>
  <si>
    <t>21.06.2012</t>
  </si>
  <si>
    <t>JJOHNSON</t>
  </si>
  <si>
    <t>KGROENEVELD</t>
  </si>
  <si>
    <t>03.08.2012</t>
  </si>
  <si>
    <t>30.08.2014</t>
  </si>
  <si>
    <t>SES Vehicle Lease L Paterson YJE04A</t>
  </si>
  <si>
    <t>31.08.2012</t>
  </si>
  <si>
    <t>Australian Communication Consumer</t>
  </si>
  <si>
    <t>30.05.2017</t>
  </si>
  <si>
    <t>ACCAN funding agreement 2012 - 2017</t>
  </si>
  <si>
    <t>Jeffrey Lake</t>
  </si>
  <si>
    <t>03.07.2014</t>
  </si>
  <si>
    <t>JLAKE</t>
  </si>
  <si>
    <t>Australian Private Networks P/L (IC</t>
  </si>
  <si>
    <t>ICP Phones Monitoring and Maintenance</t>
  </si>
  <si>
    <t>01.07.2013</t>
  </si>
  <si>
    <t>Brenda Thomson</t>
  </si>
  <si>
    <t>DCON/12/252</t>
  </si>
  <si>
    <t>26.06.2013</t>
  </si>
  <si>
    <t>BTHOMSON</t>
  </si>
  <si>
    <t>27.06.2013</t>
  </si>
  <si>
    <t>STANDARDS AUSTRALIA</t>
  </si>
  <si>
    <t>Secretariat for Standards Aust. JTC1 SAC</t>
  </si>
  <si>
    <t>Louise Taylor</t>
  </si>
  <si>
    <t>DCON-13-153</t>
  </si>
  <si>
    <t>LTAYLOR</t>
  </si>
  <si>
    <t>24.07.2013</t>
  </si>
  <si>
    <t>Digital Careers</t>
  </si>
  <si>
    <t>Kara-Lee McLean</t>
  </si>
  <si>
    <t>25.07.2013</t>
  </si>
  <si>
    <t>KMCLEAN</t>
  </si>
  <si>
    <t>26.07.2013</t>
  </si>
  <si>
    <t>CSIRO</t>
  </si>
  <si>
    <t>3D Online Education initiative</t>
  </si>
  <si>
    <t>01.08.2013</t>
  </si>
  <si>
    <t>Michael Carnegie</t>
  </si>
  <si>
    <t>06.08.2013</t>
  </si>
  <si>
    <t>MCARNEGIE</t>
  </si>
  <si>
    <t>22.08.2013</t>
  </si>
  <si>
    <t>Lockyer Valley Regional Council</t>
  </si>
  <si>
    <t>Lockyer Valley Regional Council Digital Local Government Program</t>
  </si>
  <si>
    <t>Lockyer Valley- Digital Local Government</t>
  </si>
  <si>
    <t>Elizabeth Hess</t>
  </si>
  <si>
    <t>26.08.2013</t>
  </si>
  <si>
    <t>EHESS</t>
  </si>
  <si>
    <t>23.08.2013</t>
  </si>
  <si>
    <t>Town of Gawler</t>
  </si>
  <si>
    <t>Town of Gawler-Digital Local Government Program</t>
  </si>
  <si>
    <t>Town of Gawler-Digital Local Government</t>
  </si>
  <si>
    <t>City of Rockingham</t>
  </si>
  <si>
    <t>City of Rockingham - Digital Local Government Program</t>
  </si>
  <si>
    <t>Rockingham - Digital Local Government</t>
  </si>
  <si>
    <t>GREATER TAREE CITY COUNCIL</t>
  </si>
  <si>
    <t>Greater Taree - Digital Local Government</t>
  </si>
  <si>
    <t>17.04.2014</t>
  </si>
  <si>
    <t>02.09.2013</t>
  </si>
  <si>
    <t>Moreton Bay Regional Council</t>
  </si>
  <si>
    <t>Moreton Bay Regional Council Digital Local Government</t>
  </si>
  <si>
    <t>Moreton Bay-Digital Local Government</t>
  </si>
  <si>
    <t>05.09.2013</t>
  </si>
  <si>
    <t>Rockhampton Regional Council</t>
  </si>
  <si>
    <t>Rockhampton Regional Council Digital Local Government</t>
  </si>
  <si>
    <t>Rockhampton - Digital Local Government</t>
  </si>
  <si>
    <t>Strathfield Municipal Council</t>
  </si>
  <si>
    <t>Strathfield Municipal Council Digital Local Government</t>
  </si>
  <si>
    <t>Strathfield - Digital Local Government</t>
  </si>
  <si>
    <t>Moonee Valley City Council</t>
  </si>
  <si>
    <t>Moonee Valley City Council Digital Local Government</t>
  </si>
  <si>
    <t>Moonee Valley - Digital Local Government</t>
  </si>
  <si>
    <t>Yarra City Council</t>
  </si>
  <si>
    <t>Yarra City Council - Digital Local Government</t>
  </si>
  <si>
    <t>Yarra- Digital Local Government</t>
  </si>
  <si>
    <t>Stella Jones</t>
  </si>
  <si>
    <t>SJONES</t>
  </si>
  <si>
    <t>WOLLONGONG CITY COUNCIL</t>
  </si>
  <si>
    <t>Wollongong City Council - Digital Local Government</t>
  </si>
  <si>
    <t>Wollongong - Digital Local Government</t>
  </si>
  <si>
    <t>24.03.2014</t>
  </si>
  <si>
    <t>City of Ballarat</t>
  </si>
  <si>
    <t>Ballarat City Council - Digital Local Government</t>
  </si>
  <si>
    <t>Ballarat - Digital Local Government</t>
  </si>
  <si>
    <t>04.09.2013</t>
  </si>
  <si>
    <t>ALEXANDRINA COUNCIL</t>
  </si>
  <si>
    <t>Alexandrina Council - Digital Local Government</t>
  </si>
  <si>
    <t>Alexandrina - Digital Local Government</t>
  </si>
  <si>
    <t>31.01.2014</t>
  </si>
  <si>
    <t>Tamworth Regional Council</t>
  </si>
  <si>
    <t>Tamworth Regional Counc - Digital Local Government</t>
  </si>
  <si>
    <t>Tamworth - Digital Local Government</t>
  </si>
  <si>
    <t>CITY OF VICTOR HARBOR</t>
  </si>
  <si>
    <t>City of Victor Harbor - Digital Local Government</t>
  </si>
  <si>
    <t>Victor Harbor - Digital Local Government</t>
  </si>
  <si>
    <t>CITY OF SOUTH PERTH</t>
  </si>
  <si>
    <t>City South Perth - Digital Local Government</t>
  </si>
  <si>
    <t>South Perth - Digital Local Government</t>
  </si>
  <si>
    <t>06.05.2015</t>
  </si>
  <si>
    <t>13.09.2013</t>
  </si>
  <si>
    <t>TAFE NSW - Western Institute</t>
  </si>
  <si>
    <t>Virtual Advisor Program</t>
  </si>
  <si>
    <t>09.08.2013</t>
  </si>
  <si>
    <t>Mark Clery</t>
  </si>
  <si>
    <t>Nuala Fernando</t>
  </si>
  <si>
    <t>23.09.2013</t>
  </si>
  <si>
    <t>MCLERY</t>
  </si>
  <si>
    <t>NFERNANDO</t>
  </si>
  <si>
    <t>People Places Planet Pty Ltd</t>
  </si>
  <si>
    <t>11.07.2013</t>
  </si>
  <si>
    <t>DCON/09/73</t>
  </si>
  <si>
    <t>30.10.2013</t>
  </si>
  <si>
    <t>01.03.2014</t>
  </si>
  <si>
    <t>SirsiDynix Pty Ltd</t>
  </si>
  <si>
    <t>Library management system maintenance</t>
  </si>
  <si>
    <t>28.02.2015</t>
  </si>
  <si>
    <t>Yasna Palaysa</t>
  </si>
  <si>
    <t>26.03.2014</t>
  </si>
  <si>
    <t>YPALAYSA</t>
  </si>
  <si>
    <t>14.05.2014</t>
  </si>
  <si>
    <t>Australia Online Research Pty Ltd</t>
  </si>
  <si>
    <t>Triple Zero Research</t>
  </si>
  <si>
    <t>15.05.2014</t>
  </si>
  <si>
    <t>28.07.2014</t>
  </si>
  <si>
    <t>Matthew Bernasconi</t>
  </si>
  <si>
    <t>Juliet Mangubat</t>
  </si>
  <si>
    <t>DCON/12/286</t>
  </si>
  <si>
    <t>MBERNASCONI</t>
  </si>
  <si>
    <t>JMANGUBAT</t>
  </si>
  <si>
    <t>29.05.2014</t>
  </si>
  <si>
    <t>Doltone House Hyde Park Sydney P/L</t>
  </si>
  <si>
    <t>26.05.2014</t>
  </si>
  <si>
    <t>09.09.2014</t>
  </si>
  <si>
    <t>Spectrum Review workshop</t>
  </si>
  <si>
    <t>Renea Wiggins</t>
  </si>
  <si>
    <t>02.06.2014</t>
  </si>
  <si>
    <t>RWIGGINS</t>
  </si>
  <si>
    <t>13.06.2014</t>
  </si>
  <si>
    <t>Grosvenor Management Consulting</t>
  </si>
  <si>
    <t>DBK Evaluation Method and Survey</t>
  </si>
  <si>
    <t>Eilleen Eugenio</t>
  </si>
  <si>
    <t>DCON/09/17</t>
  </si>
  <si>
    <t>DCON/09/116</t>
  </si>
  <si>
    <t>SON241274</t>
  </si>
  <si>
    <t>09.10.2014</t>
  </si>
  <si>
    <t>EEUGENIO</t>
  </si>
  <si>
    <t>Recruitment service for board candidates</t>
  </si>
  <si>
    <t>BOARD APPOINTMENT</t>
  </si>
  <si>
    <t>Christina Rose</t>
  </si>
  <si>
    <t>CROSE</t>
  </si>
  <si>
    <t>DEPARTMENT OF  EDUCATION,</t>
  </si>
  <si>
    <t>Department of Education venue hire and webcast video recording</t>
  </si>
  <si>
    <t>20.11.2013</t>
  </si>
  <si>
    <t>DEEWR venue hire and webcast video recor</t>
  </si>
  <si>
    <t>David Pecotic</t>
  </si>
  <si>
    <t>12.08.2014</t>
  </si>
  <si>
    <t>DPECOTIC</t>
  </si>
  <si>
    <t>Stamford Plaza Brisbane</t>
  </si>
  <si>
    <t>APEC TEL50 Stamford Plaza Hotel Brisbane</t>
  </si>
  <si>
    <t>28.09.2014</t>
  </si>
  <si>
    <t>Paul McFadyen</t>
  </si>
  <si>
    <t>06.08.2014</t>
  </si>
  <si>
    <t>PMCFADYEN</t>
  </si>
  <si>
    <t>25.06.2014</t>
  </si>
  <si>
    <t>Promotional of Digital Business Website</t>
  </si>
  <si>
    <t>25.11.2015</t>
  </si>
  <si>
    <t>Chelsey Sainsbury</t>
  </si>
  <si>
    <t>CSAINSBURY</t>
  </si>
  <si>
    <t>Lone Pine Koala Sanctuary</t>
  </si>
  <si>
    <t>APEC TEL50 Lone Pine Koala Sanctuary</t>
  </si>
  <si>
    <t>29.09.2014</t>
  </si>
  <si>
    <t>Kookaburra River Queens</t>
  </si>
  <si>
    <t>APEC TEL50 Kookaburra River Queens</t>
  </si>
  <si>
    <t>08.09.2014</t>
  </si>
  <si>
    <t>28.08.2014</t>
  </si>
  <si>
    <t>Provision of economic advice</t>
  </si>
  <si>
    <t>COMMERCIAL-IN-CONFIDENCE MATERIAL WILL BE INCLUDED</t>
  </si>
  <si>
    <t>Jacob Erlandsen</t>
  </si>
  <si>
    <t>JERLANDSEN</t>
  </si>
  <si>
    <t>27.09.2014</t>
  </si>
  <si>
    <t>18.09.2014</t>
  </si>
  <si>
    <t>23.09.2014</t>
  </si>
  <si>
    <t>07.10.2014</t>
  </si>
  <si>
    <t>13.03.2012</t>
  </si>
  <si>
    <t>Digitl Strat [OLD]</t>
  </si>
  <si>
    <t>Media Content Production Services</t>
  </si>
  <si>
    <t>Jennifer Watson</t>
  </si>
  <si>
    <t>DCON/10/67</t>
  </si>
  <si>
    <t>DCON/10/121</t>
  </si>
  <si>
    <t>SON360881</t>
  </si>
  <si>
    <t>JWATSON</t>
  </si>
  <si>
    <t>29.05.2012</t>
  </si>
  <si>
    <t>CITY OF PROSPECT</t>
  </si>
  <si>
    <t>City of Prospect DER2</t>
  </si>
  <si>
    <t>31.12.2014</t>
  </si>
  <si>
    <t>Lisa Pennock</t>
  </si>
  <si>
    <t>05.06.2012</t>
  </si>
  <si>
    <t>LPENNOCK</t>
  </si>
  <si>
    <t>18.05.2012</t>
  </si>
  <si>
    <t>Darebin Enterprise Centre Ltd</t>
  </si>
  <si>
    <t>Darebin DER2</t>
  </si>
  <si>
    <t>31.05.2012</t>
  </si>
  <si>
    <t>TAFE NSW - Western Sydney Institute</t>
  </si>
  <si>
    <t>Tafe NSW R2 Digital Enterprise</t>
  </si>
  <si>
    <t>30.12.2014</t>
  </si>
  <si>
    <t>15.07.2014</t>
  </si>
  <si>
    <t>SES Vehicle Lease R Windeyer YJA37N</t>
  </si>
  <si>
    <t>14.06.2012</t>
  </si>
  <si>
    <t>PENRITH CITY COUNCIL</t>
  </si>
  <si>
    <t>Penrith City Council Hubs</t>
  </si>
  <si>
    <t>18.06.2012</t>
  </si>
  <si>
    <t>THE SALVATION ARMY NSW PROPERTY</t>
  </si>
  <si>
    <t>Hawkesbury Hub - Salvation Army</t>
  </si>
  <si>
    <t>Town of Victoria Park</t>
  </si>
  <si>
    <t>Victoria Park Digital Hub</t>
  </si>
  <si>
    <t>12.06.2012</t>
  </si>
  <si>
    <t>24.12.2014</t>
  </si>
  <si>
    <t>3P Consulting Pty Ltd</t>
  </si>
  <si>
    <t>3p consulting DER2</t>
  </si>
  <si>
    <t>30.09.2014</t>
  </si>
  <si>
    <t>IPSWICH CITY COUNCIL</t>
  </si>
  <si>
    <t>Goodna Hubs R2</t>
  </si>
  <si>
    <t>Goodna Digital Hub</t>
  </si>
  <si>
    <t>AUBURN CiTY COUNCIL</t>
  </si>
  <si>
    <t>Auburn City Council Digital Hub</t>
  </si>
  <si>
    <t>Toowoomba Regional Council</t>
  </si>
  <si>
    <t>Toowoomba Regional Council Hubs R2</t>
  </si>
  <si>
    <t>Toowoomba Digital Hub</t>
  </si>
  <si>
    <t>23.01.2015</t>
  </si>
  <si>
    <t>City of Prospect Digital Hubs R2</t>
  </si>
  <si>
    <t>City of Prospect Digital Hub</t>
  </si>
  <si>
    <t>CITY OF SALISBURY</t>
  </si>
  <si>
    <t>City of Salisbury Enterprise</t>
  </si>
  <si>
    <t>Elizabeth McIntyre</t>
  </si>
  <si>
    <t>20.12.2013</t>
  </si>
  <si>
    <t>EMCINTYRE</t>
  </si>
  <si>
    <t>28.05.2012</t>
  </si>
  <si>
    <t>YARRA PLENTY REGIONAL LIBRARY</t>
  </si>
  <si>
    <t>Yarra Plenty Regional Library Service</t>
  </si>
  <si>
    <t>City of Ipswich Digital Enterprise R2</t>
  </si>
  <si>
    <t>Regional Development Aust Adelaide</t>
  </si>
  <si>
    <t xml:space="preserve"> Adelaide Hills DER3</t>
  </si>
  <si>
    <t>Adelaide Hills Enterprise R3</t>
  </si>
  <si>
    <t>UNIVERSITY OF BALLARAT</t>
  </si>
  <si>
    <t>University of Ballarat DER3</t>
  </si>
  <si>
    <t>13.06.2012</t>
  </si>
  <si>
    <t>17.12.2014</t>
  </si>
  <si>
    <t>DARWIN CITY COUNCIL</t>
  </si>
  <si>
    <t>Digital Hubs Program R2 - Darwin City Council</t>
  </si>
  <si>
    <t>Digital Hubs Program  - Darwin</t>
  </si>
  <si>
    <t>06.06.2012</t>
  </si>
  <si>
    <t>Orford Triabunna Chamber of Commerc</t>
  </si>
  <si>
    <t xml:space="preserve"> DER2 Triabunna Region Chamber of Commerce</t>
  </si>
  <si>
    <t>Triabunna DER2</t>
  </si>
  <si>
    <t>CIRCULAR HEAD COUNCIL</t>
  </si>
  <si>
    <t>Digital Hubs Program R2 - Smithton</t>
  </si>
  <si>
    <t>Digial Hubs Program R2 - Smithton</t>
  </si>
  <si>
    <t>Community Potential Foundation Ltd</t>
  </si>
  <si>
    <t>CPF Launceston, Kingborough, Sth Hob TAS  DER2</t>
  </si>
  <si>
    <t>Community Potential Foundation DER2</t>
  </si>
  <si>
    <t>Blacktown City Council</t>
  </si>
  <si>
    <t>DHR2 - Blacktown</t>
  </si>
  <si>
    <t>25.12.2014</t>
  </si>
  <si>
    <t>DHR2 -Blacktown</t>
  </si>
  <si>
    <t>Bacchus Marsh Community College Inc</t>
  </si>
  <si>
    <t>DHR2 - Bacchus Marsh Community College</t>
  </si>
  <si>
    <t>Bacchus Marsh Community Hubs R2</t>
  </si>
  <si>
    <t>ADELAIDE HILLS COUNCIL</t>
  </si>
  <si>
    <t>DHR2 - Adelaide Hills</t>
  </si>
  <si>
    <t>18.03.2015</t>
  </si>
  <si>
    <t>City of Greater Geraldton</t>
  </si>
  <si>
    <t>DHR2 Geraldton</t>
  </si>
  <si>
    <t>City of greater Geraldton R2 Hubs</t>
  </si>
  <si>
    <t>Business Enterprise Centre Inc</t>
  </si>
  <si>
    <t>Darwin BEC Round2 Digital Enterprise</t>
  </si>
  <si>
    <t>Coffs Coast Community College</t>
  </si>
  <si>
    <t>DHR2 - Coffs Harbour</t>
  </si>
  <si>
    <t>Coffs Harbour R2 Hubs</t>
  </si>
  <si>
    <t>Break O'Day Council</t>
  </si>
  <si>
    <t>DHR2 - St Helens - Break 'O Day Council</t>
  </si>
  <si>
    <t>DHR2 - St Helens</t>
  </si>
  <si>
    <t>GEORGE TOWN ONLINE INC</t>
  </si>
  <si>
    <t>DHR2 - George Town</t>
  </si>
  <si>
    <t>22.05.2014</t>
  </si>
  <si>
    <t>KINGBOROUGH COUNCIL</t>
  </si>
  <si>
    <t>DHR2 - Kingborough</t>
  </si>
  <si>
    <t>Adelaide City Council</t>
  </si>
  <si>
    <t>DHR3 - City of Adelaide</t>
  </si>
  <si>
    <t>31.03.2015</t>
  </si>
  <si>
    <t>20.06.2012</t>
  </si>
  <si>
    <t>Fremantle Chamber of Commerce</t>
  </si>
  <si>
    <t>Fremantle Chamber of Commerce Inc DER2</t>
  </si>
  <si>
    <t>26.11.2014</t>
  </si>
  <si>
    <t>Fremantle Chamber of Commerce Inc DER3</t>
  </si>
  <si>
    <t>Sarah Healy</t>
  </si>
  <si>
    <t>SHEALY</t>
  </si>
  <si>
    <t>The Town of Victoria Park Council DER2</t>
  </si>
  <si>
    <t>29.10.2014</t>
  </si>
  <si>
    <t>J&amp;B Personnel Pty Ltd</t>
  </si>
  <si>
    <t>J &amp; B Personnel Pty Ltd Lockyer DER3</t>
  </si>
  <si>
    <t>City of Melville</t>
  </si>
  <si>
    <t>DHR2 - City of Melville</t>
  </si>
  <si>
    <t>Business Success Group</t>
  </si>
  <si>
    <t>Brisbane DER3 Business Success Group</t>
  </si>
  <si>
    <t>Auburn City Council DER3</t>
  </si>
  <si>
    <t>Southern QLD Institute of TAFE</t>
  </si>
  <si>
    <t>DER2 Toowoomba SQIT</t>
  </si>
  <si>
    <t>City of Mandurah</t>
  </si>
  <si>
    <t>DHR2 - City of Mandurah</t>
  </si>
  <si>
    <t>DHR3 - Salisbury</t>
  </si>
  <si>
    <t>NSW Business Chamber Ltd</t>
  </si>
  <si>
    <t>NSW Business Chamber Ltd DER Tam/Liv</t>
  </si>
  <si>
    <t>22.06.2012</t>
  </si>
  <si>
    <t>Nepean Community College</t>
  </si>
  <si>
    <t>Nepean Community College Inc Penrith Ent</t>
  </si>
  <si>
    <t>21.02.2014</t>
  </si>
  <si>
    <t>Territory and Municipal Services</t>
  </si>
  <si>
    <t>DHR3 - Gungahlin ACT</t>
  </si>
  <si>
    <t>City of Greater Geraldton DER2</t>
  </si>
  <si>
    <t>30.10.2014</t>
  </si>
  <si>
    <t>Katelijne Van Landeghem</t>
  </si>
  <si>
    <t>KVANLANDEGHE</t>
  </si>
  <si>
    <t>CITY OF CHARLES STURT</t>
  </si>
  <si>
    <t>City of Charles Sturt - Digital Hub</t>
  </si>
  <si>
    <t>25.06.2012</t>
  </si>
  <si>
    <t>CITY OF TEA TREE GULLY</t>
  </si>
  <si>
    <t>DHR2 - The city of Tea Tree Gully</t>
  </si>
  <si>
    <t>ACT Government Economic Development</t>
  </si>
  <si>
    <t>DER3 ACT Economic Development</t>
  </si>
  <si>
    <t>24.08.2012</t>
  </si>
  <si>
    <t>DHR3 - Tamworth Regional Council Hub</t>
  </si>
  <si>
    <t>28.08.2012</t>
  </si>
  <si>
    <t>Tasmanian IT &amp; T industry Developme</t>
  </si>
  <si>
    <t>Round Three - TAS IT&amp;T Digital Hub</t>
  </si>
  <si>
    <t>18.09.2012</t>
  </si>
  <si>
    <t>Business Foundations Inc</t>
  </si>
  <si>
    <t>Belmont and Mandurah Digital Enterprise</t>
  </si>
  <si>
    <t>20.09.2012</t>
  </si>
  <si>
    <t>29.11.2014</t>
  </si>
  <si>
    <t>08.01.2013</t>
  </si>
  <si>
    <t>Round Three - Lockyer Valley Digital Hub</t>
  </si>
  <si>
    <t>20.12.2012</t>
  </si>
  <si>
    <t>19.04.2013</t>
  </si>
  <si>
    <t>Ballarat ICT Ltd</t>
  </si>
  <si>
    <t>Ballarat Digital Hub</t>
  </si>
  <si>
    <t>15.04.2013</t>
  </si>
  <si>
    <t>04.02.2015</t>
  </si>
  <si>
    <t>Brisbane City Council</t>
  </si>
  <si>
    <t>Brisbane City Council Digital Hub</t>
  </si>
  <si>
    <t>Gold Coast City Council</t>
  </si>
  <si>
    <t>Digital Enterprise Round 4 Gold Coast</t>
  </si>
  <si>
    <t>DER4 Gold Coast City Council</t>
  </si>
  <si>
    <t>05.07.2013</t>
  </si>
  <si>
    <t>Regional Development Australia-Illa</t>
  </si>
  <si>
    <t>Digital Enterprise Round 4 Wollongong</t>
  </si>
  <si>
    <t>DER4 Wollongong RDA Illawarra</t>
  </si>
  <si>
    <t>Regional Development Australia-Cent</t>
  </si>
  <si>
    <t>Digital Enterprise Round 4 Gosford</t>
  </si>
  <si>
    <t>DER4 Gosford RDA Central Coast</t>
  </si>
  <si>
    <t>LMHA Network Ltd</t>
  </si>
  <si>
    <t>Dig. Enterprise Program R5 - Bendigo</t>
  </si>
  <si>
    <t>Martina Donkers</t>
  </si>
  <si>
    <t>02.08.2013</t>
  </si>
  <si>
    <t>MDONKERS</t>
  </si>
  <si>
    <t>Bundaberg Regional Council</t>
  </si>
  <si>
    <t>Dig. Enterprise Program R5 - Bundaberg</t>
  </si>
  <si>
    <t>Regional Development Australia Far</t>
  </si>
  <si>
    <t>Dig. Enterprise Program R5 - Cairns</t>
  </si>
  <si>
    <t>Dig. Enterprise Program R5 - Darebin</t>
  </si>
  <si>
    <t>Australian Business Training Soluti</t>
  </si>
  <si>
    <t>Dig. Enterprise Program R5 - Greater Bri</t>
  </si>
  <si>
    <t>Victorian Employers Chamber of</t>
  </si>
  <si>
    <t>Dig. Enterprise Program R5 - Vecci</t>
  </si>
  <si>
    <t>Dig. Enterprise Program R5 - Perth</t>
  </si>
  <si>
    <t>NSW Business Chamber Limited</t>
  </si>
  <si>
    <t>Dig. Enterprise Program R5 - Greater Syd</t>
  </si>
  <si>
    <t>MWREDC limited</t>
  </si>
  <si>
    <t>Dig. Enterprise Program R5 - Mackay</t>
  </si>
  <si>
    <t>Hunter Region Business Enterprise</t>
  </si>
  <si>
    <t>Dig. Enterprise Program R5 - Hunter</t>
  </si>
  <si>
    <t>Regional Development Australia</t>
  </si>
  <si>
    <t>Dig. Enterprise Program R5 - Queanbeyan</t>
  </si>
  <si>
    <t>Saltbush Development Pty Ltd</t>
  </si>
  <si>
    <t>IT maintenance</t>
  </si>
  <si>
    <t>31.08.2014</t>
  </si>
  <si>
    <t>Cybersafety Helpbutton maintenance</t>
  </si>
  <si>
    <t>Wodonga City Council</t>
  </si>
  <si>
    <t>Dig. Enterprise Program R5 - Albury-Wodonga</t>
  </si>
  <si>
    <t>Dig. Enterprise Program R5 - Albury-Wodo</t>
  </si>
  <si>
    <t>14.08.2013</t>
  </si>
  <si>
    <t>23.07.2013</t>
  </si>
  <si>
    <t>Wagga Wagga City Council</t>
  </si>
  <si>
    <t>Dig. Enterprise Program R5 - Wagga Wagga</t>
  </si>
  <si>
    <t>CITY OF GREATER SHEPPARTON</t>
  </si>
  <si>
    <t>Dig. Enterprise Program R5 - Shepparton-Mooroopna</t>
  </si>
  <si>
    <t>Dig. Enterprise Program R5 - Shepparton</t>
  </si>
  <si>
    <t>03.09.2013</t>
  </si>
  <si>
    <t>Australian Communications Consumer</t>
  </si>
  <si>
    <t>Digital Business Kit Arts, Recreation and Education Services Sector</t>
  </si>
  <si>
    <t>Digital Business Kits</t>
  </si>
  <si>
    <t>The Australian Industry Group</t>
  </si>
  <si>
    <t>Digital Business Kit Manufacturing Sector</t>
  </si>
  <si>
    <t>Digital Business Kit for Manufacturing</t>
  </si>
  <si>
    <t>Australian Services Roundtable</t>
  </si>
  <si>
    <t>Digital Business Kit Professional Services Sector</t>
  </si>
  <si>
    <t>Early Childhood Australia Inc</t>
  </si>
  <si>
    <t>Digital Business Kit Early Childhood Care and Education</t>
  </si>
  <si>
    <t>Restaruant &amp; Catering Industry</t>
  </si>
  <si>
    <t>Digital Business Kits Restaurants and Cafes Sector</t>
  </si>
  <si>
    <t>06.09.2013</t>
  </si>
  <si>
    <t>Electrical &amp; Communications Assoc</t>
  </si>
  <si>
    <t>Digital Business Kits Construction Sector</t>
  </si>
  <si>
    <t>AUSTRALIAN COUNCIL OF SOCIAL</t>
  </si>
  <si>
    <t>Digital Business Kits Community Services Sector</t>
  </si>
  <si>
    <t>Gregory Kiossev</t>
  </si>
  <si>
    <t>GKIOSSEV</t>
  </si>
  <si>
    <t>National Retail Association Ltd</t>
  </si>
  <si>
    <t>Digital Business Kits Retail Sector</t>
  </si>
  <si>
    <t>03.07.2017</t>
  </si>
  <si>
    <t>The Royal Australian College of GP'</t>
  </si>
  <si>
    <t>Digital Business Kits Health Sector</t>
  </si>
  <si>
    <t>22.04.2014</t>
  </si>
  <si>
    <t>Pollinators Inc</t>
  </si>
  <si>
    <t>Pollinators Inc. DER2</t>
  </si>
  <si>
    <t>31.05.2015</t>
  </si>
  <si>
    <t>Mackay Regional Council</t>
  </si>
  <si>
    <t>01.09.2014</t>
  </si>
  <si>
    <t>27.11.2014</t>
  </si>
  <si>
    <t>23.05.2013</t>
  </si>
  <si>
    <t>Corp &amp; Busin [OLD]</t>
  </si>
  <si>
    <t>AURION</t>
  </si>
  <si>
    <t>HRMIS and associated services</t>
  </si>
  <si>
    <t>04.02.2010</t>
  </si>
  <si>
    <t>PT</t>
  </si>
  <si>
    <t>Alison SIMKUS</t>
  </si>
  <si>
    <t>Peter Bridges</t>
  </si>
  <si>
    <t>DCON/09/135</t>
  </si>
  <si>
    <t>ASIMKUS</t>
  </si>
  <si>
    <t>PBRIDGES</t>
  </si>
  <si>
    <t>11.07.2014</t>
  </si>
  <si>
    <t>ASG Group Limited</t>
  </si>
  <si>
    <t>ICT Managed Services</t>
  </si>
  <si>
    <t>12.04.2010</t>
  </si>
  <si>
    <t>Russell WENTWORTH</t>
  </si>
  <si>
    <t>DCON/09/67</t>
  </si>
  <si>
    <t>RWENTWORTH</t>
  </si>
  <si>
    <t>06.11.2014</t>
  </si>
  <si>
    <t>Andrew Dimoff Discretionary Trust</t>
  </si>
  <si>
    <t>Plant Hire</t>
  </si>
  <si>
    <t>01.10.2009</t>
  </si>
  <si>
    <t>Indoor Plant Hire</t>
  </si>
  <si>
    <t>MSS Security</t>
  </si>
  <si>
    <t>Guarding and Patrol services</t>
  </si>
  <si>
    <t>01.03.2011</t>
  </si>
  <si>
    <t>29.02.2016</t>
  </si>
  <si>
    <t>Diane Hambly</t>
  </si>
  <si>
    <t>Peter Day</t>
  </si>
  <si>
    <t>DCON/11/9</t>
  </si>
  <si>
    <t>DHAMBLY</t>
  </si>
  <si>
    <t>PDAY</t>
  </si>
  <si>
    <t>QUAD SERVICES PTY LTD</t>
  </si>
  <si>
    <t>Cleaning, sanitary and recycling service</t>
  </si>
  <si>
    <t>27.06.2011</t>
  </si>
  <si>
    <t>ATM/07/253</t>
  </si>
  <si>
    <t>ERM Power Retail Pty Ltd</t>
  </si>
  <si>
    <t>Electricity supply Canberra</t>
  </si>
  <si>
    <t>KIM MIHALYKA</t>
  </si>
  <si>
    <t>RFT DES/2011/WOG/01</t>
  </si>
  <si>
    <t>DCON/11/155</t>
  </si>
  <si>
    <t>SON387299</t>
  </si>
  <si>
    <t>KMIHALYKA</t>
  </si>
  <si>
    <t>18.08.2014</t>
  </si>
  <si>
    <t>DEPARTMENT OF FINANCE</t>
  </si>
  <si>
    <t>Internet Based network Connection</t>
  </si>
  <si>
    <t>22.05.2012</t>
  </si>
  <si>
    <t>21.05.2015</t>
  </si>
  <si>
    <t>Internet Based Network Connection</t>
  </si>
  <si>
    <t>BRONWYN JAMONTS</t>
  </si>
  <si>
    <t>BJAMONTS</t>
  </si>
  <si>
    <t>Lexmark International (Australia) P</t>
  </si>
  <si>
    <t>Major Office Machines equipment and support</t>
  </si>
  <si>
    <t>Lexmark Equipment &amp; Support</t>
  </si>
  <si>
    <t>FIN10/FMG018</t>
  </si>
  <si>
    <t>DCON/12/48</t>
  </si>
  <si>
    <t>SON588441</t>
  </si>
  <si>
    <t>27.06.2014</t>
  </si>
  <si>
    <t>Verizon Australia Pty Ltd</t>
  </si>
  <si>
    <t>Internet Gateway</t>
  </si>
  <si>
    <t>10.09.2012</t>
  </si>
  <si>
    <t>31.08.2017</t>
  </si>
  <si>
    <t>Internet Gateway Services</t>
  </si>
  <si>
    <t>DCON/12/233</t>
  </si>
  <si>
    <t>SON88680</t>
  </si>
  <si>
    <t>02.05.2014</t>
  </si>
  <si>
    <t>08.09.2012</t>
  </si>
  <si>
    <t>Vehicle lease - Pool van YGW30K</t>
  </si>
  <si>
    <t>05.05.2014</t>
  </si>
  <si>
    <t>16.06.2014</t>
  </si>
  <si>
    <t>TELSTRA</t>
  </si>
  <si>
    <t>Managed billing system</t>
  </si>
  <si>
    <t>02.10.2012</t>
  </si>
  <si>
    <t>17.05.2015</t>
  </si>
  <si>
    <t>SS</t>
  </si>
  <si>
    <t>MBRS System</t>
  </si>
  <si>
    <t>14.05.2015</t>
  </si>
  <si>
    <t>CIC Technology Pty Ltd</t>
  </si>
  <si>
    <t>Maintenance for Security Keysafes</t>
  </si>
  <si>
    <t>01.12.2012</t>
  </si>
  <si>
    <t>14.07.2014</t>
  </si>
  <si>
    <t>Canberra Data Centres Pty Ltd</t>
  </si>
  <si>
    <t>Data Centre facilities</t>
  </si>
  <si>
    <t>30.11.2012</t>
  </si>
  <si>
    <t>30.11.2022</t>
  </si>
  <si>
    <t>Data Centre Facilities</t>
  </si>
  <si>
    <t>FIN10/AGI010 - EXIST, &amp; FIN10/AGI010 - DEV</t>
  </si>
  <si>
    <t>DCON/12/276</t>
  </si>
  <si>
    <t>SON383698</t>
  </si>
  <si>
    <t>15.01.2015</t>
  </si>
  <si>
    <t>Australian Destruction Services Pty</t>
  </si>
  <si>
    <t>Classified Waste Paper Destruction</t>
  </si>
  <si>
    <t>19.11.2012</t>
  </si>
  <si>
    <t>18.11.2014</t>
  </si>
  <si>
    <t>DCON/12/219</t>
  </si>
  <si>
    <t>30.03.2015</t>
  </si>
  <si>
    <t>SG Fleet Australia PTY Ltd</t>
  </si>
  <si>
    <t>Departmental vehicle lease</t>
  </si>
  <si>
    <t>21.04.2013</t>
  </si>
  <si>
    <t>Vehicle lease YJM03R Cruise Pool car</t>
  </si>
  <si>
    <t>Jerry Passey</t>
  </si>
  <si>
    <t>DCON/13/112</t>
  </si>
  <si>
    <t>SON1142512</t>
  </si>
  <si>
    <t>JPASSEY</t>
  </si>
  <si>
    <t>24.04.2013</t>
  </si>
  <si>
    <t>Vehicle lease YJL50F Camry Pool car</t>
  </si>
  <si>
    <t>Departmental Vehicle lease</t>
  </si>
  <si>
    <t>03.06.2013</t>
  </si>
  <si>
    <t>Vehicle lease - Pool van YJP95X</t>
  </si>
  <si>
    <t>Secom Technical Services</t>
  </si>
  <si>
    <t>Maintenance Electronic Security Systems</t>
  </si>
  <si>
    <t>21.04.2017</t>
  </si>
  <si>
    <t>Grace Records Management (Australia</t>
  </si>
  <si>
    <t>Offsite File storage and Data Backup</t>
  </si>
  <si>
    <t>03.05.2013</t>
  </si>
  <si>
    <t>04.05.2016</t>
  </si>
  <si>
    <t>Wicka Simet</t>
  </si>
  <si>
    <t>DCON12/173</t>
  </si>
  <si>
    <t>22.06.2015</t>
  </si>
  <si>
    <t>WSIMET</t>
  </si>
  <si>
    <t>18.05.2015</t>
  </si>
  <si>
    <t>Car park Licence 38 Sydney Ave</t>
  </si>
  <si>
    <t>Car park Licence</t>
  </si>
  <si>
    <t>MACQUARIE TELECOM</t>
  </si>
  <si>
    <t>Voice Carriage Services</t>
  </si>
  <si>
    <t>26.05.2013</t>
  </si>
  <si>
    <t>19.10.2014</t>
  </si>
  <si>
    <t>Voice &amp; Video Conferencing Services</t>
  </si>
  <si>
    <t>11.08.2014</t>
  </si>
  <si>
    <t>Konica Minolta Business Solutions</t>
  </si>
  <si>
    <t>Equipment and Support Services</t>
  </si>
  <si>
    <t>07.07.2013</t>
  </si>
  <si>
    <t>DCON/12/49</t>
  </si>
  <si>
    <t>KPMG</t>
  </si>
  <si>
    <t>Internal Audit Contract 2013-2016</t>
  </si>
  <si>
    <t>Marnie Hodsdon</t>
  </si>
  <si>
    <t>DCON/09/120</t>
  </si>
  <si>
    <t>MHODSDON</t>
  </si>
  <si>
    <t>17.03.2015</t>
  </si>
  <si>
    <t>Vehicle lease M Heazlett YJM-49F</t>
  </si>
  <si>
    <t>FIN12/FMG001-RFT</t>
  </si>
  <si>
    <t>02.07.2013</t>
  </si>
  <si>
    <t>Adobe Systems Software Ireland Ltd</t>
  </si>
  <si>
    <t>Licences and Support</t>
  </si>
  <si>
    <t>28.06.2016</t>
  </si>
  <si>
    <t>Licence and Support Contract</t>
  </si>
  <si>
    <t>Big N Pty Ltd T/as</t>
  </si>
  <si>
    <t>PR Services</t>
  </si>
  <si>
    <t>PR Services  Retune Campaign 2013/14</t>
  </si>
  <si>
    <t>Rebecca Kavanagh</t>
  </si>
  <si>
    <t>Sivagowry Dhevarajah</t>
  </si>
  <si>
    <t>DCON/09/64</t>
  </si>
  <si>
    <t>SON241347</t>
  </si>
  <si>
    <t>08.08.2014</t>
  </si>
  <si>
    <t>RKAVANAGH</t>
  </si>
  <si>
    <t>SDHEVARAJAH</t>
  </si>
  <si>
    <t>Bellewarra Investments Pty Ltd</t>
  </si>
  <si>
    <t>External Deputy Chair of the Audit Committee</t>
  </si>
  <si>
    <t>External Deputy Chair Audit Committee</t>
  </si>
  <si>
    <t>Stacey Cain</t>
  </si>
  <si>
    <t>DCON/13/150</t>
  </si>
  <si>
    <t>SCAIN</t>
  </si>
  <si>
    <t>LENEARLY PTY LTD</t>
  </si>
  <si>
    <t>External Chair of the Audit Committee</t>
  </si>
  <si>
    <t>DCON/13/149</t>
  </si>
  <si>
    <t>Section 22 Barton Unit Trust</t>
  </si>
  <si>
    <t>Canberra carparking</t>
  </si>
  <si>
    <t>09.06.2018</t>
  </si>
  <si>
    <t>27.06.2015</t>
  </si>
  <si>
    <t>Service Stream Solutions Pty Ltd</t>
  </si>
  <si>
    <t>Retune_Call Centre Services 2013-14, 2014-15</t>
  </si>
  <si>
    <t>Retune Call Center Services 2013-14-15</t>
  </si>
  <si>
    <t>Jacquelin Travia</t>
  </si>
  <si>
    <t>DCON/07/222</t>
  </si>
  <si>
    <t>DCON/08/063</t>
  </si>
  <si>
    <t>SON106196</t>
  </si>
  <si>
    <t>JTRAVIA</t>
  </si>
  <si>
    <t>Dialog Pty Ltd trading as</t>
  </si>
  <si>
    <t>Project resource</t>
  </si>
  <si>
    <t>19.07.2013</t>
  </si>
  <si>
    <t>IMC13006 CRM Enterprise Solution Project</t>
  </si>
  <si>
    <t>Henry Tabisz</t>
  </si>
  <si>
    <t>RFTS07/0129</t>
  </si>
  <si>
    <t>DCON/11/246</t>
  </si>
  <si>
    <t>SON50822</t>
  </si>
  <si>
    <t>HTABISZ</t>
  </si>
  <si>
    <t>15.05.2015</t>
  </si>
  <si>
    <t>WESTPAC BANKING</t>
  </si>
  <si>
    <t>Banking Services</t>
  </si>
  <si>
    <t>24.07.2016</t>
  </si>
  <si>
    <t>Westpac Banking Contract 2013 to 2016</t>
  </si>
  <si>
    <t>Sheree BOYD</t>
  </si>
  <si>
    <t>SBOYD</t>
  </si>
  <si>
    <t>Davidson Trahaire Corpsych</t>
  </si>
  <si>
    <t>Employee Assistance Program</t>
  </si>
  <si>
    <t>28.03.2015</t>
  </si>
  <si>
    <t>Amanda Storen</t>
  </si>
  <si>
    <t>DCON/09/138</t>
  </si>
  <si>
    <t>SON269947</t>
  </si>
  <si>
    <t>18.12.2014</t>
  </si>
  <si>
    <t>ASTOREN</t>
  </si>
  <si>
    <t>Colliers International (ACT) Pty Lt</t>
  </si>
  <si>
    <t>44 Sydney Ave Lease</t>
  </si>
  <si>
    <t>Lease 44 Sydney Ave</t>
  </si>
  <si>
    <t>Emerson Network Power Australia Pty</t>
  </si>
  <si>
    <t>Air Con Maintenance</t>
  </si>
  <si>
    <t>01.10.2013</t>
  </si>
  <si>
    <t>2013/14 Air Con Maintenance</t>
  </si>
  <si>
    <t>Bernard Hogan</t>
  </si>
  <si>
    <t>BHOGAN</t>
  </si>
  <si>
    <t>Data # 3 Ltd</t>
  </si>
  <si>
    <t>VSA II - Agency Enterprise Enrolment</t>
  </si>
  <si>
    <t>16.08.2013</t>
  </si>
  <si>
    <t>RFT FIN11/AGI011</t>
  </si>
  <si>
    <t>DCON/12/160</t>
  </si>
  <si>
    <t>SON470578</t>
  </si>
  <si>
    <t>Major Internet Connection</t>
  </si>
  <si>
    <t>25.02.2013</t>
  </si>
  <si>
    <t>24.02.2018</t>
  </si>
  <si>
    <t>Major Internet Connection Service</t>
  </si>
  <si>
    <t>NGA.NET Pty Ltd</t>
  </si>
  <si>
    <t>Online recruitment system</t>
  </si>
  <si>
    <t>14.11.2013</t>
  </si>
  <si>
    <t>13.10.2015</t>
  </si>
  <si>
    <t>C11/0403</t>
  </si>
  <si>
    <t>11.05.2015</t>
  </si>
  <si>
    <t>Doma Trustee Pty Ltd</t>
  </si>
  <si>
    <t>27.02.2014</t>
  </si>
  <si>
    <t>26.02.2015</t>
  </si>
  <si>
    <t>Renewal of KPMG COC License 2013-14</t>
  </si>
  <si>
    <t>05.11.2013</t>
  </si>
  <si>
    <t>14.03.2015</t>
  </si>
  <si>
    <t>Colliers International</t>
  </si>
  <si>
    <t>Lease for 38 Sydney Ave</t>
  </si>
  <si>
    <t>22.11.2012</t>
  </si>
  <si>
    <t>21.11.2017</t>
  </si>
  <si>
    <t>17.12.2013</t>
  </si>
  <si>
    <t>Corporate</t>
  </si>
  <si>
    <t>Gunnebo Australia Pty Ltd</t>
  </si>
  <si>
    <t>SpeedStile Gates &amp; Lane maintenance</t>
  </si>
  <si>
    <t>Financial and Credit Card  Review</t>
  </si>
  <si>
    <t>18.12.2013</t>
  </si>
  <si>
    <t>Financial Transactions Review 2013/14</t>
  </si>
  <si>
    <t>ACBPS127074</t>
  </si>
  <si>
    <t>DCON/13/230</t>
  </si>
  <si>
    <t>SON1837491</t>
  </si>
  <si>
    <t>Credit Card  Transaction Review 2013/14</t>
  </si>
  <si>
    <t>SAP AUSTRALIA PTY LTD</t>
  </si>
  <si>
    <t>SAP Maintenance Fees 2014- GITC4 Contract</t>
  </si>
  <si>
    <t>SAP Maintenance and Licence Fees 2014</t>
  </si>
  <si>
    <t>02.01.2014</t>
  </si>
  <si>
    <t>17.01.2014</t>
  </si>
  <si>
    <t>HEWLETT PACKARD AUST LTD</t>
  </si>
  <si>
    <t>software maintenance</t>
  </si>
  <si>
    <t>HP TRIM annual maintenance</t>
  </si>
  <si>
    <t>28.01.2014</t>
  </si>
  <si>
    <t>Air conditioning maintenance</t>
  </si>
  <si>
    <t>04.02.2014</t>
  </si>
  <si>
    <t>Attorney-Generals Department</t>
  </si>
  <si>
    <t>Australian Secure Network service</t>
  </si>
  <si>
    <t>2013/14 ASNET Annual fee</t>
  </si>
  <si>
    <t>05.02.2014</t>
  </si>
  <si>
    <t>Webqem</t>
  </si>
  <si>
    <t>Adobe Digital Publishing Suite</t>
  </si>
  <si>
    <t>Sarah Christie</t>
  </si>
  <si>
    <t>SCHRISTIE</t>
  </si>
  <si>
    <t>Media Monitoring Services to May 2015</t>
  </si>
  <si>
    <t>13.01.2014</t>
  </si>
  <si>
    <t>Melissa Banks</t>
  </si>
  <si>
    <t>PMC2008 P0019</t>
  </si>
  <si>
    <t>DCON/14/12</t>
  </si>
  <si>
    <t>SON183611</t>
  </si>
  <si>
    <t>MBANKS</t>
  </si>
  <si>
    <t>14.03.2014</t>
  </si>
  <si>
    <t>EL1(PA) - Agency Contractor</t>
  </si>
  <si>
    <t>EL1(PA) - Agency Contractor - C Reid</t>
  </si>
  <si>
    <t>Agency Contractor</t>
  </si>
  <si>
    <t>19.03.2014</t>
  </si>
  <si>
    <t>Agency Contractor - M Banks</t>
  </si>
  <si>
    <t>DCON/13/24</t>
  </si>
  <si>
    <t>Isobar</t>
  </si>
  <si>
    <t>Isobar Digital Business Strategy</t>
  </si>
  <si>
    <t>14.04.2014</t>
  </si>
  <si>
    <t>DCON/10/96</t>
  </si>
  <si>
    <t>DCON/11/46</t>
  </si>
  <si>
    <t>SON368749</t>
  </si>
  <si>
    <t>28.04.2014</t>
  </si>
  <si>
    <t>APS4 - Non-ongoing - A Newport</t>
  </si>
  <si>
    <t>PETER DEMANT &amp; HANS EBERSTALLER</t>
  </si>
  <si>
    <t>Fyshwick Warehouse lease</t>
  </si>
  <si>
    <t>01.05.2014</t>
  </si>
  <si>
    <t>30.04.2017</t>
  </si>
  <si>
    <t>16.05.2014</t>
  </si>
  <si>
    <t>Lynda.com</t>
  </si>
  <si>
    <t>19.05.2014</t>
  </si>
  <si>
    <t>Renee Osburne</t>
  </si>
  <si>
    <t>ROSBURNE</t>
  </si>
  <si>
    <t>Development and ImplementationWindows8</t>
  </si>
  <si>
    <t>IMC13015 - Win8 SOE &amp; mobility project</t>
  </si>
  <si>
    <t>SON269193</t>
  </si>
  <si>
    <t>Analytics Group Pty Ltd</t>
  </si>
  <si>
    <t>For the Provision of Specialist Financial Services</t>
  </si>
  <si>
    <t>For the Provision of Specialist Financia</t>
  </si>
  <si>
    <t>Benjamin Smith</t>
  </si>
  <si>
    <t>DCON/14/81</t>
  </si>
  <si>
    <t>BSMITH1</t>
  </si>
  <si>
    <t>Balance Recruitment Pty Ltd</t>
  </si>
  <si>
    <t>Training and Communications Plan</t>
  </si>
  <si>
    <t>Mobility training and comms plan</t>
  </si>
  <si>
    <t>Melanie Finn</t>
  </si>
  <si>
    <t>21.07.2014</t>
  </si>
  <si>
    <t>MFINN</t>
  </si>
  <si>
    <t>The Trustee for Silverstripe Unit T</t>
  </si>
  <si>
    <t>Web 2.0 support and maintenance</t>
  </si>
  <si>
    <t>DCON/11/41</t>
  </si>
  <si>
    <t>11.06.2014</t>
  </si>
  <si>
    <t>Squiz Australia Pty Ltd</t>
  </si>
  <si>
    <t>Web support and maintenance</t>
  </si>
  <si>
    <t>DCON/11/37</t>
  </si>
  <si>
    <t>Internetrix</t>
  </si>
  <si>
    <t>Google Maps License</t>
  </si>
  <si>
    <t>Google Maps Licence</t>
  </si>
  <si>
    <t>DCON/11/28</t>
  </si>
  <si>
    <t>Web technical support</t>
  </si>
  <si>
    <t>Viocorp International Pty Ltd</t>
  </si>
  <si>
    <t>Viocorp licence</t>
  </si>
  <si>
    <t>2009:P0037</t>
  </si>
  <si>
    <t>SON263913</t>
  </si>
  <si>
    <t>Map hosting and support</t>
  </si>
  <si>
    <t>Haylix Pty Ltd</t>
  </si>
  <si>
    <t>Content Delivery Network</t>
  </si>
  <si>
    <t>DCON/11/21</t>
  </si>
  <si>
    <t>12.06.2014</t>
  </si>
  <si>
    <t>Ionize Pty Ltd</t>
  </si>
  <si>
    <t>Web security services</t>
  </si>
  <si>
    <t>Security review services</t>
  </si>
  <si>
    <t>DCON/13/178</t>
  </si>
  <si>
    <t>OPC IT Pty Ltd</t>
  </si>
  <si>
    <t>Accessibility services</t>
  </si>
  <si>
    <t>Excelerated Consulting Pty Ltd</t>
  </si>
  <si>
    <t>TM1 Annual software subscription 2014-15</t>
  </si>
  <si>
    <t>Emmanuel RENAUT</t>
  </si>
  <si>
    <t>ERENAUT</t>
  </si>
  <si>
    <t>17.06.2014</t>
  </si>
  <si>
    <t>Microsoft Pty Limited</t>
  </si>
  <si>
    <t>software licensing</t>
  </si>
  <si>
    <t>Microsoft Premier Support</t>
  </si>
  <si>
    <t>The Trustee for Integrity Advisory</t>
  </si>
  <si>
    <t>Provision of a Fraud Risk Assessment</t>
  </si>
  <si>
    <t>DCON/14/93</t>
  </si>
  <si>
    <t>COMSUPER</t>
  </si>
  <si>
    <t>2014-15 ComSuper Account Management Fees</t>
  </si>
  <si>
    <t>Amanda Wilson</t>
  </si>
  <si>
    <t>25.07.2014</t>
  </si>
  <si>
    <t>AWILSON</t>
  </si>
  <si>
    <t>09.06.2014</t>
  </si>
  <si>
    <t>HBA Consulting Pty Ltd</t>
  </si>
  <si>
    <t>EA Bargaining Consultant</t>
  </si>
  <si>
    <t>RANDOM COMPUTING SERVICES PTY LTD</t>
  </si>
  <si>
    <t>support maintenance</t>
  </si>
  <si>
    <t>ExecCorro support maintenance 2014/15</t>
  </si>
  <si>
    <t>Orima Research</t>
  </si>
  <si>
    <t>Research Retune Campaign 2014-15</t>
  </si>
  <si>
    <t>DCON/12/313</t>
  </si>
  <si>
    <t>DATA#3 Limited</t>
  </si>
  <si>
    <t>Software licences</t>
  </si>
  <si>
    <t>VSAII - year 2 billing</t>
  </si>
  <si>
    <t>Barbara Sullivan</t>
  </si>
  <si>
    <t>Workforce planning</t>
  </si>
  <si>
    <t>21.05.2014</t>
  </si>
  <si>
    <t>Financial Statements Support Services</t>
  </si>
  <si>
    <t>SOUTHERN CROSS COMPUTING PTY LTD</t>
  </si>
  <si>
    <t>SAP Development and Support 2014-15</t>
  </si>
  <si>
    <t>IPAC2010/13823</t>
  </si>
  <si>
    <t>DCON/12/181</t>
  </si>
  <si>
    <t>SON389818</t>
  </si>
  <si>
    <t>Cultural Perspectives Pty Ltd</t>
  </si>
  <si>
    <t>CALD Services Retune Campaign 2014/15</t>
  </si>
  <si>
    <t>DCON/10/29</t>
  </si>
  <si>
    <t>SON331286</t>
  </si>
  <si>
    <t>Online 89 Pty Ltd</t>
  </si>
  <si>
    <t>specialist services</t>
  </si>
  <si>
    <t>VC and AV onsite support</t>
  </si>
  <si>
    <t>DCON/13/203</t>
  </si>
  <si>
    <t>25.08.2014</t>
  </si>
  <si>
    <t>Web Master Services Agreement</t>
  </si>
  <si>
    <t>Corporate Executive Board</t>
  </si>
  <si>
    <t>CEB Corporate Leadership Membership</t>
  </si>
  <si>
    <t>Deborah Kerrins</t>
  </si>
  <si>
    <t>Heather Jackson</t>
  </si>
  <si>
    <t>DKERRINS</t>
  </si>
  <si>
    <t>HJACKSON</t>
  </si>
  <si>
    <t>BMF</t>
  </si>
  <si>
    <t>Creative services Retune Campaign 14-15</t>
  </si>
  <si>
    <t>DCON/08/85</t>
  </si>
  <si>
    <t>SON164342</t>
  </si>
  <si>
    <t>Capitol Chilled Foods</t>
  </si>
  <si>
    <t>2014/15 Department Milk Supplies</t>
  </si>
  <si>
    <t>Toll Priority</t>
  </si>
  <si>
    <t>2014/15 National freight</t>
  </si>
  <si>
    <t>Chubb Fire &amp; Security Pty Ltd</t>
  </si>
  <si>
    <t>2014/15 Security Line monitoring</t>
  </si>
  <si>
    <t>ZIP HEATERS (AUST) PTY LTD</t>
  </si>
  <si>
    <t>2014/15 Water filter maintenance</t>
  </si>
  <si>
    <t>Able Organic Recycling</t>
  </si>
  <si>
    <t>2014/15 Organic recycling</t>
  </si>
  <si>
    <t>BALFRAN REMOVALS</t>
  </si>
  <si>
    <t>Specialist removals to assist with implementation of new organisational structure</t>
  </si>
  <si>
    <t>2014/15 Specialist removals</t>
  </si>
  <si>
    <t>FOXTEL-6085724</t>
  </si>
  <si>
    <t>2014/15 Foxtel connection</t>
  </si>
  <si>
    <t>04.07.2014</t>
  </si>
  <si>
    <t>Video Streaming Solution</t>
  </si>
  <si>
    <t>NEF Consulting Services</t>
  </si>
  <si>
    <t>Reshuffle and Redesign</t>
  </si>
  <si>
    <t>Departmental Reshuffle and Redesign</t>
  </si>
  <si>
    <t>09.08.2014</t>
  </si>
  <si>
    <t>Eaton Industries Pty Ltd</t>
  </si>
  <si>
    <t>Uninterupted Power Supply Maintenance</t>
  </si>
  <si>
    <t>08.08.2015</t>
  </si>
  <si>
    <t>2014/2015 UPS Maintenance</t>
  </si>
  <si>
    <t>07.07.2014</t>
  </si>
  <si>
    <t>Intranet redevelopment</t>
  </si>
  <si>
    <t>Fedlink Security services</t>
  </si>
  <si>
    <t>2014/15 Fedlink Security services</t>
  </si>
  <si>
    <t>Mobile phones</t>
  </si>
  <si>
    <t>2014/15 Mobile phones</t>
  </si>
  <si>
    <t>FIN10/AGI002</t>
  </si>
  <si>
    <t>FIN10/AGI002-3</t>
  </si>
  <si>
    <t>SON361177</t>
  </si>
  <si>
    <t>ETHANGROUP</t>
  </si>
  <si>
    <t>Mobile devices</t>
  </si>
  <si>
    <t>2014/15 Mobile devices</t>
  </si>
  <si>
    <t>FIN10/AGI001</t>
  </si>
  <si>
    <t>DCON/14/19</t>
  </si>
  <si>
    <t>SON335550</t>
  </si>
  <si>
    <t>Mitchell &amp; Partners Australia Pty L</t>
  </si>
  <si>
    <t>Retune Campaign Media buy 2014-15</t>
  </si>
  <si>
    <t>03.03.2015</t>
  </si>
  <si>
    <t>TM1 Upgrade to 10.2.2</t>
  </si>
  <si>
    <t>03.07.2015</t>
  </si>
  <si>
    <t>AUSTRALIA POST 199778</t>
  </si>
  <si>
    <t>2014/15 Mail Collection</t>
  </si>
  <si>
    <t>AUSTRALIAN PEST CONTROL</t>
  </si>
  <si>
    <t>2014/15 Pest Control</t>
  </si>
  <si>
    <t>Optus Billing Services Pty Ltd</t>
  </si>
  <si>
    <t>Network carriage</t>
  </si>
  <si>
    <t>2014/15 Unclassified Network Service</t>
  </si>
  <si>
    <t>Software maintenance</t>
  </si>
  <si>
    <t>NetApp maintenance and support</t>
  </si>
  <si>
    <t>09.06.2015</t>
  </si>
  <si>
    <t>Wilson Parking</t>
  </si>
  <si>
    <t>2014/15 STMT Parking</t>
  </si>
  <si>
    <t>Investa Asset Management Pty Ltd</t>
  </si>
  <si>
    <t>Rent St Martins Tower - 2014-2017</t>
  </si>
  <si>
    <t>26.08.2014</t>
  </si>
  <si>
    <t>DCON/14/28</t>
  </si>
  <si>
    <t>24.10.2014</t>
  </si>
  <si>
    <t>Orijen Pty Ltd</t>
  </si>
  <si>
    <t>Women in ICT coaching program</t>
  </si>
  <si>
    <t>HP 10GB SFP modules</t>
  </si>
  <si>
    <t>Omaha IT Services Pty Ltd</t>
  </si>
  <si>
    <t>IMS &amp; Trim support</t>
  </si>
  <si>
    <t>DCON/13/95</t>
  </si>
  <si>
    <t>Jacobs Australia</t>
  </si>
  <si>
    <t>IMS &amp; Sharepoint support</t>
  </si>
  <si>
    <t>DCON/13/184</t>
  </si>
  <si>
    <t>Finite Recruitment Pty Ltd</t>
  </si>
  <si>
    <t>IMS and Trim support</t>
  </si>
  <si>
    <t>Katherine Parr</t>
  </si>
  <si>
    <t>DCON/13/132</t>
  </si>
  <si>
    <t>KPARR</t>
  </si>
  <si>
    <t>COMCARE</t>
  </si>
  <si>
    <t>Workers Compensation Premium 2014/2015</t>
  </si>
  <si>
    <t>Sean Chapman</t>
  </si>
  <si>
    <t>SCHAPMAN</t>
  </si>
  <si>
    <t>Langtree Information Management</t>
  </si>
  <si>
    <t>Records Management and Help Desk support</t>
  </si>
  <si>
    <t>Tempo Strategies Pty Ltd</t>
  </si>
  <si>
    <t>Project Management Training</t>
  </si>
  <si>
    <t>Department of Education</t>
  </si>
  <si>
    <t>PWS transition fee</t>
  </si>
  <si>
    <t>Courtney Schmitzer</t>
  </si>
  <si>
    <t>Lila APICHATSKULDEJ</t>
  </si>
  <si>
    <t>CSCHMITZER</t>
  </si>
  <si>
    <t>LAPICHATSKUL</t>
  </si>
  <si>
    <t>TRUEnergy T/As Energy Australia</t>
  </si>
  <si>
    <t>2014/15 Electricity STMT</t>
  </si>
  <si>
    <t>Stowe Australia Pty Ltd</t>
  </si>
  <si>
    <t>2014/15 Electrical maintenance</t>
  </si>
  <si>
    <t>DCON/09/28</t>
  </si>
  <si>
    <t>SON399480</t>
  </si>
  <si>
    <t>Edsring Property Maintenance</t>
  </si>
  <si>
    <t>2014/15 Property maintenance STMT</t>
  </si>
  <si>
    <t>COMCOVER INSURANCE SERVICES</t>
  </si>
  <si>
    <t>Payment of Comcover Insurance Premium</t>
  </si>
  <si>
    <t>16.07.2014</t>
  </si>
  <si>
    <t>26.09.2014</t>
  </si>
  <si>
    <t>Linda MEDIC</t>
  </si>
  <si>
    <t>LMEDIC</t>
  </si>
  <si>
    <t>Inlogik Pty Ltd</t>
  </si>
  <si>
    <t>Ongoing licence fees for ProMaster</t>
  </si>
  <si>
    <t>23.07.2014</t>
  </si>
  <si>
    <t>COPE SENSITIVE FREIGHT</t>
  </si>
  <si>
    <t>Sensitive Freight</t>
  </si>
  <si>
    <t>2014/15 Sensitive Freight carrier</t>
  </si>
  <si>
    <t>Cantlie Recruitment Services</t>
  </si>
  <si>
    <t>EL1 - Non-ongoing People Branch</t>
  </si>
  <si>
    <t>2014-2015 WC Regulatory Contribution</t>
  </si>
  <si>
    <t>29.07.2014</t>
  </si>
  <si>
    <t>Trish Bergin Consulting</t>
  </si>
  <si>
    <t>Corporate Change Management</t>
  </si>
  <si>
    <t>Commvault maintenance renewal</t>
  </si>
  <si>
    <t>30.07.2014</t>
  </si>
  <si>
    <t>ELECTROBOARD SOLUTIONS PTY LTD</t>
  </si>
  <si>
    <t>software and hardware maintenance</t>
  </si>
  <si>
    <t>Polycom equipment and software maintenan</t>
  </si>
  <si>
    <t>DCON/11/229</t>
  </si>
  <si>
    <t>DCON/12/95</t>
  </si>
  <si>
    <t>SON480581</t>
  </si>
  <si>
    <t>Department of Finance &amp; Deregulatio</t>
  </si>
  <si>
    <t>Intra Government Contribution Network</t>
  </si>
  <si>
    <t>26.07.2014</t>
  </si>
  <si>
    <t>ICON members contribution 14/15</t>
  </si>
  <si>
    <t>17.07.2014</t>
  </si>
  <si>
    <t>Papercut Pty Ltd</t>
  </si>
  <si>
    <t>Typesetting &amp; Indexing of Annual Report</t>
  </si>
  <si>
    <t>17.10.2014</t>
  </si>
  <si>
    <t>Damian Rutledge</t>
  </si>
  <si>
    <t>21.10.2014</t>
  </si>
  <si>
    <t>DRUTLEDGE</t>
  </si>
  <si>
    <t>Air Con maintenance</t>
  </si>
  <si>
    <t>30.07.2015</t>
  </si>
  <si>
    <t>2014/15 Air Con maintenance</t>
  </si>
  <si>
    <t>ACTEWAGL</t>
  </si>
  <si>
    <t>2014/15 Electricity - Fyshwick warehouse</t>
  </si>
  <si>
    <t>Property and Security Services</t>
  </si>
  <si>
    <t>04.08.2014</t>
  </si>
  <si>
    <t>OBS Pty Ltd</t>
  </si>
  <si>
    <t>Technical Support</t>
  </si>
  <si>
    <t>EL1 - Agency Contractor - People Branch</t>
  </si>
  <si>
    <t>THE DEPARTMENT OF PRIME MINISTER</t>
  </si>
  <si>
    <t>CABNET Terminal 2014-2015</t>
  </si>
  <si>
    <t>CABNET Terminal</t>
  </si>
  <si>
    <t>Anne Jeyaseelan</t>
  </si>
  <si>
    <t>AJEYASEELAN</t>
  </si>
  <si>
    <t>10.09.2014</t>
  </si>
  <si>
    <t>SOS (STAFFING &amp; OFFICE SOLUTIONS)</t>
  </si>
  <si>
    <t>APS5PA - Non-ongoing - Communications</t>
  </si>
  <si>
    <t>professional services</t>
  </si>
  <si>
    <t>15.08.2014</t>
  </si>
  <si>
    <t>WAN Router Replacement</t>
  </si>
  <si>
    <t>14.08.2014</t>
  </si>
  <si>
    <t>Reading Room</t>
  </si>
  <si>
    <t>Digital Services</t>
  </si>
  <si>
    <t>Accomodation Minor Works</t>
  </si>
  <si>
    <t>desktop services</t>
  </si>
  <si>
    <t>Staff Relocation - work order</t>
  </si>
  <si>
    <t>Firstservis Pty Ltd</t>
  </si>
  <si>
    <t>IMS and Enterprise search support</t>
  </si>
  <si>
    <t>20.08.2014</t>
  </si>
  <si>
    <t>Check-up Digital Reporting</t>
  </si>
  <si>
    <t>CANPRINT COMMUNICATIONS PTY LTD</t>
  </si>
  <si>
    <t>2014/15 Business printing</t>
  </si>
  <si>
    <t>Department of Defence Business</t>
  </si>
  <si>
    <t>Security Clearances</t>
  </si>
  <si>
    <t>2014/15 Security Clearances</t>
  </si>
  <si>
    <t>22.08.2014</t>
  </si>
  <si>
    <t>Unify Solutions</t>
  </si>
  <si>
    <t>ID Broker maintenance</t>
  </si>
  <si>
    <t>Pitney Bowes Australia Pty Ltd</t>
  </si>
  <si>
    <t>2014/15 Machine maint and consumables</t>
  </si>
  <si>
    <t>05.09.2014</t>
  </si>
  <si>
    <t>Departm of Innovation,</t>
  </si>
  <si>
    <t>Dept of Industry overcharge expenses</t>
  </si>
  <si>
    <t>Jasmine Polsen</t>
  </si>
  <si>
    <t>JPOLSEN</t>
  </si>
  <si>
    <t>MARGERISON-McCANN TEAM MANAG. SYS.</t>
  </si>
  <si>
    <t>Team Management Profiling</t>
  </si>
  <si>
    <t>IT Security contractor</t>
  </si>
  <si>
    <t>20.09.2014</t>
  </si>
  <si>
    <t>Contractor - non-ongoing ITSA</t>
  </si>
  <si>
    <t>04.09.2014</t>
  </si>
  <si>
    <t>Plantronics headsets</t>
  </si>
  <si>
    <t>03.09.2014</t>
  </si>
  <si>
    <t>EL1 Non-ongoing Human Resources Branch</t>
  </si>
  <si>
    <t>30.10.2015</t>
  </si>
  <si>
    <t>EL2 - Non-ongoing - Human Resources</t>
  </si>
  <si>
    <t>15.10.2014</t>
  </si>
  <si>
    <t>Blended Pty Ltd</t>
  </si>
  <si>
    <t>Harvard ManageMentor</t>
  </si>
  <si>
    <t>01.09.2017</t>
  </si>
  <si>
    <t>Online capability development solution</t>
  </si>
  <si>
    <t>DCON/14/115</t>
  </si>
  <si>
    <t>11.03.2015</t>
  </si>
  <si>
    <t>APS4 Contractor -Digital Communications</t>
  </si>
  <si>
    <t>DCON/13/17</t>
  </si>
  <si>
    <t>Cameron and Associates</t>
  </si>
  <si>
    <t>Outplacement Services</t>
  </si>
  <si>
    <t>28.06.2015</t>
  </si>
  <si>
    <t>APSC MoU leadership/Indigenous</t>
  </si>
  <si>
    <t>MOZ Consulting</t>
  </si>
  <si>
    <t>Strategic advice &amp; support/Organisation</t>
  </si>
  <si>
    <t>OTX Acoustic Review and Remediation</t>
  </si>
  <si>
    <t>NA1000</t>
  </si>
  <si>
    <t>Sydney Office Minor Works Scoping</t>
  </si>
  <si>
    <t>NA</t>
  </si>
  <si>
    <t>APS5 Agency Contractor-Corporate Service</t>
  </si>
  <si>
    <t>17.09.2014</t>
  </si>
  <si>
    <t>22.09.2014</t>
  </si>
  <si>
    <t>APS4 Non-ongoing EA (Digital Comms)</t>
  </si>
  <si>
    <t>Information management resource</t>
  </si>
  <si>
    <t>Karen Toole</t>
  </si>
  <si>
    <t>Jacqui McCarthy</t>
  </si>
  <si>
    <t>KTOOLE</t>
  </si>
  <si>
    <t>JMCCARTHY</t>
  </si>
  <si>
    <t>Schiavello (ACT) Pty Ltd</t>
  </si>
  <si>
    <t>Relocation of staff on implementation of new organisational structure</t>
  </si>
  <si>
    <t>2014/15 Workstations installations</t>
  </si>
  <si>
    <t>EL2 Contractor Finance</t>
  </si>
  <si>
    <t>Doyle Executive, Accounting</t>
  </si>
  <si>
    <t>Recruitment process</t>
  </si>
  <si>
    <t>Recruitment process - SES Band 1</t>
  </si>
  <si>
    <t>APS3 Contractor Digital Communications</t>
  </si>
  <si>
    <t>APS6 Contractor Finanace</t>
  </si>
  <si>
    <t>Telstra Corporation Ltd</t>
  </si>
  <si>
    <t>White Pages Listing</t>
  </si>
  <si>
    <t>02.10.2017</t>
  </si>
  <si>
    <t>CPA AUSTRALIA</t>
  </si>
  <si>
    <t>01.11.2014</t>
  </si>
  <si>
    <t>CPA Congress 2014</t>
  </si>
  <si>
    <t>ATTORNEY GENERAL'S DEPARTMENT</t>
  </si>
  <si>
    <t>ASNET Levy</t>
  </si>
  <si>
    <t>ASNET LEvy FY 14/15</t>
  </si>
  <si>
    <t>24.09.2014</t>
  </si>
  <si>
    <t>GEUS Maintenance Fee 2014-15</t>
  </si>
  <si>
    <t>Megan Lane</t>
  </si>
  <si>
    <t>MLANE</t>
  </si>
  <si>
    <t>EL2 Finance &amp; Budgets</t>
  </si>
  <si>
    <t>end user computing hardware</t>
  </si>
  <si>
    <t>Windows 8.1 hardware</t>
  </si>
  <si>
    <t>AR 2013-14 accessibility assessment</t>
  </si>
  <si>
    <t>13.10.2014</t>
  </si>
  <si>
    <t>Desktop Accessories</t>
  </si>
  <si>
    <t>Ergonomic arms for desktops</t>
  </si>
  <si>
    <t>Associative Producers</t>
  </si>
  <si>
    <t>Video Animation Services</t>
  </si>
  <si>
    <t>20.10.2014</t>
  </si>
  <si>
    <t>ACER COMPUTER AUSTRALIA PTY LTD</t>
  </si>
  <si>
    <t>Desktop Hardware</t>
  </si>
  <si>
    <t>14.10.2014</t>
  </si>
  <si>
    <t>APS4 Contractor HR</t>
  </si>
  <si>
    <t>16.10.2017</t>
  </si>
  <si>
    <t>Voice Carriage Services (DCON14/1)</t>
  </si>
  <si>
    <t>DCON/14/1</t>
  </si>
  <si>
    <t>22.02.2015</t>
  </si>
  <si>
    <t>IBM server maintenance</t>
  </si>
  <si>
    <t>Web Annual Contracts 14/15</t>
  </si>
  <si>
    <t>Technology Review SharePoint 2013</t>
  </si>
  <si>
    <t>Jennifer Stannard</t>
  </si>
  <si>
    <t>JSTANNARD</t>
  </si>
  <si>
    <t>28.10.2014</t>
  </si>
  <si>
    <t>APS3 Contractor Corporate Services</t>
  </si>
  <si>
    <t>27.03.2015</t>
  </si>
  <si>
    <t>Corporate Business Process Development</t>
  </si>
  <si>
    <t>TM1 Minor Improvements 2014-15</t>
  </si>
  <si>
    <t>Staff Leadership Development</t>
  </si>
  <si>
    <t>Systemik Solutions Pty Ltd</t>
  </si>
  <si>
    <t>Development of Dept Coord Templates</t>
  </si>
  <si>
    <t>Frontier Group Australia Pty Ltd</t>
  </si>
  <si>
    <t>Intranet Technical Support</t>
  </si>
  <si>
    <t>PAD/14/178023</t>
  </si>
  <si>
    <t>31.12.2015</t>
  </si>
  <si>
    <t>DEPARTMENT OF THE PARLIAMENTARY</t>
  </si>
  <si>
    <t>Supply of House Monitoring system _ParlT</t>
  </si>
  <si>
    <t>INFRONT SYSTEMS</t>
  </si>
  <si>
    <t>IT Consumption Usage Requirements</t>
  </si>
  <si>
    <t>DCON/14/139</t>
  </si>
  <si>
    <t>SON466625</t>
  </si>
  <si>
    <t>10.11.2014</t>
  </si>
  <si>
    <t>EL1 Digital Comms Agency Contractor</t>
  </si>
  <si>
    <t xml:space="preserve"> Indoor plant hire</t>
  </si>
  <si>
    <t>2014/15 Indoor plant hire</t>
  </si>
  <si>
    <t>17.11.2014</t>
  </si>
  <si>
    <t>Cloud Consumption Model Pricing</t>
  </si>
  <si>
    <t>EL1 Contractor Digital Communications</t>
  </si>
  <si>
    <t>28.08.2015</t>
  </si>
  <si>
    <t>25.11.2014</t>
  </si>
  <si>
    <t>EL1 Agency Contractor IT</t>
  </si>
  <si>
    <t>DCON/13/22</t>
  </si>
  <si>
    <t>Jakeman Business Solutions Oty Ltd</t>
  </si>
  <si>
    <t>2014/15 Emergency Evacuation Services</t>
  </si>
  <si>
    <t>Emergency procedures</t>
  </si>
  <si>
    <t>01.12.2014</t>
  </si>
  <si>
    <t>Lockdown procedures for the Department</t>
  </si>
  <si>
    <t>Learning initiatives</t>
  </si>
  <si>
    <t>03.11.2014</t>
  </si>
  <si>
    <t>Third Horizon Consulting Pty Ltd</t>
  </si>
  <si>
    <t>Next Generation Infrastructure Advice</t>
  </si>
  <si>
    <t>PRN25117</t>
  </si>
  <si>
    <t>DCON/14/149</t>
  </si>
  <si>
    <t>SON1135902</t>
  </si>
  <si>
    <t>02.12.2014</t>
  </si>
  <si>
    <t>Cordelta Pty Ltd</t>
  </si>
  <si>
    <t>Preparation of Cab track proposal</t>
  </si>
  <si>
    <t>IMC14005 Mobility Solution - Hardware</t>
  </si>
  <si>
    <t>09.12.2014</t>
  </si>
  <si>
    <t>Enterprise Architecture Services</t>
  </si>
  <si>
    <t>DCON/14/157</t>
  </si>
  <si>
    <t>Workers Comp Adjustment notice 2014/2015</t>
  </si>
  <si>
    <t>Genevieve Denino</t>
  </si>
  <si>
    <t>GDENINO</t>
  </si>
  <si>
    <t>15.12.2014</t>
  </si>
  <si>
    <t>Support Pack</t>
  </si>
  <si>
    <t>16.12.2014</t>
  </si>
  <si>
    <t>Project Management Services for Building works</t>
  </si>
  <si>
    <t>Project MGMT for Sydney works</t>
  </si>
  <si>
    <t>04.12.2014</t>
  </si>
  <si>
    <t>The Citadel Group Limited</t>
  </si>
  <si>
    <t>Content Review</t>
  </si>
  <si>
    <t>DCON/12/242</t>
  </si>
  <si>
    <t>09.01.2015</t>
  </si>
  <si>
    <t>Intranet Redevelopment</t>
  </si>
  <si>
    <t>Affinity Construction Management Pt</t>
  </si>
  <si>
    <t>Construction work for Sydney offiice</t>
  </si>
  <si>
    <t>SIP Support</t>
  </si>
  <si>
    <t>Technical services</t>
  </si>
  <si>
    <t>IMC14005 Enterprise Mobility</t>
  </si>
  <si>
    <t>Media analysis</t>
  </si>
  <si>
    <t>19.01.2015</t>
  </si>
  <si>
    <t>06.01.2015</t>
  </si>
  <si>
    <t>05.01.2015</t>
  </si>
  <si>
    <t>S&amp;B Projects Pty Ltd</t>
  </si>
  <si>
    <t>Specialist Financial Services Support</t>
  </si>
  <si>
    <t>31.08.2015</t>
  </si>
  <si>
    <t>Design and development services</t>
  </si>
  <si>
    <t>Membership fee</t>
  </si>
  <si>
    <t>Judith Dacey</t>
  </si>
  <si>
    <t>JDACEY</t>
  </si>
  <si>
    <t>Stutch Data Services Pty Ltd</t>
  </si>
  <si>
    <t>Data back up tapes</t>
  </si>
  <si>
    <t>ANITA ROBERTSON</t>
  </si>
  <si>
    <t>AROBERTSON</t>
  </si>
  <si>
    <t>Stage 3 Variation National Office Refurb</t>
  </si>
  <si>
    <t>Mark Sturdy</t>
  </si>
  <si>
    <t>ATM 581</t>
  </si>
  <si>
    <t>MSTURDY</t>
  </si>
  <si>
    <t>16.01.2015</t>
  </si>
  <si>
    <t>HP TRIM maintenance</t>
  </si>
  <si>
    <t>14.01.2015</t>
  </si>
  <si>
    <t>IMC14011 Intelligent Data Management</t>
  </si>
  <si>
    <t>unified comm's handsets</t>
  </si>
  <si>
    <t>IMC13015 Lync handsets</t>
  </si>
  <si>
    <t>VOIP equipment</t>
  </si>
  <si>
    <t>SIP Session Border Controllers</t>
  </si>
  <si>
    <t>Ergonomic equipment</t>
  </si>
  <si>
    <t>Mobility solution hardware - arms</t>
  </si>
  <si>
    <t>Rectification Works of Sydney Office - 3</t>
  </si>
  <si>
    <t>IMC14013 Rectification Sydney Office - 3</t>
  </si>
  <si>
    <t>APSLevel Additional Capabillity Analysis</t>
  </si>
  <si>
    <t>Software</t>
  </si>
  <si>
    <t>DCON/15/007</t>
  </si>
  <si>
    <t>Intro to Economics - learning initiative</t>
  </si>
  <si>
    <t>Intro to Economics - Learning inititaive</t>
  </si>
  <si>
    <t>People &amp; Strategy (ACT) Pty Ltd</t>
  </si>
  <si>
    <t>Training Inititaive - Management Essentials</t>
  </si>
  <si>
    <t>Training Inititaive Management Essential</t>
  </si>
  <si>
    <t>Migration of data</t>
  </si>
  <si>
    <t>02.01.2015</t>
  </si>
  <si>
    <t>Migration of data to PDMS</t>
  </si>
  <si>
    <t>Kimba Goodluck</t>
  </si>
  <si>
    <t>KGOODLUCK</t>
  </si>
  <si>
    <t>22.05.2015</t>
  </si>
  <si>
    <t>CANPRINT COMMUNICATIONS P/L</t>
  </si>
  <si>
    <t>WHS System Audit</t>
  </si>
  <si>
    <t>Rosemaree Laurie</t>
  </si>
  <si>
    <t>RLAURIE</t>
  </si>
  <si>
    <t>FUJITSU AUSTRALIA LTD</t>
  </si>
  <si>
    <t>Tape Conversion</t>
  </si>
  <si>
    <t>DCON/15/8 - Tape Conversion</t>
  </si>
  <si>
    <t>DCON/15/18</t>
  </si>
  <si>
    <t>25.02.2015</t>
  </si>
  <si>
    <t>Website Planning</t>
  </si>
  <si>
    <t>Kim Ulrick</t>
  </si>
  <si>
    <t>KULRICK</t>
  </si>
  <si>
    <t>Recruitment guides for Manager</t>
  </si>
  <si>
    <t>Behavioural Interview guides for Manager</t>
  </si>
  <si>
    <t>Appdynamics</t>
  </si>
  <si>
    <t>Application Monitoring and Issues Detect</t>
  </si>
  <si>
    <t>Toby Wright</t>
  </si>
  <si>
    <t>TWRIGHT</t>
  </si>
  <si>
    <t>Credit card Transaction Review 2014/15</t>
  </si>
  <si>
    <t>09.03.2015</t>
  </si>
  <si>
    <t>IT Project Manager - EDRMS Market Scan</t>
  </si>
  <si>
    <t>06.03.2015</t>
  </si>
  <si>
    <t>Desktop equipment</t>
  </si>
  <si>
    <t>Desktop equipment stocks</t>
  </si>
  <si>
    <t>OPEN SYSTEMS AUSTRALIA P/L</t>
  </si>
  <si>
    <t>annual software maintenance</t>
  </si>
  <si>
    <t>Content Keeper annual maintenance</t>
  </si>
  <si>
    <t>COPYRIGHT AGENCY LTD</t>
  </si>
  <si>
    <t>Copyright</t>
  </si>
  <si>
    <t>Project Redesign and Oversight</t>
  </si>
  <si>
    <t>Pitney Bowes annual maintenance</t>
  </si>
  <si>
    <t>29.03.2016</t>
  </si>
  <si>
    <t>Employee Assistance Program - 2015</t>
  </si>
  <si>
    <t>Patricia Ellis</t>
  </si>
  <si>
    <t>TELLIS</t>
  </si>
  <si>
    <t>Identity Management Solution Options</t>
  </si>
  <si>
    <t>DCON/13/31</t>
  </si>
  <si>
    <t>DCON/14/41</t>
  </si>
  <si>
    <t>SON2268721</t>
  </si>
  <si>
    <t>Hoban Recuritment</t>
  </si>
  <si>
    <t>Graduate Recruitment 2016 Program</t>
  </si>
  <si>
    <t>DCON/13/33</t>
  </si>
  <si>
    <t>Internship selection provider</t>
  </si>
  <si>
    <t>Intranet Integration</t>
  </si>
  <si>
    <t>20.06.2015</t>
  </si>
  <si>
    <t>Online Search Services</t>
  </si>
  <si>
    <t>SAP 2015 Maintenace fees</t>
  </si>
  <si>
    <t>01.01.2015</t>
  </si>
  <si>
    <t>30.12.2015</t>
  </si>
  <si>
    <t>SAP Online Training Package</t>
  </si>
  <si>
    <t>15.03.2016</t>
  </si>
  <si>
    <t>COMPLETE OFFICE SUPPLIES</t>
  </si>
  <si>
    <t>2014/15 Photocopy paper</t>
  </si>
  <si>
    <t>FIN11/FMG010</t>
  </si>
  <si>
    <t>DCON/13/180</t>
  </si>
  <si>
    <t>SON473022</t>
  </si>
  <si>
    <t>23.03.2015</t>
  </si>
  <si>
    <t>Scinaptic Communications Pty Ltd</t>
  </si>
  <si>
    <t>23.03.2016</t>
  </si>
  <si>
    <t>OneplaceMail maintenance</t>
  </si>
  <si>
    <t>Symantec software</t>
  </si>
  <si>
    <t>IMC14011 Symantec software</t>
  </si>
  <si>
    <t>L2 38 Sydney Ave Redesign Works</t>
  </si>
  <si>
    <t>20.03.2015</t>
  </si>
  <si>
    <t>Identity Managment Contractor</t>
  </si>
  <si>
    <t>19.03.2015</t>
  </si>
  <si>
    <t>APS6 Non-ongoing contractor FaRM</t>
  </si>
  <si>
    <t>Info Management Consultancy Services</t>
  </si>
  <si>
    <t>Peter Hall</t>
  </si>
  <si>
    <t>PHALL</t>
  </si>
  <si>
    <t>Business Aspect (ACT) Pty Ltd</t>
  </si>
  <si>
    <t>Business Requirements Gathering</t>
  </si>
  <si>
    <t>Robert MCGLYNN</t>
  </si>
  <si>
    <t>24.03.2015</t>
  </si>
  <si>
    <t>RMCGLYNN</t>
  </si>
  <si>
    <t>Project services</t>
  </si>
  <si>
    <t>DTO Office Establishment</t>
  </si>
  <si>
    <t>Software maintenance renewal</t>
  </si>
  <si>
    <t>26.03.2016</t>
  </si>
  <si>
    <t>Symantec Security renewal</t>
  </si>
  <si>
    <t>Affinity Constructions Australia</t>
  </si>
  <si>
    <t>IMC14013 Rectification of Syd Office</t>
  </si>
  <si>
    <t>Desktop services</t>
  </si>
  <si>
    <t>WO1009 - Staff relocation March 2015</t>
  </si>
  <si>
    <t>07.04.2015</t>
  </si>
  <si>
    <t>Desktop hardware</t>
  </si>
  <si>
    <t>Lenovo laptops - staff swaps</t>
  </si>
  <si>
    <t>APS6 Non-ongoing Contractor, FaRM</t>
  </si>
  <si>
    <t>2015 APS employee census</t>
  </si>
  <si>
    <t>09.04.2015</t>
  </si>
  <si>
    <t>SIP Transition</t>
  </si>
  <si>
    <t>TUSMA Win8 deployment</t>
  </si>
  <si>
    <t>IMS Sharepoint Support</t>
  </si>
  <si>
    <t>APS4 Non-ongoing Contractor - IT</t>
  </si>
  <si>
    <t>2015/16 SpeedStile Gate maintenance</t>
  </si>
  <si>
    <t>Enable Development</t>
  </si>
  <si>
    <t>Diversity and Inclusion Strategy</t>
  </si>
  <si>
    <t>Erin Murphy</t>
  </si>
  <si>
    <t>EMURPHY1</t>
  </si>
  <si>
    <t>Blue Sky Coaching</t>
  </si>
  <si>
    <t>Career support</t>
  </si>
  <si>
    <t>CDAC Registration</t>
  </si>
  <si>
    <t>Conlon Consulting</t>
  </si>
  <si>
    <t>Capability Review Action Planning</t>
  </si>
  <si>
    <t>Cast Professional Services</t>
  </si>
  <si>
    <t>Business Planning Framework Review</t>
  </si>
  <si>
    <t>EDRMS Market Scan</t>
  </si>
  <si>
    <t>DCON/14/158</t>
  </si>
  <si>
    <t>ERNST &amp; YOUNG</t>
  </si>
  <si>
    <t>DTO Transition Establishment</t>
  </si>
  <si>
    <t>28.04.2015</t>
  </si>
  <si>
    <t>10.07.2015</t>
  </si>
  <si>
    <t>Kurt Munro</t>
  </si>
  <si>
    <t>DCON/13/228</t>
  </si>
  <si>
    <t>KMUNRO</t>
  </si>
  <si>
    <t>Website Development</t>
  </si>
  <si>
    <t>Benjamin GALDYS</t>
  </si>
  <si>
    <t>BGALDYS</t>
  </si>
  <si>
    <t>APS6 Non-ongoing - Creative Services</t>
  </si>
  <si>
    <t>Annual Valuation Services</t>
  </si>
  <si>
    <t>Darren Scott</t>
  </si>
  <si>
    <t>DSCOTT1</t>
  </si>
  <si>
    <t>Australian Valution Solutions</t>
  </si>
  <si>
    <t>Annual Revaluation Services</t>
  </si>
  <si>
    <t>31.07.2017</t>
  </si>
  <si>
    <t>IBM maintenance</t>
  </si>
  <si>
    <t>IBM Tape Library maintenance</t>
  </si>
  <si>
    <t>APS3 Non-ongoing - Corporate Services</t>
  </si>
  <si>
    <t>CEB Leadership Membership</t>
  </si>
  <si>
    <t>07.05.2015</t>
  </si>
  <si>
    <t>08.05.2015</t>
  </si>
  <si>
    <t>Microsoft AEE 2014-15</t>
  </si>
  <si>
    <t>DCON/14/27</t>
  </si>
  <si>
    <t>NGA optimisation</t>
  </si>
  <si>
    <t>10.05.2015</t>
  </si>
  <si>
    <t>Department of Employment</t>
  </si>
  <si>
    <t>APS LearnHub 2015/16</t>
  </si>
  <si>
    <t>FUJI XEROX AUSTRALIA</t>
  </si>
  <si>
    <t>office machines</t>
  </si>
  <si>
    <t>Electronic Distribution Cab Documents</t>
  </si>
  <si>
    <t>DCON/15/45</t>
  </si>
  <si>
    <t>Annual software maintenance</t>
  </si>
  <si>
    <t>13.06.2016</t>
  </si>
  <si>
    <t>Mailgate renewal 2015</t>
  </si>
  <si>
    <t>Staff Relocation - May 2015</t>
  </si>
  <si>
    <t>Allanah Brookhouse</t>
  </si>
  <si>
    <t>ABROOKHOUSE</t>
  </si>
  <si>
    <t>DCON/Tape Conversion</t>
  </si>
  <si>
    <t>DCON/15/8 - Tape Conversion - SAIT tapes</t>
  </si>
  <si>
    <t>APS5 Non-ongoing IT Branch</t>
  </si>
  <si>
    <t>27.04.2015</t>
  </si>
  <si>
    <t>Contractor services for 2015-16 PBS</t>
  </si>
  <si>
    <t>Katie Bissell</t>
  </si>
  <si>
    <t>KBISSELL</t>
  </si>
  <si>
    <t>We Are Social</t>
  </si>
  <si>
    <t>APS4 non-ongoing contractor - IT</t>
  </si>
  <si>
    <t>10.06.2016</t>
  </si>
  <si>
    <t>Microsoft Premier Support Services</t>
  </si>
  <si>
    <t>Belinda Priestley</t>
  </si>
  <si>
    <t>BPRIESTLEY1</t>
  </si>
  <si>
    <t>Media Monitoring</t>
  </si>
  <si>
    <t>Susan Charles</t>
  </si>
  <si>
    <t>SENTIA</t>
  </si>
  <si>
    <t>SON355951</t>
  </si>
  <si>
    <t>SCHARLES</t>
  </si>
  <si>
    <t>Website Hosting Costs</t>
  </si>
  <si>
    <t>27.05.2015</t>
  </si>
  <si>
    <t>Website Redevelopment</t>
  </si>
  <si>
    <t>Rehab Management Aust Pty Ltd</t>
  </si>
  <si>
    <t>Whole of Dept Workstation Assessments</t>
  </si>
  <si>
    <t>Lisa Mason</t>
  </si>
  <si>
    <t>LMASON</t>
  </si>
  <si>
    <t>30.09.2020</t>
  </si>
  <si>
    <t>Voice systems</t>
  </si>
  <si>
    <t>IMC13015 UC remediation</t>
  </si>
  <si>
    <t>IBNC Services</t>
  </si>
  <si>
    <t>01.03.2012</t>
  </si>
  <si>
    <t>04.05.2017</t>
  </si>
  <si>
    <t>IBNC Services - Nextgen</t>
  </si>
  <si>
    <t>Veritec Pty Ltd</t>
  </si>
  <si>
    <t>Enterprise Architecture Tool Deployment</t>
  </si>
  <si>
    <t>Yan Lim</t>
  </si>
  <si>
    <t>D229</t>
  </si>
  <si>
    <t>DCON/15/53</t>
  </si>
  <si>
    <t>SON2501421</t>
  </si>
  <si>
    <t>YLIM</t>
  </si>
  <si>
    <t>Set up of Google Analytics</t>
  </si>
  <si>
    <t>Casey Marino</t>
  </si>
  <si>
    <t>CMARINO1</t>
  </si>
  <si>
    <t>EL1 non-onoing IT Branch</t>
  </si>
  <si>
    <t>RPM Solutions PTY LTD</t>
  </si>
  <si>
    <t>System Performance Testing</t>
  </si>
  <si>
    <t>IT Strategy Service</t>
  </si>
  <si>
    <t>Production of Videos for Lannding Pages</t>
  </si>
  <si>
    <t>Sysomos</t>
  </si>
  <si>
    <t>Analytics Software</t>
  </si>
  <si>
    <t>Compliance Services</t>
  </si>
  <si>
    <t>DCON/15/36</t>
  </si>
  <si>
    <t>annual subscription</t>
  </si>
  <si>
    <t>Red Hat annual subscription</t>
  </si>
  <si>
    <t>IT Research Subscription and Advisory Services</t>
  </si>
  <si>
    <t>31.05.2016</t>
  </si>
  <si>
    <t>IT Research Subscription and advisory</t>
  </si>
  <si>
    <t>Software license</t>
  </si>
  <si>
    <t>IMC14005 Workspace Suite licenses</t>
  </si>
  <si>
    <t>Printing of 2014-15 PSAES</t>
  </si>
  <si>
    <t>Printing of 2015-16 PBS</t>
  </si>
  <si>
    <t>KPMG Review of 2015-16 PBS and PSAES</t>
  </si>
  <si>
    <t>Rutledge Engineering (Aust) Pty Ltd</t>
  </si>
  <si>
    <t>Audio Visual hardware</t>
  </si>
  <si>
    <t>IMC14015 - Video Conferencing Upgrades</t>
  </si>
  <si>
    <t>PSS and CSS Lump Sum employer Contributi</t>
  </si>
  <si>
    <t>Web Training</t>
  </si>
  <si>
    <t>Business Planning implementation support</t>
  </si>
  <si>
    <t>Andrew Maurer</t>
  </si>
  <si>
    <t>AMAURER</t>
  </si>
  <si>
    <t>Software maintenance 15/16</t>
  </si>
  <si>
    <t>Citrix hardware maintenance 15/16</t>
  </si>
  <si>
    <t>Network extension</t>
  </si>
  <si>
    <t>IMC14017 Extension of WiFi network</t>
  </si>
  <si>
    <t>Enterprise Architecture Collaboration Equipment</t>
  </si>
  <si>
    <t>EA Collaboration Equipment</t>
  </si>
  <si>
    <t>Software licensing</t>
  </si>
  <si>
    <t>Microsoft Core Desktop License - 15/16</t>
  </si>
  <si>
    <t>Popes Electrical &amp; Data Supplies Pt</t>
  </si>
  <si>
    <t>Hand dryers</t>
  </si>
  <si>
    <t>Airblade V hand dryers</t>
  </si>
  <si>
    <t>WHS Equipment</t>
  </si>
  <si>
    <t>Tamara Hagel</t>
  </si>
  <si>
    <t>THAGEL</t>
  </si>
  <si>
    <t>Policy Practitioner Program</t>
  </si>
  <si>
    <t>DFAT10-CMD-007</t>
  </si>
  <si>
    <t>DCON/15/48</t>
  </si>
  <si>
    <t>SON416153</t>
  </si>
  <si>
    <t>MRB Communications Pty Ltd</t>
  </si>
  <si>
    <t>Digital Display</t>
  </si>
  <si>
    <t>Network switch</t>
  </si>
  <si>
    <t>HP Mobility controllers</t>
  </si>
  <si>
    <t>Social Strategy</t>
  </si>
  <si>
    <t>Intranet Analytics</t>
  </si>
  <si>
    <t>Media Room wireless microphone</t>
  </si>
  <si>
    <t>MSY Technology (NSW) Pty. Ltd</t>
  </si>
  <si>
    <t>Desktop Web Camera Purchase</t>
  </si>
  <si>
    <t>Beta Chakraverty</t>
  </si>
  <si>
    <t>Silvia VILLALOBOS</t>
  </si>
  <si>
    <t>OPEN</t>
  </si>
  <si>
    <t>BCHAKRAVERTY</t>
  </si>
  <si>
    <t>SVILLALOBOS</t>
  </si>
  <si>
    <t>EA Workshop Assistance</t>
  </si>
  <si>
    <t>Ginger Up Communications</t>
  </si>
  <si>
    <t>Writing and Editing Services</t>
  </si>
  <si>
    <t>Employers Making a Difference Inc.</t>
  </si>
  <si>
    <t>Australian Network on Disability</t>
  </si>
  <si>
    <t>Graduate Program Advertising</t>
  </si>
  <si>
    <t>FIN08/AMG011-B</t>
  </si>
  <si>
    <t>SON182272</t>
  </si>
  <si>
    <t>Computer Room Process Cooling unit AC-3</t>
  </si>
  <si>
    <t>Laptops and accessories</t>
  </si>
  <si>
    <t>01.07.2015</t>
  </si>
  <si>
    <t>Cyber Saf [OLD]</t>
  </si>
  <si>
    <t>12.05.2014</t>
  </si>
  <si>
    <t>Agency Contractor - L Philby</t>
  </si>
  <si>
    <t>Budd:e Education Package Hosting 2014-15</t>
  </si>
  <si>
    <t>Budde Education Package Reporting 14-15</t>
  </si>
  <si>
    <t>Budd:e Support &amp; Maintenance 2014-15</t>
  </si>
  <si>
    <t>SSO Alert Service - Newsletter Tool 14-15</t>
  </si>
  <si>
    <t>SSO Alert Service-Newsletter Tool 14-15</t>
  </si>
  <si>
    <t>DCON/11/32</t>
  </si>
  <si>
    <t>Cybersafety Help Button Maintenance</t>
  </si>
  <si>
    <t>Spatial Pol [OLD]</t>
  </si>
  <si>
    <t>NICTA - National Map</t>
  </si>
  <si>
    <t>National Center for Civic Innovatio</t>
  </si>
  <si>
    <t>Open Data 500 Membership</t>
  </si>
  <si>
    <t>ACT TELECONFERENCING PTY LTD</t>
  </si>
  <si>
    <t>ACT Teleconferencing 2014-15</t>
  </si>
  <si>
    <t>18.07.2014</t>
  </si>
  <si>
    <t>Spatial Industries Business Associa</t>
  </si>
  <si>
    <t>SIBA - Industry consultation sponorship</t>
  </si>
  <si>
    <t>ANZLIC Accessibility Rev. &amp; Mobile Compl</t>
  </si>
  <si>
    <t>Digital Productivi</t>
  </si>
  <si>
    <t>Geocoded Addressing Activities</t>
  </si>
  <si>
    <t>Data to Decision CRC T/a</t>
  </si>
  <si>
    <t>Review of Open Data Barriers</t>
  </si>
  <si>
    <t>15.09.2014</t>
  </si>
  <si>
    <t>07.11.2014</t>
  </si>
  <si>
    <t>10.12.2014</t>
  </si>
  <si>
    <t>APS4 non-ongoing e-Government</t>
  </si>
  <si>
    <t>Development of the  NationalMap viewing capability</t>
  </si>
  <si>
    <t>Develop NationalMap viewing capability</t>
  </si>
  <si>
    <t>Foundation Spatial Data Framework Servic</t>
  </si>
  <si>
    <t>Synergy Group Australia LTD</t>
  </si>
  <si>
    <t>PSMA cost audit</t>
  </si>
  <si>
    <t>DCON/13/227</t>
  </si>
  <si>
    <t>Geometry Pty Ltd</t>
  </si>
  <si>
    <t>Modification of FIND system</t>
  </si>
  <si>
    <t>EL1 Trade International Productivity</t>
  </si>
  <si>
    <t>Gartner Australasia Pty Ltd</t>
  </si>
  <si>
    <t>Research, data analytics, advisory services</t>
  </si>
  <si>
    <t>Research, data analytics, advisory svcs</t>
  </si>
  <si>
    <t>Emmanuel Njuguna</t>
  </si>
  <si>
    <t>Gus CHINANAI</t>
  </si>
  <si>
    <t>DCON/15/22</t>
  </si>
  <si>
    <t>ENJUGUNA</t>
  </si>
  <si>
    <t>GCHINANAI</t>
  </si>
  <si>
    <t>EL1 Non-ongoing Digital Productivity</t>
  </si>
  <si>
    <t>TAYLOR NELSON SOFRES AUSTRALIA PTY</t>
  </si>
  <si>
    <t>Consumer Survey - Online Copyright</t>
  </si>
  <si>
    <t>DCON/12/330</t>
  </si>
  <si>
    <t>Address Exchange Pty Ltd</t>
  </si>
  <si>
    <t>Develop a Commonwealth Address file</t>
  </si>
  <si>
    <t>DCON/15/30</t>
  </si>
  <si>
    <t>Government Transition of the NationalMap</t>
  </si>
  <si>
    <t>Russell Reynolds Associates, Inc</t>
  </si>
  <si>
    <t>Recruitment</t>
  </si>
  <si>
    <t>30.03.2016</t>
  </si>
  <si>
    <t>Cynthia Davis</t>
  </si>
  <si>
    <t>DCON-15-012</t>
  </si>
  <si>
    <t>22.04.2015</t>
  </si>
  <si>
    <t>CDAVIS</t>
  </si>
  <si>
    <t>Design &amp; develop myGov prototypes</t>
  </si>
  <si>
    <t>13.05.2015</t>
  </si>
  <si>
    <t>CRC for Spatial Information</t>
  </si>
  <si>
    <t>Pilot study into innovative locations &amp; addressing in Australia.</t>
  </si>
  <si>
    <t>Study innovative locations &amp; addressing</t>
  </si>
  <si>
    <t>24.04.2015</t>
  </si>
  <si>
    <t>GovHack 2015</t>
  </si>
  <si>
    <t>06.07.2015</t>
  </si>
  <si>
    <t>Dept of Social Services</t>
  </si>
  <si>
    <t>Memorandum of Understanding -NICTA Pilot</t>
  </si>
  <si>
    <t>DCON/15/73</t>
  </si>
  <si>
    <t>02.07.2014</t>
  </si>
  <si>
    <t>Secretary</t>
  </si>
  <si>
    <t>SES Band3 Leadership Program</t>
  </si>
  <si>
    <t>23.11.2015</t>
  </si>
  <si>
    <t>Christine Chivers</t>
  </si>
  <si>
    <t>CCHIVERS</t>
  </si>
  <si>
    <t>04.12.2009</t>
  </si>
  <si>
    <t>XNBN Implementatio</t>
  </si>
  <si>
    <t>Nextgen Networks Pty Ltd</t>
  </si>
  <si>
    <t>Build Op and Maintain RBBP</t>
  </si>
  <si>
    <t>30.09.2016</t>
  </si>
  <si>
    <t>Daniel McCARTHY</t>
  </si>
  <si>
    <t>06.07.2010</t>
  </si>
  <si>
    <t>DMCCARTHY</t>
  </si>
  <si>
    <t>Infrastructure</t>
  </si>
  <si>
    <t>Credit Suisse (Australia) Ltd</t>
  </si>
  <si>
    <t>Commerical  Advisory Services</t>
  </si>
  <si>
    <t>NBN Commerical  Advisory Services</t>
  </si>
  <si>
    <t>COMMERCIAL IN CONFIDENCE INFORMATION WILL BE INCLUDED</t>
  </si>
  <si>
    <t>Imogen Colton</t>
  </si>
  <si>
    <t>Angelique Teer</t>
  </si>
  <si>
    <t>DCON/13/234</t>
  </si>
  <si>
    <t>ICOLTON</t>
  </si>
  <si>
    <t>ATEER</t>
  </si>
  <si>
    <t>25.11.2013</t>
  </si>
  <si>
    <t>Green Square Associates Pty Ltd</t>
  </si>
  <si>
    <t>Expert Panel Appointments - Cost Benefit Analysis</t>
  </si>
  <si>
    <t>Expert Panel - Cost Benefit Analysis</t>
  </si>
  <si>
    <t>Catriona Alison Deans</t>
  </si>
  <si>
    <t>Expert Panel Appointment - Cost Benefit Analysis</t>
  </si>
  <si>
    <t>FAIRVIEW SERVICES PTY LTD</t>
  </si>
  <si>
    <t>Expert Panel  Appointment- Cost Benefit Analysis</t>
  </si>
  <si>
    <t>Anthony John Shaw</t>
  </si>
  <si>
    <t>NBN Taskforce Secondees</t>
  </si>
  <si>
    <t>DEPT OF THE TREASURY</t>
  </si>
  <si>
    <t>14.02.2014</t>
  </si>
  <si>
    <t>Economic Research Services</t>
  </si>
  <si>
    <t>06.10.2014</t>
  </si>
  <si>
    <t>Cost Benefit Analysis</t>
  </si>
  <si>
    <t>Andrew Smith</t>
  </si>
  <si>
    <t>ASMITH</t>
  </si>
  <si>
    <t>28.03.2014</t>
  </si>
  <si>
    <t>Mapping Software and Data Maintenance</t>
  </si>
  <si>
    <t>Nicholas Keilar</t>
  </si>
  <si>
    <t>NKEILAR</t>
  </si>
  <si>
    <t>05.03.2014</t>
  </si>
  <si>
    <t>William Scales</t>
  </si>
  <si>
    <t>Independent Auditor</t>
  </si>
  <si>
    <t>James Horne</t>
  </si>
  <si>
    <t>Independent Auditor Secretariat</t>
  </si>
  <si>
    <t>DCON/14/71</t>
  </si>
  <si>
    <t>06.03.2014</t>
  </si>
  <si>
    <t>Jonathan J Pincus</t>
  </si>
  <si>
    <t>Peer Review - Cost Benefit Analysis</t>
  </si>
  <si>
    <t>12.03.2014</t>
  </si>
  <si>
    <t>Kevin Morgan</t>
  </si>
  <si>
    <t>Specialist Adviser</t>
  </si>
  <si>
    <t>Specialist Adviser - CBA</t>
  </si>
  <si>
    <t>Nicolas Curien</t>
  </si>
  <si>
    <t>Clifford Winston</t>
  </si>
  <si>
    <t>Professional drafting and advice</t>
  </si>
  <si>
    <t>Worrad Associates</t>
  </si>
  <si>
    <t>Review fibre-ready guidelines</t>
  </si>
  <si>
    <t>Skills currently unavailable within agency</t>
  </si>
  <si>
    <t>Paul Mooney</t>
  </si>
  <si>
    <t>PMOONEY</t>
  </si>
  <si>
    <t>SC</t>
  </si>
  <si>
    <t>Imediate Pty Ltd</t>
  </si>
  <si>
    <t>Corporate Advisory Services</t>
  </si>
  <si>
    <t>NBN Co Corporate Plan Advisory Service</t>
  </si>
  <si>
    <t>THIRD PARTY CONFIDENTIAL INFORMATION WILL BE ACCESSED BY ADVISER</t>
  </si>
  <si>
    <t>Rudy Alcantara</t>
  </si>
  <si>
    <t>RALCANTARA</t>
  </si>
  <si>
    <t>APS4 EA Contractor Infrastructure</t>
  </si>
  <si>
    <t>Korda Mentha Restructuring</t>
  </si>
  <si>
    <t>Corporate Advisory Service</t>
  </si>
  <si>
    <t>13.08.2014</t>
  </si>
  <si>
    <t>Corporate Plan Advisory Service</t>
  </si>
  <si>
    <t>THIRD PARTY CONFIDENTIAL INFORMATION WILL BE ACCESSED BY ADVISORS</t>
  </si>
  <si>
    <t>Sean Roffey</t>
  </si>
  <si>
    <t>SROFFEY</t>
  </si>
  <si>
    <t>333 Management Group Pty Ltd</t>
  </si>
  <si>
    <t>THIRD PARTY CONFIDENTIAL INFORMATION WILL BE ACCESSED BY ADVISOR</t>
  </si>
  <si>
    <t>Staff Training</t>
  </si>
  <si>
    <t>13.11.2014</t>
  </si>
  <si>
    <t>Quantitative Study of Economic Efficiency in Spectrum Management</t>
  </si>
  <si>
    <t>Quantitative Study of Spectrum Economics</t>
  </si>
  <si>
    <t>Kirsten Thompson</t>
  </si>
  <si>
    <t>KTHOMPSON</t>
  </si>
  <si>
    <t>10.02.2015</t>
  </si>
  <si>
    <t>Wireless Broadband Report</t>
  </si>
  <si>
    <t>Cary WELLS</t>
  </si>
  <si>
    <t>CWELLS</t>
  </si>
  <si>
    <t>nicholls.mmc Pty Limited</t>
  </si>
  <si>
    <t>Spectrum Review Consultancy</t>
  </si>
  <si>
    <t>18.02.2015</t>
  </si>
  <si>
    <t>333 Group Pty Ltd</t>
  </si>
  <si>
    <t>Contracted services to assist in analysis of NBN Co's commercial arrangements</t>
  </si>
  <si>
    <t>NBN Co Corporate Advisory Services</t>
  </si>
  <si>
    <t>APS4 Non-ongoing EA</t>
  </si>
  <si>
    <t>Contracting Services to assist in analysis of NBN Co's commercial arrangements</t>
  </si>
  <si>
    <t>Broadband Advisory Services</t>
  </si>
  <si>
    <t>THIRD PARTY CONFIDENTIAL INFORMATION TO BE ACCESSED BY ADVISORS</t>
  </si>
  <si>
    <t>DCON/15/29</t>
  </si>
  <si>
    <t>Mobile Black Spot Programme Financial Advisor</t>
  </si>
  <si>
    <t>MBSP Financial Advisor</t>
  </si>
  <si>
    <t>DCON/14/40</t>
  </si>
  <si>
    <t>Jed Tech Pty Ltd</t>
  </si>
  <si>
    <t>Mobile Black Spot Programme Technical Advisor</t>
  </si>
  <si>
    <t>MBSP Technical Advisor</t>
  </si>
  <si>
    <t>Anna-Maria Sviatko</t>
  </si>
  <si>
    <t>DCON/14/51</t>
  </si>
  <si>
    <t>ASVIATKO</t>
  </si>
  <si>
    <t>EL1 Agency Contractor NBN Shareholder</t>
  </si>
  <si>
    <t>EL1 Non-ongoing contractor NBN Sharehold</t>
  </si>
  <si>
    <t>17.07.2015</t>
  </si>
  <si>
    <t>APS4 Non-onging Contractor - Bband Implm</t>
  </si>
  <si>
    <t>APS5 Non-ongoing Infrastr Market Analysi</t>
  </si>
  <si>
    <t>Communications Chambers RK Ltd</t>
  </si>
  <si>
    <t>Spectrum review implementation analysis</t>
  </si>
  <si>
    <t>Brian Kelleher</t>
  </si>
  <si>
    <t>Emma Barron</t>
  </si>
  <si>
    <t>BKELLEHER</t>
  </si>
  <si>
    <t>EBARRON</t>
  </si>
  <si>
    <t>Layer 10 Pty Ltd</t>
  </si>
  <si>
    <t>MTM NBN Consumer Experience Report</t>
  </si>
  <si>
    <t>MTM NBN Consultancy</t>
  </si>
  <si>
    <t>Consumer experience: Int'l broadband rollouts</t>
  </si>
  <si>
    <t>07.11.2008</t>
  </si>
  <si>
    <t>Legal&amp;RegServ[OLD]</t>
  </si>
  <si>
    <t>Minter Ellison Lawyers</t>
  </si>
  <si>
    <t>Legal fees</t>
  </si>
  <si>
    <t>Farmwide</t>
  </si>
  <si>
    <t>Trudi BEAN</t>
  </si>
  <si>
    <t>DCON/06/45</t>
  </si>
  <si>
    <t>DCON/06/111</t>
  </si>
  <si>
    <t>SON339</t>
  </si>
  <si>
    <t>TBEAN</t>
  </si>
  <si>
    <t>EXLEGSERV</t>
  </si>
  <si>
    <t>15.04.2009</t>
  </si>
  <si>
    <t>Clayton Utz</t>
  </si>
  <si>
    <t>Legal Services Backhaul Blackspots</t>
  </si>
  <si>
    <t>Caterina LARIA</t>
  </si>
  <si>
    <t>DCON/06/114</t>
  </si>
  <si>
    <t>CLARIA</t>
  </si>
  <si>
    <t>02.05.2011</t>
  </si>
  <si>
    <t>Clayton Utz (Canberra)</t>
  </si>
  <si>
    <t>Internet Gateway, Service &amp; Transition</t>
  </si>
  <si>
    <t>David Cooke</t>
  </si>
  <si>
    <t>Anna Binos</t>
  </si>
  <si>
    <t>DCON/10/65</t>
  </si>
  <si>
    <t>DCON/10/98</t>
  </si>
  <si>
    <t>SON347233</t>
  </si>
  <si>
    <t>DCOOKE</t>
  </si>
  <si>
    <t>ABINOS</t>
  </si>
  <si>
    <t>23.05.2012</t>
  </si>
  <si>
    <t>AUSTRALIAN GOVERNMENT SOLICITOR</t>
  </si>
  <si>
    <t>Legal Services</t>
  </si>
  <si>
    <t>Lease of 38 Sydney Ave</t>
  </si>
  <si>
    <t>DCON/10/100</t>
  </si>
  <si>
    <t>11.08.2012</t>
  </si>
  <si>
    <t>Legal Services - Litigation</t>
  </si>
  <si>
    <t>High Court Case Williams v Commonwealth</t>
  </si>
  <si>
    <t>14.08.2012</t>
  </si>
  <si>
    <t>Proposed Lease of 44 Sydney Ave</t>
  </si>
  <si>
    <t>16.08.2012</t>
  </si>
  <si>
    <t>Meyer Vandenberg</t>
  </si>
  <si>
    <t>Legal Advice</t>
  </si>
  <si>
    <t>Car Park Leasing Offer from DOMA Group</t>
  </si>
  <si>
    <t>DCON/10/99</t>
  </si>
  <si>
    <t>SES Vehicle Lease R Buettel YJD81X</t>
  </si>
  <si>
    <t>Legal Services: finance/governance</t>
  </si>
  <si>
    <t>NBN Co Governance Issues</t>
  </si>
  <si>
    <t>Thomson Reuters (Professional)</t>
  </si>
  <si>
    <t>Thomson Online Legal Resources 2013-15</t>
  </si>
  <si>
    <t>14.06.2013</t>
  </si>
  <si>
    <t>13.06.2013</t>
  </si>
  <si>
    <t>Vehicle lease Trudi Bean YJP-83R</t>
  </si>
  <si>
    <t>18.06.2013</t>
  </si>
  <si>
    <t>LexisNexis</t>
  </si>
  <si>
    <t>Hard Copy Legal Resources 2013-15</t>
  </si>
  <si>
    <t>Lexis Nexis Hard Copy Resources 2013-15</t>
  </si>
  <si>
    <t>08.07.2013</t>
  </si>
  <si>
    <t>Online Legal Resources 2013-15</t>
  </si>
  <si>
    <t>01.09.2013</t>
  </si>
  <si>
    <t>Lexis Nexis Online Resources 2013-15</t>
  </si>
  <si>
    <t>29.08.2013</t>
  </si>
  <si>
    <t>04.07.2013</t>
  </si>
  <si>
    <t>Variation Lease St Martins Tower</t>
  </si>
  <si>
    <t>Henry Davis York Lawyers</t>
  </si>
  <si>
    <t>OPEL Litigation</t>
  </si>
  <si>
    <t>Ad Hoc Advice - employment issues</t>
  </si>
  <si>
    <t>17.10.2013</t>
  </si>
  <si>
    <t>Legal Services: Procurement</t>
  </si>
  <si>
    <t>Cloud Solution for ECRM</t>
  </si>
  <si>
    <t>29.10.2013</t>
  </si>
  <si>
    <t>Learning Mgmt System Based in the Cloud</t>
  </si>
  <si>
    <t>11.11.2013</t>
  </si>
  <si>
    <t>General Counsel</t>
  </si>
  <si>
    <t>Legal Services Secondee AGS</t>
  </si>
  <si>
    <t>OPEL Disbursements</t>
  </si>
  <si>
    <t>13.02.2014</t>
  </si>
  <si>
    <t>NBN Independent Audit</t>
  </si>
  <si>
    <t>20.02.2014</t>
  </si>
  <si>
    <t>19.02.2014</t>
  </si>
  <si>
    <t>APS Bargaining Framework</t>
  </si>
  <si>
    <t>Costs Claim Assessment for OPEL</t>
  </si>
  <si>
    <t>27.03.2014</t>
  </si>
  <si>
    <t>SPARKE HELMORE LAWYERS</t>
  </si>
  <si>
    <t>Legal Services - administrative law advice</t>
  </si>
  <si>
    <t>Independent Audit NBN Public Policy Proc</t>
  </si>
  <si>
    <t>08.04.2014</t>
  </si>
  <si>
    <t>Trans-Pacific Partnership Agreement</t>
  </si>
  <si>
    <t>11.04.2014</t>
  </si>
  <si>
    <t>Lease of St Martin's Tower Sydney</t>
  </si>
  <si>
    <t>15.04.2014</t>
  </si>
  <si>
    <t>Lease of Fyshwick Warehouse</t>
  </si>
  <si>
    <t>Secondee AGS - Julia Ziolkowski</t>
  </si>
  <si>
    <t>23.05.2014</t>
  </si>
  <si>
    <t>Secondee AGS Kathryn Grimes</t>
  </si>
  <si>
    <t>Herbert Smith Freehills</t>
  </si>
  <si>
    <t>Legal Services: funding agreements drafting advising</t>
  </si>
  <si>
    <t>Mobile Black Spot Commercial Services</t>
  </si>
  <si>
    <t>Maddocks</t>
  </si>
  <si>
    <t>Mobile Black Spots Probity Advisory Serv</t>
  </si>
  <si>
    <t>Legal Services Agreements Amendment</t>
  </si>
  <si>
    <t>TUSMA Agreement with Telstra</t>
  </si>
  <si>
    <t>NBN Negotiations Data &amp; IT</t>
  </si>
  <si>
    <t>OFFICE OF PARLIAMENTARY COUNSEL</t>
  </si>
  <si>
    <t>Comlaw Fees</t>
  </si>
  <si>
    <t>Comlaw Fees for FRLI Registration</t>
  </si>
  <si>
    <t>Australia Post - Financial Information</t>
  </si>
  <si>
    <t>07.08.2014</t>
  </si>
  <si>
    <t>TUSMA Enterprise Agreement</t>
  </si>
  <si>
    <t>24.11.2014</t>
  </si>
  <si>
    <t>08.07.2014</t>
  </si>
  <si>
    <t>Legal Services - FOI Advice</t>
  </si>
  <si>
    <t>FOI Review - Sean Parnell</t>
  </si>
  <si>
    <t>Drafting Legislation Training</t>
  </si>
  <si>
    <t>TLA Deregulation Bill - TUSMA</t>
  </si>
  <si>
    <t>SBS Act and Codes of Practice</t>
  </si>
  <si>
    <t>Secondee AGS - ZMaxwell &amp; MORourke</t>
  </si>
  <si>
    <t>Briony Sefton</t>
  </si>
  <si>
    <t>BSEFTON</t>
  </si>
  <si>
    <t>Constitutional law advice</t>
  </si>
  <si>
    <t>Luke Waterson - Barrister</t>
  </si>
  <si>
    <t>SBS - advice regarding product placement</t>
  </si>
  <si>
    <t>Lander &amp; Rogers Lawyers</t>
  </si>
  <si>
    <t>NBN Design,Construct &amp; Maintenance Agmt</t>
  </si>
  <si>
    <t>Children's E-Safety Commissioner</t>
  </si>
  <si>
    <t>Amy Daly</t>
  </si>
  <si>
    <t>ADALY</t>
  </si>
  <si>
    <t>17.02.2015</t>
  </si>
  <si>
    <t>DCON/13/35</t>
  </si>
  <si>
    <t>Ashurst Australia</t>
  </si>
  <si>
    <t>Advice on TUSMA and the ADJR Act</t>
  </si>
  <si>
    <t>Advice for P.Scott re: OPEL evidence</t>
  </si>
  <si>
    <t>Second Review OPEL&amp;Farmwide Litigation</t>
  </si>
  <si>
    <t>Angela Flannery</t>
  </si>
  <si>
    <t>AFLANNERY</t>
  </si>
  <si>
    <t>Constitutional law advice -TIND policy</t>
  </si>
  <si>
    <t>Constitional/law advice -TIND policy</t>
  </si>
  <si>
    <t>07.08.2015</t>
  </si>
  <si>
    <t>APS4 Non-ongoing Contractor - OGC</t>
  </si>
  <si>
    <t>DLA Piper Australia</t>
  </si>
  <si>
    <t>Advice of P.Scott re: OPEL evidence</t>
  </si>
  <si>
    <t>TUSMA – Dispute to FWA TUSMA EA</t>
  </si>
  <si>
    <t>Wizard Corporate Training</t>
  </si>
  <si>
    <t>Microsoft Word Training - OGC</t>
  </si>
  <si>
    <t>Advice for A.Bell re: OPEL evidence</t>
  </si>
  <si>
    <t>Comms EA 2015-18 &amp;  CPSU / FWC Dispute</t>
  </si>
  <si>
    <t>Strategy</t>
  </si>
  <si>
    <t>APS4 Contractor Strategy</t>
  </si>
  <si>
    <t>Amanda Jane Nairn</t>
  </si>
  <si>
    <t>Project Management Consultancy Services</t>
  </si>
  <si>
    <t>Project Management Services</t>
  </si>
  <si>
    <t>Andrew Madsen</t>
  </si>
  <si>
    <t>AMADSEN</t>
  </si>
  <si>
    <t>EL1 Comms Officer, Change Office</t>
  </si>
  <si>
    <t>20.03.2014</t>
  </si>
  <si>
    <t>APSC CApability Review</t>
  </si>
  <si>
    <t>Gillian Munro</t>
  </si>
  <si>
    <t>GMUNRO</t>
  </si>
  <si>
    <t>Outline Agreement</t>
  </si>
  <si>
    <t>Contract Execution Date</t>
  </si>
  <si>
    <t>Purchasing Group</t>
  </si>
  <si>
    <t>Spending Proposal</t>
  </si>
  <si>
    <t>Purchase Order</t>
  </si>
  <si>
    <t>Spending Proposal Type</t>
  </si>
  <si>
    <t xml:space="preserve">     Amount (inc. GST)</t>
  </si>
  <si>
    <t>Contract Start Date</t>
  </si>
  <si>
    <t>Contract End Date</t>
  </si>
  <si>
    <t>Market Approach Method</t>
  </si>
  <si>
    <t>Consultancy Flag</t>
  </si>
  <si>
    <t>Gazettal Confidentiality Flag - Inputs</t>
  </si>
  <si>
    <t>Gazettal Confidentiality Reason Code - Inputs</t>
  </si>
  <si>
    <t>Gazettal Confidentiality Reason - Inputs</t>
  </si>
  <si>
    <t>Company Code</t>
  </si>
  <si>
    <t>Gazettal UNSPC Code</t>
  </si>
  <si>
    <t>Gazettal Transaction</t>
  </si>
  <si>
    <t>Consultancy Reason Flag</t>
  </si>
  <si>
    <t>SONID (Panel)</t>
  </si>
  <si>
    <t>Gazettal ATM</t>
  </si>
  <si>
    <t>Deed Number</t>
  </si>
  <si>
    <t>Procurements:</t>
  </si>
  <si>
    <t>Grants:</t>
  </si>
  <si>
    <t>Other:</t>
  </si>
  <si>
    <t>Total Contracts:</t>
  </si>
  <si>
    <t>Total Value:</t>
  </si>
  <si>
    <t>Variation:</t>
  </si>
  <si>
    <t>CONTRACTS/AGREEMENTS - 1 JULY 2014 TO 30 JUNE 2015 - GRANTS</t>
  </si>
  <si>
    <t>CONTRACTS/AGREEMENTS - 1 JULY 2014 TO 30 JUNE 2015 - ALL</t>
  </si>
  <si>
    <t>CONTRACTS/AGREEMENTS - 1 JULY 2014 TO 30 JUNE 2015 - PROCUREMENTS</t>
  </si>
  <si>
    <t>Open Tender:</t>
  </si>
  <si>
    <t>Limited Tender:</t>
  </si>
  <si>
    <t>Prequalified Tender:</t>
  </si>
  <si>
    <t>ACCAN Grant</t>
  </si>
  <si>
    <t>Consultancies:</t>
  </si>
  <si>
    <t>CONTRACTS/AGREEMENTS - 1 JULY 2014 TO 30 JUNE 2015 - CONSULTANCIES</t>
  </si>
  <si>
    <t>of Procurements</t>
  </si>
  <si>
    <t>Amount Paid</t>
  </si>
  <si>
    <t>CONSULTANCIES DETAIL FOR ANNUAL REPORT 2014/15</t>
  </si>
  <si>
    <t>Ongoing Consultancy Contracts</t>
  </si>
  <si>
    <t>New Consultancy Contracts</t>
  </si>
  <si>
    <t>(from previous year)</t>
  </si>
  <si>
    <t>(from col.AQ above)</t>
  </si>
  <si>
    <t>Contract Notice Export List</t>
  </si>
  <si>
    <t>Department of Communications - Financial Year 2014/15</t>
  </si>
  <si>
    <t>Agency</t>
  </si>
  <si>
    <t>Parent CN ID</t>
  </si>
  <si>
    <t>CN ID</t>
  </si>
  <si>
    <t>User</t>
  </si>
  <si>
    <t>Published</t>
  </si>
  <si>
    <t>Amendment Date</t>
  </si>
  <si>
    <t>Status</t>
  </si>
  <si>
    <t>StartDate</t>
  </si>
  <si>
    <t>EndDate</t>
  </si>
  <si>
    <t>Value</t>
  </si>
  <si>
    <t>Description</t>
  </si>
  <si>
    <t>Agency Ref. ID</t>
  </si>
  <si>
    <t>Category</t>
  </si>
  <si>
    <t>Procurement Method</t>
  </si>
  <si>
    <t>ATM ID</t>
  </si>
  <si>
    <t>SON ID</t>
  </si>
  <si>
    <t>Confidentiality - Contract</t>
  </si>
  <si>
    <t>Confidentiality - Contract Reason(s)</t>
  </si>
  <si>
    <t>Confidentiality - Outputs</t>
  </si>
  <si>
    <t>Confidentiality - Outputs Reason(s)</t>
  </si>
  <si>
    <t>Consultancy</t>
  </si>
  <si>
    <t>Consultancy Reason(s)</t>
  </si>
  <si>
    <t>Amendment Reason</t>
  </si>
  <si>
    <t>Supplier Name</t>
  </si>
  <si>
    <t>Supplier Address</t>
  </si>
  <si>
    <t>Supplier City</t>
  </si>
  <si>
    <t>Supplier Postcode</t>
  </si>
  <si>
    <t>Supplier Country</t>
  </si>
  <si>
    <t>Supplier ABNExempt</t>
  </si>
  <si>
    <t>Supplier ABN</t>
  </si>
  <si>
    <t>Agency Contact Name</t>
  </si>
  <si>
    <t>Agency Contact Phone</t>
  </si>
  <si>
    <t>Agency Contact Email</t>
  </si>
  <si>
    <t>Agency Branch</t>
  </si>
  <si>
    <t>Agency Divison</t>
  </si>
  <si>
    <t>Agency Postcode</t>
  </si>
  <si>
    <t xml:space="preserve"> </t>
  </si>
  <si>
    <t xml:space="preserve"> Legal Services - Litigation </t>
  </si>
  <si>
    <t xml:space="preserve"> Web services </t>
  </si>
  <si>
    <t>APS5 - B Sefton - Placement Fee</t>
  </si>
  <si>
    <t xml:space="preserve"> Software Maintenance </t>
  </si>
  <si>
    <t>Recruitment Services</t>
  </si>
  <si>
    <t>Stay Smart On Line Promotional Material Market Research</t>
  </si>
  <si>
    <t>Digital Strategy Implementation</t>
  </si>
  <si>
    <t>DCON/14/73- Change Management</t>
  </si>
  <si>
    <t>Acquisition of OzTAM television data</t>
  </si>
  <si>
    <t>SSO Week Event Management Support</t>
  </si>
  <si>
    <t>Management advisory services</t>
  </si>
  <si>
    <t>Specialist removals</t>
  </si>
  <si>
    <t>Franking machine postage</t>
  </si>
  <si>
    <t xml:space="preserve"> Promotional of Digital Business Website </t>
  </si>
  <si>
    <t>ATR#288</t>
  </si>
  <si>
    <t>Indoor plant hire</t>
  </si>
  <si>
    <t xml:space="preserve"> Contracting Services to assist in analysis of NBN Co's commercial arrangements </t>
  </si>
  <si>
    <t>Panel information added</t>
  </si>
  <si>
    <t xml:space="preserve"> Website Development </t>
  </si>
  <si>
    <t>Hardware maintenance</t>
  </si>
  <si>
    <t>annual maintenance renewal</t>
  </si>
  <si>
    <t>Corporate Membership</t>
  </si>
  <si>
    <t>2015/16 Car parking STMT</t>
  </si>
  <si>
    <t>Agency Contractor EL2 - BCR</t>
  </si>
  <si>
    <t>2012-13</t>
  </si>
  <si>
    <t>2013-14</t>
  </si>
  <si>
    <t>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</si>
</sst>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d/mm/yyyy;@"/>
    <numFmt numFmtId="167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8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164" fontId="19" fillId="0" borderId="0" xfId="42" applyNumberFormat="1" applyFont="1" applyAlignment="1">
      <alignment horizontal="center" vertical="center"/>
    </xf>
    <xf numFmtId="164" fontId="19" fillId="0" borderId="11" xfId="42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4" fontId="18" fillId="0" borderId="0" xfId="0" applyNumberFormat="1" applyFont="1" applyAlignment="1">
      <alignment vertical="center"/>
    </xf>
    <xf numFmtId="0" fontId="21" fillId="0" borderId="0" xfId="0" applyFont="1" applyAlignment="1">
      <alignment horizontal="right" vertical="center"/>
    </xf>
    <xf numFmtId="164" fontId="21" fillId="0" borderId="0" xfId="42" applyNumberFormat="1" applyFont="1" applyAlignment="1">
      <alignment horizontal="center" vertical="center"/>
    </xf>
    <xf numFmtId="165" fontId="22" fillId="0" borderId="0" xfId="43" applyNumberFormat="1" applyFont="1" applyAlignment="1">
      <alignment horizontal="left" vertical="center"/>
    </xf>
    <xf numFmtId="4" fontId="18" fillId="0" borderId="0" xfId="0" applyNumberFormat="1" applyFont="1"/>
    <xf numFmtId="4" fontId="18" fillId="0" borderId="11" xfId="0" applyNumberFormat="1" applyFont="1" applyBorder="1" applyAlignment="1">
      <alignment vertical="center"/>
    </xf>
    <xf numFmtId="0" fontId="19" fillId="0" borderId="0" xfId="0" applyFont="1" applyAlignment="1">
      <alignment horizontal="right"/>
    </xf>
    <xf numFmtId="9" fontId="0" fillId="0" borderId="0" xfId="43" applyFont="1"/>
    <xf numFmtId="165" fontId="22" fillId="0" borderId="0" xfId="43" applyNumberFormat="1" applyFont="1" applyAlignment="1">
      <alignment horizontal="left"/>
    </xf>
    <xf numFmtId="4" fontId="18" fillId="0" borderId="11" xfId="0" applyNumberFormat="1" applyFont="1" applyBorder="1"/>
    <xf numFmtId="165" fontId="22" fillId="0" borderId="11" xfId="43" applyNumberFormat="1" applyFont="1" applyBorder="1" applyAlignment="1">
      <alignment horizontal="left"/>
    </xf>
    <xf numFmtId="165" fontId="22" fillId="0" borderId="0" xfId="43" applyNumberFormat="1" applyFont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" fontId="23" fillId="0" borderId="0" xfId="0" applyNumberFormat="1" applyFont="1" applyAlignment="1">
      <alignment vertical="center"/>
    </xf>
    <xf numFmtId="4" fontId="16" fillId="0" borderId="0" xfId="0" applyNumberFormat="1" applyFont="1" applyAlignment="1">
      <alignment vertical="center"/>
    </xf>
    <xf numFmtId="14" fontId="0" fillId="0" borderId="0" xfId="0" applyNumberForma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 wrapText="1"/>
    </xf>
    <xf numFmtId="14" fontId="0" fillId="0" borderId="0" xfId="0" applyNumberFormat="1"/>
    <xf numFmtId="4" fontId="0" fillId="0" borderId="11" xfId="0" applyNumberFormat="1" applyBorder="1" applyAlignment="1">
      <alignment vertical="center"/>
    </xf>
    <xf numFmtId="4" fontId="16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13" fillId="33" borderId="0" xfId="0" quotePrefix="1" applyFont="1" applyFill="1" applyAlignment="1">
      <alignment horizontal="left"/>
    </xf>
    <xf numFmtId="0" fontId="13" fillId="33" borderId="0" xfId="0" applyFont="1" applyFill="1"/>
    <xf numFmtId="0" fontId="13" fillId="33" borderId="0" xfId="0" quotePrefix="1" applyFont="1" applyFill="1"/>
    <xf numFmtId="167" fontId="13" fillId="33" borderId="0" xfId="0" applyNumberFormat="1" applyFont="1" applyFill="1"/>
    <xf numFmtId="0" fontId="16" fillId="0" borderId="10" xfId="0" applyFont="1" applyBorder="1"/>
    <xf numFmtId="0" fontId="16" fillId="0" borderId="0" xfId="0" applyFont="1"/>
    <xf numFmtId="22" fontId="0" fillId="0" borderId="0" xfId="0" applyNumberFormat="1"/>
    <xf numFmtId="15" fontId="0" fillId="0" borderId="0" xfId="0" applyNumberFormat="1"/>
    <xf numFmtId="43" fontId="0" fillId="0" borderId="0" xfId="42" applyFont="1"/>
    <xf numFmtId="0" fontId="19" fillId="0" borderId="11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4" fillId="0" borderId="12" xfId="0" applyFont="1" applyBorder="1" applyAlignment="1">
      <alignment horizontal="left" wrapText="1"/>
    </xf>
    <xf numFmtId="0" fontId="24" fillId="0" borderId="0" xfId="0" applyFont="1" applyBorder="1" applyAlignment="1">
      <alignment horizontal="left" wrapText="1"/>
    </xf>
    <xf numFmtId="0" fontId="19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'Consults - AR'!$A$108:$A$110</c:f>
              <c:strCache>
                <c:ptCount val="3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</c:strCache>
            </c:strRef>
          </c:cat>
          <c:val>
            <c:numRef>
              <c:f>'Consults - AR'!$B$108:$B$110</c:f>
              <c:numCache>
                <c:formatCode>General</c:formatCode>
                <c:ptCount val="3"/>
                <c:pt idx="0">
                  <c:v>2.194626</c:v>
                </c:pt>
                <c:pt idx="1">
                  <c:v>9.2152080000000005</c:v>
                </c:pt>
                <c:pt idx="2" formatCode="0.000000">
                  <c:v>7.8538987099999993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60544"/>
        <c:axId val="139864072"/>
      </c:barChart>
      <c:catAx>
        <c:axId val="13986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AU" baseline="0">
                    <a:latin typeface="Arial" panose="020B0604020202020204" pitchFamily="34" charset="0"/>
                  </a:rPr>
                  <a:t>Reporting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9864072"/>
        <c:crosses val="autoZero"/>
        <c:auto val="1"/>
        <c:lblAlgn val="ctr"/>
        <c:lblOffset val="100"/>
        <c:noMultiLvlLbl val="0"/>
      </c:catAx>
      <c:valAx>
        <c:axId val="1398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baseline="0">
                    <a:latin typeface="Arial" panose="020B0604020202020204" pitchFamily="34" charset="0"/>
                  </a:rPr>
                  <a:t>Expenditure ($ 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98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1343024</xdr:colOff>
      <xdr:row>100</xdr:row>
      <xdr:rowOff>4761</xdr:rowOff>
    </xdr:from>
    <xdr:to>
      <xdr:col>7</xdr:col>
      <xdr:colOff>2162175</xdr:colOff>
      <xdr:row>116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3"/>
  <sheetViews>
    <sheetView topLeftCell="A294" workbookViewId="0">
      <selection activeCell="A703" sqref="A703"/>
    </sheetView>
  </sheetViews>
  <sheetFormatPr defaultRowHeight="15" x14ac:dyDescent="0.25"/>
  <cols>
    <col min="1" max="2" width="10.7109375" style="3" customWidth="1"/>
    <col min="3" max="3" width="20.140625" style="3" bestFit="1" customWidth="1"/>
    <col min="4" max="4" width="10.85546875" style="3" bestFit="1" customWidth="1"/>
    <col min="5" max="5" width="10.85546875" style="4" bestFit="1" customWidth="1"/>
    <col min="6" max="6" width="12.5703125" style="3" bestFit="1" customWidth="1"/>
    <col min="7" max="7" width="41.140625" style="4" bestFit="1" customWidth="1"/>
    <col min="8" max="8" width="94.7109375" style="4" bestFit="1" customWidth="1"/>
    <col min="9" max="9" width="15.7109375" style="4" customWidth="1"/>
    <col min="10" max="12" width="10.7109375" style="3" customWidth="1"/>
    <col min="13" max="13" width="42.7109375" style="4" customWidth="1"/>
    <col min="14" max="14" width="20.7109375" style="3" customWidth="1"/>
    <col min="15" max="15" width="11.7109375" style="3" customWidth="1"/>
    <col min="16" max="16" width="43" style="4" bestFit="1" customWidth="1"/>
    <col min="17" max="18" width="14.7109375" style="3" customWidth="1"/>
    <col min="19" max="19" width="32.5703125" style="4" bestFit="1" customWidth="1"/>
    <col min="20" max="20" width="9.140625" style="4"/>
    <col min="21" max="22" width="8.42578125" style="4" bestFit="1" customWidth="1"/>
    <col min="23" max="23" width="19.5703125" style="4" bestFit="1" customWidth="1"/>
    <col min="24" max="24" width="69.5703125" style="4" bestFit="1" customWidth="1"/>
    <col min="25" max="26" width="24" style="4" bestFit="1" customWidth="1"/>
    <col min="27" max="27" width="40.28515625" style="4" bestFit="1" customWidth="1"/>
    <col min="28" max="28" width="19.42578125" style="3" bestFit="1" customWidth="1"/>
    <col min="29" max="29" width="11.85546875" style="3" bestFit="1" customWidth="1"/>
    <col min="30" max="30" width="10.7109375" style="3" customWidth="1"/>
    <col min="31" max="31" width="9.140625" style="3"/>
    <col min="32" max="34" width="9.140625" style="4"/>
    <col min="35" max="36" width="15.7109375" style="4" bestFit="1" customWidth="1"/>
    <col min="37" max="37" width="11.7109375" style="3" customWidth="1"/>
    <col min="38" max="38" width="12" style="4" bestFit="1" customWidth="1"/>
    <col min="39" max="39" width="15.42578125" style="4" bestFit="1" customWidth="1"/>
    <col min="40" max="40" width="12.7109375" style="4" bestFit="1" customWidth="1"/>
    <col min="41" max="41" width="11.7109375" style="4" customWidth="1"/>
    <col min="42" max="16384" width="9.140625" style="4"/>
  </cols>
  <sheetData>
    <row r="1" spans="1:42" ht="18.75" x14ac:dyDescent="0.25">
      <c r="A1" s="47" t="s">
        <v>2455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</row>
    <row r="2" spans="1:42" s="1" customFormat="1" ht="60" x14ac:dyDescent="0.25">
      <c r="A2" s="2" t="s">
        <v>2427</v>
      </c>
      <c r="B2" s="2" t="s">
        <v>2428</v>
      </c>
      <c r="C2" s="2" t="s">
        <v>2429</v>
      </c>
      <c r="D2" s="2" t="s">
        <v>2430</v>
      </c>
      <c r="E2" s="2" t="s">
        <v>2431</v>
      </c>
      <c r="F2" s="2" t="s">
        <v>2432</v>
      </c>
      <c r="G2" s="2" t="s">
        <v>0</v>
      </c>
      <c r="H2" s="2" t="s">
        <v>1</v>
      </c>
      <c r="I2" s="2" t="s">
        <v>2433</v>
      </c>
      <c r="J2" s="2" t="s">
        <v>2434</v>
      </c>
      <c r="K2" s="2" t="s">
        <v>2435</v>
      </c>
      <c r="L2" s="2" t="s">
        <v>2436</v>
      </c>
      <c r="M2" s="2" t="s">
        <v>2</v>
      </c>
      <c r="N2" s="2" t="s">
        <v>3</v>
      </c>
      <c r="O2" s="2" t="s">
        <v>2437</v>
      </c>
      <c r="P2" s="2" t="s">
        <v>4</v>
      </c>
      <c r="Q2" s="2" t="s">
        <v>2438</v>
      </c>
      <c r="R2" s="2" t="s">
        <v>2439</v>
      </c>
      <c r="S2" s="2" t="s">
        <v>2440</v>
      </c>
      <c r="T2" s="2" t="s">
        <v>6</v>
      </c>
      <c r="U2" s="2" t="s">
        <v>6</v>
      </c>
      <c r="V2" s="2" t="s">
        <v>5</v>
      </c>
      <c r="W2" s="2" t="s">
        <v>5</v>
      </c>
      <c r="X2" s="2" t="s">
        <v>7</v>
      </c>
      <c r="Y2" s="2" t="s">
        <v>8</v>
      </c>
      <c r="Z2" s="2" t="s">
        <v>9</v>
      </c>
      <c r="AA2" s="2" t="s">
        <v>2447</v>
      </c>
      <c r="AB2" s="2" t="s">
        <v>2446</v>
      </c>
      <c r="AC2" s="2" t="s">
        <v>2445</v>
      </c>
      <c r="AD2" s="2" t="s">
        <v>10</v>
      </c>
      <c r="AE2" s="2" t="s">
        <v>2441</v>
      </c>
      <c r="AF2" s="2" t="s">
        <v>11</v>
      </c>
      <c r="AG2" s="2" t="s">
        <v>11</v>
      </c>
      <c r="AH2" s="2" t="s">
        <v>12</v>
      </c>
      <c r="AI2" s="2" t="s">
        <v>8</v>
      </c>
      <c r="AJ2" s="2" t="s">
        <v>13</v>
      </c>
      <c r="AK2" s="2" t="s">
        <v>2444</v>
      </c>
      <c r="AL2" s="2" t="s">
        <v>14</v>
      </c>
      <c r="AM2" s="2" t="s">
        <v>15</v>
      </c>
      <c r="AN2" s="2" t="s">
        <v>16</v>
      </c>
      <c r="AO2" s="2" t="s">
        <v>2443</v>
      </c>
      <c r="AP2" s="2" t="s">
        <v>2442</v>
      </c>
    </row>
    <row r="3" spans="1:42" x14ac:dyDescent="0.25">
      <c r="A3" s="3">
        <v>4600059</v>
      </c>
      <c r="B3" s="3" t="s">
        <v>17</v>
      </c>
      <c r="C3" s="3" t="s">
        <v>18</v>
      </c>
      <c r="D3" s="3">
        <v>10000069</v>
      </c>
      <c r="E3" s="4">
        <v>4529409</v>
      </c>
      <c r="F3" s="3" t="s">
        <v>19</v>
      </c>
      <c r="G3" s="4" t="s">
        <v>20</v>
      </c>
      <c r="H3" s="4" t="s">
        <v>21</v>
      </c>
      <c r="I3" s="5">
        <v>82815700</v>
      </c>
      <c r="J3" s="3" t="s">
        <v>22</v>
      </c>
      <c r="K3" s="3" t="s">
        <v>23</v>
      </c>
      <c r="M3" s="4" t="s">
        <v>24</v>
      </c>
      <c r="N3" s="3" t="s">
        <v>25</v>
      </c>
      <c r="Y3" s="4" t="s">
        <v>26</v>
      </c>
      <c r="Z3" s="4" t="s">
        <v>27</v>
      </c>
      <c r="AD3" s="3" t="s">
        <v>28</v>
      </c>
      <c r="AE3" s="3">
        <v>5000</v>
      </c>
      <c r="AF3" s="4">
        <v>3896887.5</v>
      </c>
      <c r="AG3" s="4">
        <v>78918812.5</v>
      </c>
      <c r="AH3" s="4">
        <v>4529113</v>
      </c>
      <c r="AI3" s="4" t="s">
        <v>29</v>
      </c>
      <c r="AJ3" s="4" t="s">
        <v>30</v>
      </c>
      <c r="AL3" s="4">
        <v>53527</v>
      </c>
      <c r="AM3" s="5">
        <v>82815700</v>
      </c>
      <c r="AN3" s="4" t="s">
        <v>31</v>
      </c>
      <c r="AO3" s="4">
        <v>99</v>
      </c>
    </row>
    <row r="4" spans="1:42" x14ac:dyDescent="0.25">
      <c r="A4" s="3">
        <v>4600078</v>
      </c>
      <c r="C4" s="3" t="s">
        <v>18</v>
      </c>
      <c r="D4" s="3">
        <v>10000096</v>
      </c>
      <c r="E4" s="4">
        <v>4529428</v>
      </c>
      <c r="F4" s="3" t="s">
        <v>19</v>
      </c>
      <c r="G4" s="4" t="s">
        <v>32</v>
      </c>
      <c r="H4" s="4" t="s">
        <v>33</v>
      </c>
      <c r="I4" s="5">
        <v>909341.4</v>
      </c>
      <c r="J4" s="3" t="s">
        <v>34</v>
      </c>
      <c r="K4" s="3" t="s">
        <v>35</v>
      </c>
      <c r="M4" s="4" t="s">
        <v>36</v>
      </c>
      <c r="N4" s="3" t="s">
        <v>25</v>
      </c>
      <c r="Y4" s="4" t="s">
        <v>37</v>
      </c>
      <c r="Z4" s="4" t="s">
        <v>38</v>
      </c>
      <c r="AD4" s="3" t="s">
        <v>28</v>
      </c>
      <c r="AE4" s="3">
        <v>5000</v>
      </c>
      <c r="AF4" s="4">
        <v>536657</v>
      </c>
      <c r="AG4" s="4">
        <v>372684.4</v>
      </c>
      <c r="AH4" s="4">
        <v>4529285</v>
      </c>
      <c r="AI4" s="4" t="s">
        <v>39</v>
      </c>
      <c r="AJ4" s="4" t="s">
        <v>40</v>
      </c>
      <c r="AL4" s="4">
        <v>30234</v>
      </c>
      <c r="AM4" s="5">
        <v>909341.4</v>
      </c>
      <c r="AN4" s="4" t="s">
        <v>31</v>
      </c>
      <c r="AO4" s="4">
        <v>99</v>
      </c>
    </row>
    <row r="5" spans="1:42" x14ac:dyDescent="0.25">
      <c r="A5" s="3">
        <v>4601016</v>
      </c>
      <c r="B5" s="3" t="s">
        <v>41</v>
      </c>
      <c r="C5" s="3" t="s">
        <v>18</v>
      </c>
      <c r="D5" s="3">
        <v>10000771</v>
      </c>
      <c r="E5" s="4">
        <v>4530366</v>
      </c>
      <c r="F5" s="3" t="s">
        <v>19</v>
      </c>
      <c r="G5" s="4" t="s">
        <v>42</v>
      </c>
      <c r="H5" s="4" t="s">
        <v>43</v>
      </c>
      <c r="I5" s="5">
        <v>44678106</v>
      </c>
      <c r="J5" s="3" t="s">
        <v>44</v>
      </c>
      <c r="K5" s="3" t="s">
        <v>35</v>
      </c>
      <c r="M5" s="4" t="s">
        <v>43</v>
      </c>
      <c r="N5" s="3" t="s">
        <v>25</v>
      </c>
      <c r="Y5" s="4" t="s">
        <v>26</v>
      </c>
      <c r="Z5" s="4" t="s">
        <v>45</v>
      </c>
      <c r="AD5" s="3" t="s">
        <v>46</v>
      </c>
      <c r="AE5" s="3">
        <v>5000</v>
      </c>
      <c r="AI5" s="4" t="s">
        <v>29</v>
      </c>
      <c r="AJ5" s="4" t="s">
        <v>47</v>
      </c>
      <c r="AL5" s="4">
        <v>140467</v>
      </c>
      <c r="AM5" s="5">
        <v>44678106</v>
      </c>
      <c r="AN5" s="4" t="s">
        <v>31</v>
      </c>
      <c r="AO5" s="4">
        <v>99</v>
      </c>
    </row>
    <row r="6" spans="1:42" x14ac:dyDescent="0.25">
      <c r="A6" s="3">
        <v>4602858</v>
      </c>
      <c r="B6" s="3" t="s">
        <v>73</v>
      </c>
      <c r="C6" s="3" t="s">
        <v>18</v>
      </c>
      <c r="D6" s="3">
        <v>10002705</v>
      </c>
      <c r="E6" s="4">
        <v>4532209</v>
      </c>
      <c r="F6" s="3" t="s">
        <v>19</v>
      </c>
      <c r="G6" s="4" t="s">
        <v>74</v>
      </c>
      <c r="H6" s="4" t="s">
        <v>75</v>
      </c>
      <c r="I6" s="5">
        <v>517000</v>
      </c>
      <c r="J6" s="3" t="s">
        <v>76</v>
      </c>
      <c r="K6" s="3" t="s">
        <v>77</v>
      </c>
      <c r="M6" s="4" t="s">
        <v>78</v>
      </c>
      <c r="N6" s="3" t="s">
        <v>25</v>
      </c>
      <c r="Y6" s="4" t="s">
        <v>79</v>
      </c>
      <c r="Z6" s="4" t="s">
        <v>79</v>
      </c>
      <c r="AD6" s="3" t="s">
        <v>73</v>
      </c>
      <c r="AE6" s="3">
        <v>5000</v>
      </c>
      <c r="AI6" s="4" t="s">
        <v>80</v>
      </c>
      <c r="AJ6" s="4" t="s">
        <v>80</v>
      </c>
      <c r="AL6" s="4" t="s">
        <v>81</v>
      </c>
      <c r="AM6" s="5">
        <v>517000</v>
      </c>
      <c r="AN6" s="4" t="s">
        <v>31</v>
      </c>
      <c r="AO6" s="4">
        <v>99</v>
      </c>
    </row>
    <row r="7" spans="1:42" x14ac:dyDescent="0.25">
      <c r="A7" s="3">
        <v>4602861</v>
      </c>
      <c r="B7" s="3" t="s">
        <v>73</v>
      </c>
      <c r="C7" s="3" t="s">
        <v>18</v>
      </c>
      <c r="D7" s="3">
        <v>10002705</v>
      </c>
      <c r="E7" s="4">
        <v>4532212</v>
      </c>
      <c r="F7" s="3" t="s">
        <v>19</v>
      </c>
      <c r="G7" s="4" t="s">
        <v>82</v>
      </c>
      <c r="H7" s="4" t="s">
        <v>75</v>
      </c>
      <c r="I7" s="5">
        <v>319000</v>
      </c>
      <c r="J7" s="3" t="s">
        <v>76</v>
      </c>
      <c r="K7" s="3" t="s">
        <v>77</v>
      </c>
      <c r="M7" s="4" t="s">
        <v>83</v>
      </c>
      <c r="N7" s="3" t="s">
        <v>25</v>
      </c>
      <c r="Y7" s="4" t="s">
        <v>79</v>
      </c>
      <c r="Z7" s="4" t="s">
        <v>79</v>
      </c>
      <c r="AD7" s="3" t="s">
        <v>73</v>
      </c>
      <c r="AE7" s="3">
        <v>5000</v>
      </c>
      <c r="AI7" s="4" t="s">
        <v>80</v>
      </c>
      <c r="AJ7" s="4" t="s">
        <v>80</v>
      </c>
      <c r="AL7" s="4" t="s">
        <v>84</v>
      </c>
      <c r="AM7" s="5">
        <v>319000</v>
      </c>
      <c r="AN7" s="4" t="s">
        <v>31</v>
      </c>
      <c r="AO7" s="4">
        <v>99</v>
      </c>
    </row>
    <row r="8" spans="1:42" x14ac:dyDescent="0.25">
      <c r="A8" s="3">
        <v>4602862</v>
      </c>
      <c r="B8" s="3" t="s">
        <v>73</v>
      </c>
      <c r="C8" s="3" t="s">
        <v>18</v>
      </c>
      <c r="D8" s="3">
        <v>10002705</v>
      </c>
      <c r="E8" s="4">
        <v>4532213</v>
      </c>
      <c r="F8" s="3" t="s">
        <v>19</v>
      </c>
      <c r="G8" s="4" t="s">
        <v>85</v>
      </c>
      <c r="H8" s="4" t="s">
        <v>75</v>
      </c>
      <c r="I8" s="5">
        <v>319000</v>
      </c>
      <c r="J8" s="3" t="s">
        <v>76</v>
      </c>
      <c r="K8" s="3" t="s">
        <v>77</v>
      </c>
      <c r="M8" s="4" t="s">
        <v>86</v>
      </c>
      <c r="N8" s="3" t="s">
        <v>25</v>
      </c>
      <c r="Y8" s="4" t="s">
        <v>79</v>
      </c>
      <c r="Z8" s="4" t="s">
        <v>79</v>
      </c>
      <c r="AD8" s="3" t="s">
        <v>73</v>
      </c>
      <c r="AE8" s="3">
        <v>5000</v>
      </c>
      <c r="AI8" s="4" t="s">
        <v>80</v>
      </c>
      <c r="AJ8" s="4" t="s">
        <v>80</v>
      </c>
      <c r="AL8" s="4" t="s">
        <v>87</v>
      </c>
      <c r="AM8" s="5">
        <v>308000</v>
      </c>
      <c r="AN8" s="4" t="s">
        <v>31</v>
      </c>
      <c r="AO8" s="4">
        <v>99</v>
      </c>
    </row>
    <row r="9" spans="1:42" x14ac:dyDescent="0.25">
      <c r="A9" s="3">
        <v>4602867</v>
      </c>
      <c r="B9" s="3" t="s">
        <v>73</v>
      </c>
      <c r="C9" s="3" t="s">
        <v>18</v>
      </c>
      <c r="D9" s="3">
        <v>10002705</v>
      </c>
      <c r="E9" s="4">
        <v>4532218</v>
      </c>
      <c r="F9" s="3" t="s">
        <v>19</v>
      </c>
      <c r="G9" s="4" t="s">
        <v>85</v>
      </c>
      <c r="H9" s="4" t="s">
        <v>75</v>
      </c>
      <c r="I9" s="5">
        <v>473000</v>
      </c>
      <c r="J9" s="3" t="s">
        <v>76</v>
      </c>
      <c r="K9" s="3" t="s">
        <v>77</v>
      </c>
      <c r="M9" s="4" t="s">
        <v>88</v>
      </c>
      <c r="N9" s="3" t="s">
        <v>25</v>
      </c>
      <c r="Y9" s="4" t="s">
        <v>79</v>
      </c>
      <c r="Z9" s="4" t="s">
        <v>79</v>
      </c>
      <c r="AD9" s="3" t="s">
        <v>73</v>
      </c>
      <c r="AE9" s="3">
        <v>5000</v>
      </c>
      <c r="AI9" s="4" t="s">
        <v>80</v>
      </c>
      <c r="AJ9" s="4" t="s">
        <v>80</v>
      </c>
      <c r="AL9" s="4" t="s">
        <v>87</v>
      </c>
      <c r="AM9" s="5">
        <v>473000</v>
      </c>
      <c r="AN9" s="4" t="s">
        <v>31</v>
      </c>
      <c r="AO9" s="4">
        <v>99</v>
      </c>
    </row>
    <row r="10" spans="1:42" x14ac:dyDescent="0.25">
      <c r="A10" s="3">
        <v>4602870</v>
      </c>
      <c r="B10" s="3" t="s">
        <v>73</v>
      </c>
      <c r="C10" s="3" t="s">
        <v>18</v>
      </c>
      <c r="D10" s="3">
        <v>10002705</v>
      </c>
      <c r="E10" s="4">
        <v>4532221</v>
      </c>
      <c r="F10" s="3" t="s">
        <v>19</v>
      </c>
      <c r="G10" s="4" t="s">
        <v>89</v>
      </c>
      <c r="H10" s="4" t="s">
        <v>75</v>
      </c>
      <c r="I10" s="5">
        <v>319000</v>
      </c>
      <c r="J10" s="3" t="s">
        <v>76</v>
      </c>
      <c r="K10" s="3" t="s">
        <v>77</v>
      </c>
      <c r="M10" s="4" t="s">
        <v>90</v>
      </c>
      <c r="N10" s="3" t="s">
        <v>25</v>
      </c>
      <c r="Y10" s="4" t="s">
        <v>79</v>
      </c>
      <c r="Z10" s="4" t="s">
        <v>79</v>
      </c>
      <c r="AD10" s="3" t="s">
        <v>73</v>
      </c>
      <c r="AE10" s="3">
        <v>5000</v>
      </c>
      <c r="AI10" s="4" t="s">
        <v>80</v>
      </c>
      <c r="AJ10" s="4" t="s">
        <v>80</v>
      </c>
      <c r="AL10" s="4" t="s">
        <v>91</v>
      </c>
      <c r="AM10" s="5">
        <v>319000</v>
      </c>
      <c r="AN10" s="4" t="s">
        <v>31</v>
      </c>
      <c r="AO10" s="4">
        <v>99</v>
      </c>
    </row>
    <row r="11" spans="1:42" x14ac:dyDescent="0.25">
      <c r="A11" s="3">
        <v>4602873</v>
      </c>
      <c r="B11" s="3" t="s">
        <v>73</v>
      </c>
      <c r="C11" s="3" t="s">
        <v>18</v>
      </c>
      <c r="D11" s="3">
        <v>10002705</v>
      </c>
      <c r="E11" s="4">
        <v>4532224</v>
      </c>
      <c r="F11" s="3" t="s">
        <v>19</v>
      </c>
      <c r="G11" s="4" t="s">
        <v>92</v>
      </c>
      <c r="H11" s="4" t="s">
        <v>75</v>
      </c>
      <c r="I11" s="5">
        <v>319000</v>
      </c>
      <c r="J11" s="3" t="s">
        <v>76</v>
      </c>
      <c r="K11" s="3" t="s">
        <v>77</v>
      </c>
      <c r="M11" s="4" t="s">
        <v>93</v>
      </c>
      <c r="N11" s="3" t="s">
        <v>25</v>
      </c>
      <c r="Y11" s="4" t="s">
        <v>79</v>
      </c>
      <c r="Z11" s="4" t="s">
        <v>79</v>
      </c>
      <c r="AD11" s="3" t="s">
        <v>73</v>
      </c>
      <c r="AE11" s="3">
        <v>5000</v>
      </c>
      <c r="AI11" s="4" t="s">
        <v>80</v>
      </c>
      <c r="AJ11" s="4" t="s">
        <v>80</v>
      </c>
      <c r="AL11" s="4" t="s">
        <v>94</v>
      </c>
      <c r="AM11" s="5">
        <v>319000</v>
      </c>
      <c r="AN11" s="4" t="s">
        <v>31</v>
      </c>
      <c r="AO11" s="4">
        <v>99</v>
      </c>
    </row>
    <row r="12" spans="1:42" x14ac:dyDescent="0.25">
      <c r="A12" s="3">
        <v>4602877</v>
      </c>
      <c r="B12" s="3" t="s">
        <v>73</v>
      </c>
      <c r="C12" s="3" t="s">
        <v>18</v>
      </c>
      <c r="D12" s="3">
        <v>10002705</v>
      </c>
      <c r="E12" s="4">
        <v>4532228</v>
      </c>
      <c r="F12" s="3" t="s">
        <v>19</v>
      </c>
      <c r="G12" s="4" t="s">
        <v>95</v>
      </c>
      <c r="H12" s="4" t="s">
        <v>75</v>
      </c>
      <c r="I12" s="5">
        <v>528000</v>
      </c>
      <c r="J12" s="3" t="s">
        <v>76</v>
      </c>
      <c r="K12" s="3" t="s">
        <v>77</v>
      </c>
      <c r="M12" s="4" t="s">
        <v>96</v>
      </c>
      <c r="N12" s="3" t="s">
        <v>25</v>
      </c>
      <c r="Y12" s="4" t="s">
        <v>79</v>
      </c>
      <c r="Z12" s="4" t="s">
        <v>79</v>
      </c>
      <c r="AD12" s="3" t="s">
        <v>73</v>
      </c>
      <c r="AE12" s="3">
        <v>5000</v>
      </c>
      <c r="AI12" s="4" t="s">
        <v>80</v>
      </c>
      <c r="AJ12" s="4" t="s">
        <v>80</v>
      </c>
      <c r="AL12" s="4" t="s">
        <v>97</v>
      </c>
      <c r="AM12" s="5">
        <v>528000</v>
      </c>
      <c r="AN12" s="4" t="s">
        <v>31</v>
      </c>
      <c r="AO12" s="4">
        <v>99</v>
      </c>
    </row>
    <row r="13" spans="1:42" x14ac:dyDescent="0.25">
      <c r="A13" s="3">
        <v>4603194</v>
      </c>
      <c r="B13" s="3" t="s">
        <v>106</v>
      </c>
      <c r="C13" s="3" t="s">
        <v>107</v>
      </c>
      <c r="D13" s="3">
        <v>10003029</v>
      </c>
      <c r="E13" s="4">
        <v>4532545</v>
      </c>
      <c r="F13" s="3" t="s">
        <v>19</v>
      </c>
      <c r="G13" s="4" t="s">
        <v>108</v>
      </c>
      <c r="H13" s="4" t="s">
        <v>109</v>
      </c>
      <c r="I13" s="5">
        <v>20974738.399999999</v>
      </c>
      <c r="J13" s="3" t="s">
        <v>110</v>
      </c>
      <c r="K13" s="3" t="s">
        <v>77</v>
      </c>
      <c r="M13" s="4" t="s">
        <v>109</v>
      </c>
      <c r="N13" s="3" t="s">
        <v>25</v>
      </c>
      <c r="Y13" s="4" t="s">
        <v>111</v>
      </c>
      <c r="Z13" s="4" t="s">
        <v>112</v>
      </c>
      <c r="AD13" s="3" t="s">
        <v>113</v>
      </c>
      <c r="AE13" s="3">
        <v>5000</v>
      </c>
      <c r="AI13" s="4" t="s">
        <v>114</v>
      </c>
      <c r="AJ13" s="4" t="s">
        <v>115</v>
      </c>
      <c r="AL13" s="4">
        <v>46320</v>
      </c>
      <c r="AM13" s="5">
        <v>20974738.399999999</v>
      </c>
      <c r="AN13" s="4" t="s">
        <v>31</v>
      </c>
      <c r="AO13" s="4">
        <v>97</v>
      </c>
    </row>
    <row r="14" spans="1:42" x14ac:dyDescent="0.25">
      <c r="A14" s="3">
        <v>4603465</v>
      </c>
      <c r="B14" s="3" t="s">
        <v>125</v>
      </c>
      <c r="C14" s="3" t="s">
        <v>107</v>
      </c>
      <c r="D14" s="3">
        <v>10003282</v>
      </c>
      <c r="E14" s="4">
        <v>4532816</v>
      </c>
      <c r="F14" s="3" t="s">
        <v>19</v>
      </c>
      <c r="G14" s="4" t="s">
        <v>108</v>
      </c>
      <c r="H14" s="4" t="s">
        <v>126</v>
      </c>
      <c r="I14" s="5">
        <v>357119.65</v>
      </c>
      <c r="J14" s="3" t="s">
        <v>127</v>
      </c>
      <c r="K14" s="3" t="s">
        <v>77</v>
      </c>
      <c r="M14" s="4" t="s">
        <v>128</v>
      </c>
      <c r="N14" s="3" t="s">
        <v>25</v>
      </c>
      <c r="Y14" s="4" t="s">
        <v>129</v>
      </c>
      <c r="Z14" s="4" t="s">
        <v>130</v>
      </c>
      <c r="AD14" s="3" t="s">
        <v>125</v>
      </c>
      <c r="AE14" s="3">
        <v>5000</v>
      </c>
      <c r="AI14" s="4" t="s">
        <v>131</v>
      </c>
      <c r="AJ14" s="4" t="s">
        <v>132</v>
      </c>
      <c r="AL14" s="4">
        <v>46320</v>
      </c>
      <c r="AM14" s="5">
        <v>357119.65</v>
      </c>
      <c r="AN14" s="4" t="s">
        <v>31</v>
      </c>
      <c r="AO14" s="4">
        <v>98</v>
      </c>
    </row>
    <row r="15" spans="1:42" x14ac:dyDescent="0.25">
      <c r="A15" s="3">
        <v>4603662</v>
      </c>
      <c r="B15" s="3" t="s">
        <v>125</v>
      </c>
      <c r="C15" s="3" t="s">
        <v>107</v>
      </c>
      <c r="D15" s="3">
        <v>10003282</v>
      </c>
      <c r="E15" s="4">
        <v>4533013</v>
      </c>
      <c r="F15" s="3" t="s">
        <v>19</v>
      </c>
      <c r="G15" s="4" t="s">
        <v>108</v>
      </c>
      <c r="H15" s="4" t="s">
        <v>126</v>
      </c>
      <c r="I15" s="5">
        <v>805776.29</v>
      </c>
      <c r="J15" s="3" t="s">
        <v>127</v>
      </c>
      <c r="K15" s="3" t="s">
        <v>77</v>
      </c>
      <c r="M15" s="4" t="s">
        <v>126</v>
      </c>
      <c r="N15" s="3" t="s">
        <v>25</v>
      </c>
      <c r="Y15" s="4" t="s">
        <v>141</v>
      </c>
      <c r="Z15" s="4" t="s">
        <v>130</v>
      </c>
      <c r="AD15" s="3" t="s">
        <v>144</v>
      </c>
      <c r="AE15" s="3">
        <v>5000</v>
      </c>
      <c r="AI15" s="4" t="s">
        <v>142</v>
      </c>
      <c r="AJ15" s="4" t="s">
        <v>132</v>
      </c>
      <c r="AL15" s="4">
        <v>46320</v>
      </c>
      <c r="AM15" s="5">
        <v>805776.29</v>
      </c>
      <c r="AN15" s="4" t="s">
        <v>31</v>
      </c>
      <c r="AO15" s="4">
        <v>98</v>
      </c>
    </row>
    <row r="16" spans="1:42" x14ac:dyDescent="0.25">
      <c r="A16" s="3">
        <v>4603922</v>
      </c>
      <c r="B16" s="3" t="s">
        <v>145</v>
      </c>
      <c r="C16" s="3" t="s">
        <v>107</v>
      </c>
      <c r="D16" s="3">
        <v>10003600</v>
      </c>
      <c r="E16" s="4">
        <v>4533273</v>
      </c>
      <c r="F16" s="3" t="s">
        <v>19</v>
      </c>
      <c r="G16" s="4" t="s">
        <v>146</v>
      </c>
      <c r="H16" s="4" t="s">
        <v>147</v>
      </c>
      <c r="I16" s="5">
        <v>385000</v>
      </c>
      <c r="J16" s="3" t="s">
        <v>76</v>
      </c>
      <c r="K16" s="3" t="s">
        <v>77</v>
      </c>
      <c r="M16" s="4" t="s">
        <v>148</v>
      </c>
      <c r="N16" s="3" t="s">
        <v>25</v>
      </c>
      <c r="Y16" s="4" t="s">
        <v>149</v>
      </c>
      <c r="Z16" s="4" t="s">
        <v>149</v>
      </c>
      <c r="AD16" s="3" t="s">
        <v>150</v>
      </c>
      <c r="AE16" s="3">
        <v>5000</v>
      </c>
      <c r="AI16" s="4" t="s">
        <v>151</v>
      </c>
      <c r="AJ16" s="4" t="s">
        <v>151</v>
      </c>
      <c r="AL16" s="4" t="s">
        <v>152</v>
      </c>
      <c r="AM16" s="5">
        <v>385000</v>
      </c>
      <c r="AN16" s="4" t="s">
        <v>31</v>
      </c>
      <c r="AO16" s="4">
        <v>99</v>
      </c>
    </row>
    <row r="17" spans="1:41" x14ac:dyDescent="0.25">
      <c r="A17" s="3">
        <v>4603924</v>
      </c>
      <c r="B17" s="3" t="s">
        <v>76</v>
      </c>
      <c r="C17" s="3" t="s">
        <v>107</v>
      </c>
      <c r="D17" s="3">
        <v>10003600</v>
      </c>
      <c r="E17" s="4">
        <v>4533275</v>
      </c>
      <c r="F17" s="3" t="s">
        <v>19</v>
      </c>
      <c r="G17" s="4" t="s">
        <v>153</v>
      </c>
      <c r="H17" s="4" t="s">
        <v>147</v>
      </c>
      <c r="I17" s="5">
        <v>187000</v>
      </c>
      <c r="J17" s="3" t="s">
        <v>76</v>
      </c>
      <c r="K17" s="3" t="s">
        <v>77</v>
      </c>
      <c r="M17" s="4" t="s">
        <v>154</v>
      </c>
      <c r="N17" s="3" t="s">
        <v>25</v>
      </c>
      <c r="Y17" s="4" t="s">
        <v>149</v>
      </c>
      <c r="Z17" s="4" t="s">
        <v>149</v>
      </c>
      <c r="AD17" s="3" t="s">
        <v>150</v>
      </c>
      <c r="AE17" s="3">
        <v>5000</v>
      </c>
      <c r="AI17" s="4" t="s">
        <v>151</v>
      </c>
      <c r="AJ17" s="4" t="s">
        <v>151</v>
      </c>
      <c r="AL17" s="4" t="s">
        <v>155</v>
      </c>
      <c r="AM17" s="5">
        <v>187000</v>
      </c>
      <c r="AN17" s="4" t="s">
        <v>31</v>
      </c>
      <c r="AO17" s="4">
        <v>99</v>
      </c>
    </row>
    <row r="18" spans="1:41" x14ac:dyDescent="0.25">
      <c r="A18" s="3">
        <v>4603926</v>
      </c>
      <c r="B18" s="3" t="s">
        <v>76</v>
      </c>
      <c r="C18" s="3" t="s">
        <v>107</v>
      </c>
      <c r="D18" s="3">
        <v>10003600</v>
      </c>
      <c r="E18" s="4">
        <v>4533277</v>
      </c>
      <c r="F18" s="3" t="s">
        <v>19</v>
      </c>
      <c r="G18" s="4" t="s">
        <v>156</v>
      </c>
      <c r="H18" s="4" t="s">
        <v>147</v>
      </c>
      <c r="I18" s="5">
        <v>517000</v>
      </c>
      <c r="J18" s="3" t="s">
        <v>76</v>
      </c>
      <c r="K18" s="3" t="s">
        <v>77</v>
      </c>
      <c r="M18" s="4" t="s">
        <v>157</v>
      </c>
      <c r="N18" s="3" t="s">
        <v>25</v>
      </c>
      <c r="Y18" s="4" t="s">
        <v>149</v>
      </c>
      <c r="Z18" s="4" t="s">
        <v>149</v>
      </c>
      <c r="AD18" s="3" t="s">
        <v>150</v>
      </c>
      <c r="AE18" s="3">
        <v>5000</v>
      </c>
      <c r="AI18" s="4" t="s">
        <v>151</v>
      </c>
      <c r="AJ18" s="4" t="s">
        <v>151</v>
      </c>
      <c r="AL18" s="4" t="s">
        <v>158</v>
      </c>
      <c r="AM18" s="5">
        <v>517000</v>
      </c>
      <c r="AN18" s="4" t="s">
        <v>31</v>
      </c>
      <c r="AO18" s="4">
        <v>99</v>
      </c>
    </row>
    <row r="19" spans="1:41" x14ac:dyDescent="0.25">
      <c r="A19" s="3">
        <v>4603928</v>
      </c>
      <c r="B19" s="3" t="s">
        <v>76</v>
      </c>
      <c r="C19" s="3" t="s">
        <v>107</v>
      </c>
      <c r="D19" s="3">
        <v>10003600</v>
      </c>
      <c r="E19" s="4">
        <v>4533279</v>
      </c>
      <c r="F19" s="3" t="s">
        <v>19</v>
      </c>
      <c r="G19" s="4" t="s">
        <v>156</v>
      </c>
      <c r="H19" s="4" t="s">
        <v>147</v>
      </c>
      <c r="I19" s="5">
        <v>627000</v>
      </c>
      <c r="J19" s="3" t="s">
        <v>76</v>
      </c>
      <c r="K19" s="3" t="s">
        <v>77</v>
      </c>
      <c r="M19" s="4" t="s">
        <v>159</v>
      </c>
      <c r="N19" s="3" t="s">
        <v>25</v>
      </c>
      <c r="Y19" s="4" t="s">
        <v>149</v>
      </c>
      <c r="Z19" s="4" t="s">
        <v>149</v>
      </c>
      <c r="AD19" s="3" t="s">
        <v>150</v>
      </c>
      <c r="AE19" s="3">
        <v>5000</v>
      </c>
      <c r="AI19" s="4" t="s">
        <v>151</v>
      </c>
      <c r="AJ19" s="4" t="s">
        <v>151</v>
      </c>
      <c r="AL19" s="4" t="s">
        <v>158</v>
      </c>
      <c r="AM19" s="5">
        <v>627000</v>
      </c>
      <c r="AN19" s="4" t="s">
        <v>31</v>
      </c>
      <c r="AO19" s="4">
        <v>99</v>
      </c>
    </row>
    <row r="20" spans="1:41" x14ac:dyDescent="0.25">
      <c r="A20" s="3">
        <v>4603930</v>
      </c>
      <c r="B20" s="3" t="s">
        <v>76</v>
      </c>
      <c r="C20" s="3" t="s">
        <v>107</v>
      </c>
      <c r="D20" s="3">
        <v>10003600</v>
      </c>
      <c r="E20" s="4">
        <v>4533281</v>
      </c>
      <c r="F20" s="3" t="s">
        <v>19</v>
      </c>
      <c r="G20" s="4" t="s">
        <v>160</v>
      </c>
      <c r="H20" s="4" t="s">
        <v>147</v>
      </c>
      <c r="I20" s="5">
        <v>385000</v>
      </c>
      <c r="J20" s="3" t="s">
        <v>76</v>
      </c>
      <c r="K20" s="3" t="s">
        <v>77</v>
      </c>
      <c r="M20" s="4" t="s">
        <v>161</v>
      </c>
      <c r="N20" s="3" t="s">
        <v>25</v>
      </c>
      <c r="Y20" s="4" t="s">
        <v>149</v>
      </c>
      <c r="Z20" s="4" t="s">
        <v>149</v>
      </c>
      <c r="AD20" s="3" t="s">
        <v>150</v>
      </c>
      <c r="AE20" s="3">
        <v>5000</v>
      </c>
      <c r="AI20" s="4" t="s">
        <v>151</v>
      </c>
      <c r="AJ20" s="4" t="s">
        <v>151</v>
      </c>
      <c r="AL20" s="4" t="s">
        <v>162</v>
      </c>
      <c r="AM20" s="5">
        <v>385000</v>
      </c>
      <c r="AN20" s="4" t="s">
        <v>31</v>
      </c>
      <c r="AO20" s="4">
        <v>99</v>
      </c>
    </row>
    <row r="21" spans="1:41" x14ac:dyDescent="0.25">
      <c r="A21" s="3">
        <v>4603932</v>
      </c>
      <c r="B21" s="3" t="s">
        <v>76</v>
      </c>
      <c r="C21" s="3" t="s">
        <v>107</v>
      </c>
      <c r="D21" s="3">
        <v>10003600</v>
      </c>
      <c r="E21" s="4">
        <v>4533283</v>
      </c>
      <c r="F21" s="3" t="s">
        <v>19</v>
      </c>
      <c r="G21" s="4" t="s">
        <v>163</v>
      </c>
      <c r="H21" s="4" t="s">
        <v>147</v>
      </c>
      <c r="I21" s="5">
        <v>65000</v>
      </c>
      <c r="J21" s="3" t="s">
        <v>76</v>
      </c>
      <c r="K21" s="3" t="s">
        <v>77</v>
      </c>
      <c r="M21" s="4" t="s">
        <v>164</v>
      </c>
      <c r="N21" s="3" t="s">
        <v>25</v>
      </c>
      <c r="Y21" s="4" t="s">
        <v>149</v>
      </c>
      <c r="Z21" s="4" t="s">
        <v>149</v>
      </c>
      <c r="AD21" s="3" t="s">
        <v>150</v>
      </c>
      <c r="AE21" s="3">
        <v>5000</v>
      </c>
      <c r="AI21" s="4" t="s">
        <v>151</v>
      </c>
      <c r="AJ21" s="4" t="s">
        <v>151</v>
      </c>
      <c r="AL21" s="4" t="s">
        <v>165</v>
      </c>
      <c r="AM21" s="5">
        <v>65000</v>
      </c>
      <c r="AN21" s="4" t="s">
        <v>31</v>
      </c>
      <c r="AO21" s="4">
        <v>99</v>
      </c>
    </row>
    <row r="22" spans="1:41" x14ac:dyDescent="0.25">
      <c r="A22" s="3">
        <v>4603934</v>
      </c>
      <c r="B22" s="3" t="s">
        <v>76</v>
      </c>
      <c r="C22" s="3" t="s">
        <v>107</v>
      </c>
      <c r="D22" s="3">
        <v>10003600</v>
      </c>
      <c r="E22" s="4">
        <v>4533285</v>
      </c>
      <c r="F22" s="3" t="s">
        <v>19</v>
      </c>
      <c r="G22" s="4" t="s">
        <v>166</v>
      </c>
      <c r="H22" s="4" t="s">
        <v>147</v>
      </c>
      <c r="I22" s="5">
        <v>319000</v>
      </c>
      <c r="J22" s="3" t="s">
        <v>76</v>
      </c>
      <c r="K22" s="3" t="s">
        <v>77</v>
      </c>
      <c r="M22" s="4" t="s">
        <v>167</v>
      </c>
      <c r="N22" s="3" t="s">
        <v>25</v>
      </c>
      <c r="Y22" s="4" t="s">
        <v>149</v>
      </c>
      <c r="Z22" s="4" t="s">
        <v>149</v>
      </c>
      <c r="AD22" s="3" t="s">
        <v>150</v>
      </c>
      <c r="AE22" s="3">
        <v>5000</v>
      </c>
      <c r="AI22" s="4" t="s">
        <v>151</v>
      </c>
      <c r="AJ22" s="4" t="s">
        <v>151</v>
      </c>
      <c r="AL22" s="4" t="s">
        <v>168</v>
      </c>
      <c r="AM22" s="5">
        <v>319000</v>
      </c>
      <c r="AN22" s="4" t="s">
        <v>31</v>
      </c>
      <c r="AO22" s="4">
        <v>99</v>
      </c>
    </row>
    <row r="23" spans="1:41" x14ac:dyDescent="0.25">
      <c r="A23" s="3">
        <v>4603936</v>
      </c>
      <c r="B23" s="3" t="s">
        <v>76</v>
      </c>
      <c r="C23" s="3" t="s">
        <v>107</v>
      </c>
      <c r="D23" s="3">
        <v>10003600</v>
      </c>
      <c r="E23" s="4">
        <v>4533287</v>
      </c>
      <c r="F23" s="3" t="s">
        <v>19</v>
      </c>
      <c r="G23" s="4" t="s">
        <v>169</v>
      </c>
      <c r="H23" s="4" t="s">
        <v>147</v>
      </c>
      <c r="I23" s="5">
        <v>324500</v>
      </c>
      <c r="J23" s="3" t="s">
        <v>76</v>
      </c>
      <c r="K23" s="3" t="s">
        <v>77</v>
      </c>
      <c r="M23" s="4" t="s">
        <v>170</v>
      </c>
      <c r="N23" s="3" t="s">
        <v>25</v>
      </c>
      <c r="Y23" s="4" t="s">
        <v>149</v>
      </c>
      <c r="Z23" s="4" t="s">
        <v>149</v>
      </c>
      <c r="AD23" s="3" t="s">
        <v>150</v>
      </c>
      <c r="AE23" s="3">
        <v>5000</v>
      </c>
      <c r="AI23" s="4" t="s">
        <v>151</v>
      </c>
      <c r="AJ23" s="4" t="s">
        <v>151</v>
      </c>
      <c r="AL23" s="4" t="s">
        <v>171</v>
      </c>
      <c r="AM23" s="5">
        <v>324500</v>
      </c>
      <c r="AN23" s="4" t="s">
        <v>31</v>
      </c>
      <c r="AO23" s="4">
        <v>99</v>
      </c>
    </row>
    <row r="24" spans="1:41" x14ac:dyDescent="0.25">
      <c r="A24" s="3">
        <v>4604206</v>
      </c>
      <c r="B24" s="3" t="s">
        <v>125</v>
      </c>
      <c r="C24" s="3" t="s">
        <v>107</v>
      </c>
      <c r="D24" s="3">
        <v>10003282</v>
      </c>
      <c r="E24" s="4">
        <v>4533557</v>
      </c>
      <c r="F24" s="3" t="s">
        <v>19</v>
      </c>
      <c r="G24" s="4" t="s">
        <v>108</v>
      </c>
      <c r="H24" s="4" t="s">
        <v>126</v>
      </c>
      <c r="I24" s="5">
        <v>59162071.640000001</v>
      </c>
      <c r="J24" s="3" t="s">
        <v>127</v>
      </c>
      <c r="K24" s="3" t="s">
        <v>77</v>
      </c>
      <c r="M24" s="4" t="s">
        <v>126</v>
      </c>
      <c r="N24" s="3" t="s">
        <v>25</v>
      </c>
      <c r="Y24" s="4" t="s">
        <v>112</v>
      </c>
      <c r="Z24" s="4" t="s">
        <v>141</v>
      </c>
      <c r="AD24" s="3" t="s">
        <v>172</v>
      </c>
      <c r="AE24" s="3">
        <v>5000</v>
      </c>
      <c r="AI24" s="4" t="s">
        <v>115</v>
      </c>
      <c r="AJ24" s="4" t="s">
        <v>142</v>
      </c>
      <c r="AL24" s="4">
        <v>141440</v>
      </c>
      <c r="AM24" s="5">
        <v>59162071.640000001</v>
      </c>
      <c r="AN24" s="4" t="s">
        <v>31</v>
      </c>
      <c r="AO24" s="4">
        <v>56</v>
      </c>
    </row>
    <row r="25" spans="1:41" x14ac:dyDescent="0.25">
      <c r="A25" s="3">
        <v>4603697</v>
      </c>
      <c r="B25" s="3" t="s">
        <v>226</v>
      </c>
      <c r="C25" s="3" t="s">
        <v>227</v>
      </c>
      <c r="D25" s="3">
        <v>10003489</v>
      </c>
      <c r="E25" s="4">
        <v>4533048</v>
      </c>
      <c r="F25" s="3" t="s">
        <v>19</v>
      </c>
      <c r="G25" s="4" t="s">
        <v>228</v>
      </c>
      <c r="H25" s="4" t="s">
        <v>229</v>
      </c>
      <c r="I25" s="5">
        <v>2420000</v>
      </c>
      <c r="J25" s="3" t="s">
        <v>230</v>
      </c>
      <c r="K25" s="3" t="s">
        <v>231</v>
      </c>
      <c r="M25" s="4" t="s">
        <v>229</v>
      </c>
      <c r="N25" s="3" t="s">
        <v>25</v>
      </c>
      <c r="Y25" s="4" t="s">
        <v>232</v>
      </c>
      <c r="Z25" s="4" t="s">
        <v>232</v>
      </c>
      <c r="AD25" s="3" t="s">
        <v>233</v>
      </c>
      <c r="AE25" s="3">
        <v>5000</v>
      </c>
      <c r="AI25" s="4" t="s">
        <v>234</v>
      </c>
      <c r="AJ25" s="4" t="s">
        <v>234</v>
      </c>
      <c r="AL25" s="4">
        <v>140261</v>
      </c>
      <c r="AM25" s="5">
        <v>2420000</v>
      </c>
      <c r="AN25" s="4" t="s">
        <v>31</v>
      </c>
      <c r="AO25" s="4">
        <v>99</v>
      </c>
    </row>
    <row r="26" spans="1:41" x14ac:dyDescent="0.25">
      <c r="A26" s="3">
        <v>4603711</v>
      </c>
      <c r="B26" s="3" t="s">
        <v>233</v>
      </c>
      <c r="C26" s="3" t="s">
        <v>227</v>
      </c>
      <c r="D26" s="3">
        <v>10003565</v>
      </c>
      <c r="E26" s="4">
        <v>4533062</v>
      </c>
      <c r="F26" s="3" t="s">
        <v>19</v>
      </c>
      <c r="G26" s="4" t="s">
        <v>235</v>
      </c>
      <c r="H26" s="4" t="s">
        <v>236</v>
      </c>
      <c r="I26" s="5">
        <v>14497120</v>
      </c>
      <c r="J26" s="3" t="s">
        <v>233</v>
      </c>
      <c r="K26" s="3" t="s">
        <v>237</v>
      </c>
      <c r="M26" s="4" t="s">
        <v>236</v>
      </c>
      <c r="N26" s="3" t="s">
        <v>25</v>
      </c>
      <c r="Y26" s="4" t="s">
        <v>232</v>
      </c>
      <c r="Z26" s="4" t="s">
        <v>232</v>
      </c>
      <c r="AD26" s="3" t="s">
        <v>238</v>
      </c>
      <c r="AE26" s="3">
        <v>5000</v>
      </c>
      <c r="AI26" s="4" t="s">
        <v>234</v>
      </c>
      <c r="AJ26" s="4" t="s">
        <v>234</v>
      </c>
      <c r="AL26" s="4">
        <v>141306</v>
      </c>
      <c r="AM26" s="5">
        <v>14497120</v>
      </c>
      <c r="AN26" s="4" t="s">
        <v>31</v>
      </c>
      <c r="AO26" s="4">
        <v>99</v>
      </c>
    </row>
    <row r="27" spans="1:41" x14ac:dyDescent="0.25">
      <c r="A27" s="3">
        <v>4603712</v>
      </c>
      <c r="B27" s="3" t="s">
        <v>238</v>
      </c>
      <c r="C27" s="3" t="s">
        <v>227</v>
      </c>
      <c r="D27" s="3">
        <v>10003566</v>
      </c>
      <c r="E27" s="4">
        <v>4533063</v>
      </c>
      <c r="F27" s="3" t="s">
        <v>19</v>
      </c>
      <c r="G27" s="4" t="s">
        <v>239</v>
      </c>
      <c r="H27" s="4" t="s">
        <v>240</v>
      </c>
      <c r="I27" s="5">
        <v>14497120</v>
      </c>
      <c r="J27" s="3" t="s">
        <v>238</v>
      </c>
      <c r="K27" s="3" t="s">
        <v>237</v>
      </c>
      <c r="M27" s="4" t="s">
        <v>241</v>
      </c>
      <c r="N27" s="3" t="s">
        <v>25</v>
      </c>
      <c r="Y27" s="4" t="s">
        <v>232</v>
      </c>
      <c r="Z27" s="4" t="s">
        <v>232</v>
      </c>
      <c r="AD27" s="3" t="s">
        <v>238</v>
      </c>
      <c r="AE27" s="3">
        <v>5000</v>
      </c>
      <c r="AI27" s="4" t="s">
        <v>234</v>
      </c>
      <c r="AJ27" s="4" t="s">
        <v>234</v>
      </c>
      <c r="AL27" s="4">
        <v>141305</v>
      </c>
      <c r="AM27" s="5">
        <v>14497120</v>
      </c>
      <c r="AN27" s="4" t="s">
        <v>31</v>
      </c>
      <c r="AO27" s="4">
        <v>99</v>
      </c>
    </row>
    <row r="28" spans="1:41" x14ac:dyDescent="0.25">
      <c r="A28" s="3">
        <v>4603713</v>
      </c>
      <c r="B28" s="3" t="s">
        <v>238</v>
      </c>
      <c r="C28" s="3" t="s">
        <v>227</v>
      </c>
      <c r="D28" s="3">
        <v>10003567</v>
      </c>
      <c r="E28" s="4">
        <v>4533064</v>
      </c>
      <c r="F28" s="3" t="s">
        <v>19</v>
      </c>
      <c r="G28" s="4" t="s">
        <v>242</v>
      </c>
      <c r="H28" s="4" t="s">
        <v>243</v>
      </c>
      <c r="I28" s="5">
        <v>14497120</v>
      </c>
      <c r="J28" s="3" t="s">
        <v>238</v>
      </c>
      <c r="K28" s="3" t="s">
        <v>237</v>
      </c>
      <c r="M28" s="4" t="s">
        <v>243</v>
      </c>
      <c r="N28" s="3" t="s">
        <v>25</v>
      </c>
      <c r="Y28" s="4" t="s">
        <v>232</v>
      </c>
      <c r="Z28" s="4" t="s">
        <v>232</v>
      </c>
      <c r="AD28" s="3" t="s">
        <v>238</v>
      </c>
      <c r="AE28" s="3">
        <v>5000</v>
      </c>
      <c r="AI28" s="4" t="s">
        <v>234</v>
      </c>
      <c r="AJ28" s="4" t="s">
        <v>234</v>
      </c>
      <c r="AL28" s="4">
        <v>141307</v>
      </c>
      <c r="AM28" s="5">
        <v>14497120</v>
      </c>
      <c r="AN28" s="4" t="s">
        <v>31</v>
      </c>
      <c r="AO28" s="4">
        <v>99</v>
      </c>
    </row>
    <row r="29" spans="1:41" x14ac:dyDescent="0.25">
      <c r="A29" s="3">
        <v>4603734</v>
      </c>
      <c r="B29" s="3" t="s">
        <v>244</v>
      </c>
      <c r="C29" s="3" t="s">
        <v>227</v>
      </c>
      <c r="D29" s="3">
        <v>10003493</v>
      </c>
      <c r="E29" s="4">
        <v>4533085</v>
      </c>
      <c r="F29" s="3" t="s">
        <v>19</v>
      </c>
      <c r="G29" s="4" t="s">
        <v>245</v>
      </c>
      <c r="H29" s="4" t="s">
        <v>246</v>
      </c>
      <c r="I29" s="5">
        <v>618750</v>
      </c>
      <c r="J29" s="3" t="s">
        <v>247</v>
      </c>
      <c r="K29" s="3" t="s">
        <v>231</v>
      </c>
      <c r="M29" s="4" t="s">
        <v>246</v>
      </c>
      <c r="N29" s="3" t="s">
        <v>25</v>
      </c>
      <c r="Y29" s="4" t="s">
        <v>232</v>
      </c>
      <c r="Z29" s="4" t="s">
        <v>232</v>
      </c>
      <c r="AD29" s="3" t="s">
        <v>244</v>
      </c>
      <c r="AE29" s="3">
        <v>5000</v>
      </c>
      <c r="AI29" s="4" t="s">
        <v>234</v>
      </c>
      <c r="AJ29" s="4" t="s">
        <v>234</v>
      </c>
      <c r="AL29" s="4">
        <v>53529</v>
      </c>
      <c r="AM29" s="5">
        <v>618750</v>
      </c>
      <c r="AN29" s="4" t="s">
        <v>31</v>
      </c>
      <c r="AO29" s="4">
        <v>99</v>
      </c>
    </row>
    <row r="30" spans="1:41" x14ac:dyDescent="0.25">
      <c r="A30" s="3">
        <v>4603735</v>
      </c>
      <c r="B30" s="3" t="s">
        <v>244</v>
      </c>
      <c r="C30" s="3" t="s">
        <v>227</v>
      </c>
      <c r="D30" s="3">
        <v>10003492</v>
      </c>
      <c r="E30" s="4">
        <v>4533086</v>
      </c>
      <c r="F30" s="3" t="s">
        <v>19</v>
      </c>
      <c r="G30" s="4" t="s">
        <v>248</v>
      </c>
      <c r="H30" s="4" t="s">
        <v>249</v>
      </c>
      <c r="I30" s="5">
        <v>618750</v>
      </c>
      <c r="J30" s="3" t="s">
        <v>247</v>
      </c>
      <c r="K30" s="3" t="s">
        <v>231</v>
      </c>
      <c r="M30" s="4" t="s">
        <v>249</v>
      </c>
      <c r="N30" s="3" t="s">
        <v>25</v>
      </c>
      <c r="Y30" s="4" t="s">
        <v>232</v>
      </c>
      <c r="Z30" s="4" t="s">
        <v>232</v>
      </c>
      <c r="AD30" s="3" t="s">
        <v>244</v>
      </c>
      <c r="AE30" s="3">
        <v>5000</v>
      </c>
      <c r="AI30" s="4" t="s">
        <v>234</v>
      </c>
      <c r="AJ30" s="4" t="s">
        <v>234</v>
      </c>
      <c r="AL30" s="4">
        <v>53531</v>
      </c>
      <c r="AM30" s="5">
        <v>618750</v>
      </c>
      <c r="AN30" s="4" t="s">
        <v>31</v>
      </c>
      <c r="AO30" s="4">
        <v>99</v>
      </c>
    </row>
    <row r="31" spans="1:41" x14ac:dyDescent="0.25">
      <c r="A31" s="3">
        <v>4603736</v>
      </c>
      <c r="B31" s="3" t="s">
        <v>244</v>
      </c>
      <c r="C31" s="3" t="s">
        <v>227</v>
      </c>
      <c r="D31" s="3">
        <v>10003491</v>
      </c>
      <c r="E31" s="4">
        <v>4533087</v>
      </c>
      <c r="F31" s="3" t="s">
        <v>19</v>
      </c>
      <c r="G31" s="4" t="s">
        <v>250</v>
      </c>
      <c r="H31" s="4" t="s">
        <v>251</v>
      </c>
      <c r="I31" s="5">
        <v>618750</v>
      </c>
      <c r="J31" s="3" t="s">
        <v>247</v>
      </c>
      <c r="K31" s="3" t="s">
        <v>231</v>
      </c>
      <c r="M31" s="4" t="s">
        <v>251</v>
      </c>
      <c r="N31" s="3" t="s">
        <v>25</v>
      </c>
      <c r="Y31" s="4" t="s">
        <v>232</v>
      </c>
      <c r="Z31" s="4" t="s">
        <v>232</v>
      </c>
      <c r="AD31" s="3" t="s">
        <v>244</v>
      </c>
      <c r="AE31" s="3">
        <v>5000</v>
      </c>
      <c r="AI31" s="4" t="s">
        <v>234</v>
      </c>
      <c r="AJ31" s="4" t="s">
        <v>234</v>
      </c>
      <c r="AL31" s="4">
        <v>53530</v>
      </c>
      <c r="AM31" s="5">
        <v>618750</v>
      </c>
      <c r="AN31" s="4" t="s">
        <v>31</v>
      </c>
      <c r="AO31" s="4">
        <v>99</v>
      </c>
    </row>
    <row r="32" spans="1:41" x14ac:dyDescent="0.25">
      <c r="A32" s="3">
        <v>4603737</v>
      </c>
      <c r="B32" s="3" t="s">
        <v>244</v>
      </c>
      <c r="C32" s="3" t="s">
        <v>227</v>
      </c>
      <c r="D32" s="3">
        <v>10003490</v>
      </c>
      <c r="E32" s="4">
        <v>4533088</v>
      </c>
      <c r="F32" s="3" t="s">
        <v>19</v>
      </c>
      <c r="G32" s="4" t="s">
        <v>252</v>
      </c>
      <c r="H32" s="4" t="s">
        <v>253</v>
      </c>
      <c r="I32" s="5">
        <v>618750</v>
      </c>
      <c r="J32" s="3" t="s">
        <v>247</v>
      </c>
      <c r="K32" s="3" t="s">
        <v>231</v>
      </c>
      <c r="M32" s="4" t="s">
        <v>253</v>
      </c>
      <c r="N32" s="3" t="s">
        <v>25</v>
      </c>
      <c r="Y32" s="4" t="s">
        <v>232</v>
      </c>
      <c r="Z32" s="4" t="s">
        <v>232</v>
      </c>
      <c r="AD32" s="3" t="s">
        <v>244</v>
      </c>
      <c r="AE32" s="3">
        <v>5000</v>
      </c>
      <c r="AI32" s="4" t="s">
        <v>234</v>
      </c>
      <c r="AJ32" s="4" t="s">
        <v>234</v>
      </c>
      <c r="AL32" s="4">
        <v>50482</v>
      </c>
      <c r="AM32" s="5">
        <v>618750</v>
      </c>
      <c r="AN32" s="4" t="s">
        <v>31</v>
      </c>
      <c r="AO32" s="4">
        <v>99</v>
      </c>
    </row>
    <row r="33" spans="1:41" x14ac:dyDescent="0.25">
      <c r="A33" s="3">
        <v>4604702</v>
      </c>
      <c r="B33" s="3" t="s">
        <v>294</v>
      </c>
      <c r="C33" s="3" t="s">
        <v>288</v>
      </c>
      <c r="D33" s="3">
        <v>10004503</v>
      </c>
      <c r="E33" s="4">
        <v>4534053</v>
      </c>
      <c r="F33" s="3" t="s">
        <v>19</v>
      </c>
      <c r="G33" s="4" t="s">
        <v>295</v>
      </c>
      <c r="H33" s="4" t="s">
        <v>296</v>
      </c>
      <c r="I33" s="5">
        <v>48140400</v>
      </c>
      <c r="J33" s="3" t="s">
        <v>297</v>
      </c>
      <c r="K33" s="3" t="s">
        <v>294</v>
      </c>
      <c r="M33" s="4" t="s">
        <v>296</v>
      </c>
      <c r="N33" s="3" t="s">
        <v>25</v>
      </c>
      <c r="Y33" s="4" t="s">
        <v>298</v>
      </c>
      <c r="Z33" s="4" t="s">
        <v>298</v>
      </c>
      <c r="AD33" s="3" t="s">
        <v>299</v>
      </c>
      <c r="AE33" s="3">
        <v>5000</v>
      </c>
      <c r="AI33" s="4" t="s">
        <v>300</v>
      </c>
      <c r="AJ33" s="4" t="s">
        <v>300</v>
      </c>
      <c r="AL33" s="4">
        <v>50114</v>
      </c>
      <c r="AM33" s="5">
        <v>48140400</v>
      </c>
      <c r="AN33" s="4" t="s">
        <v>31</v>
      </c>
      <c r="AO33" s="4">
        <v>98</v>
      </c>
    </row>
    <row r="34" spans="1:41" x14ac:dyDescent="0.25">
      <c r="A34" s="3">
        <v>4600319</v>
      </c>
      <c r="B34" s="3" t="s">
        <v>571</v>
      </c>
      <c r="C34" s="3" t="s">
        <v>560</v>
      </c>
      <c r="D34" s="3">
        <v>10000382</v>
      </c>
      <c r="E34" s="4">
        <v>4529669</v>
      </c>
      <c r="F34" s="3" t="s">
        <v>19</v>
      </c>
      <c r="G34" s="4" t="s">
        <v>572</v>
      </c>
      <c r="H34" s="4" t="s">
        <v>573</v>
      </c>
      <c r="I34" s="5">
        <v>125121700</v>
      </c>
      <c r="J34" s="3" t="s">
        <v>574</v>
      </c>
      <c r="K34" s="3" t="s">
        <v>575</v>
      </c>
      <c r="M34" s="4" t="s">
        <v>573</v>
      </c>
      <c r="N34" s="3" t="s">
        <v>25</v>
      </c>
      <c r="Y34" s="4" t="s">
        <v>576</v>
      </c>
      <c r="Z34" s="4" t="s">
        <v>38</v>
      </c>
      <c r="AD34" s="3" t="s">
        <v>577</v>
      </c>
      <c r="AE34" s="3">
        <v>5000</v>
      </c>
      <c r="AF34" s="4">
        <v>0</v>
      </c>
      <c r="AG34" s="4">
        <v>102021700</v>
      </c>
      <c r="AH34" s="4">
        <v>4528824</v>
      </c>
      <c r="AI34" s="4" t="s">
        <v>578</v>
      </c>
      <c r="AJ34" s="4" t="s">
        <v>40</v>
      </c>
      <c r="AL34" s="4">
        <v>45868</v>
      </c>
      <c r="AM34" s="5">
        <v>125121700</v>
      </c>
      <c r="AN34" s="4" t="s">
        <v>31</v>
      </c>
      <c r="AO34" s="4">
        <v>98</v>
      </c>
    </row>
    <row r="35" spans="1:41" x14ac:dyDescent="0.25">
      <c r="A35" s="3">
        <v>4602767</v>
      </c>
      <c r="B35" s="3" t="s">
        <v>610</v>
      </c>
      <c r="C35" s="3" t="s">
        <v>560</v>
      </c>
      <c r="D35" s="3">
        <v>10002671</v>
      </c>
      <c r="E35" s="4">
        <v>4532118</v>
      </c>
      <c r="F35" s="3" t="s">
        <v>19</v>
      </c>
      <c r="G35" s="4" t="s">
        <v>611</v>
      </c>
      <c r="H35" s="4" t="s">
        <v>612</v>
      </c>
      <c r="I35" s="5">
        <v>424579.5</v>
      </c>
      <c r="J35" s="3" t="s">
        <v>613</v>
      </c>
      <c r="K35" s="3" t="s">
        <v>77</v>
      </c>
      <c r="M35" s="4" t="s">
        <v>612</v>
      </c>
      <c r="N35" s="3" t="s">
        <v>25</v>
      </c>
      <c r="Q35" s="3" t="s">
        <v>139</v>
      </c>
      <c r="R35" s="3" t="s">
        <v>427</v>
      </c>
      <c r="S35" s="4" t="s">
        <v>428</v>
      </c>
      <c r="U35" s="4" t="s">
        <v>139</v>
      </c>
      <c r="V35" s="4" t="s">
        <v>427</v>
      </c>
      <c r="W35" s="4" t="s">
        <v>428</v>
      </c>
      <c r="Y35" s="4" t="s">
        <v>614</v>
      </c>
      <c r="Z35" s="4" t="s">
        <v>615</v>
      </c>
      <c r="AD35" s="3" t="s">
        <v>616</v>
      </c>
      <c r="AE35" s="3">
        <v>5000</v>
      </c>
      <c r="AI35" s="4" t="s">
        <v>617</v>
      </c>
      <c r="AJ35" s="4" t="s">
        <v>618</v>
      </c>
      <c r="AL35" s="4">
        <v>140852</v>
      </c>
      <c r="AM35" s="5">
        <v>424579.5</v>
      </c>
      <c r="AN35" s="4" t="s">
        <v>31</v>
      </c>
      <c r="AO35" s="4">
        <v>98</v>
      </c>
    </row>
    <row r="36" spans="1:41" x14ac:dyDescent="0.25">
      <c r="A36" s="3">
        <v>4603210</v>
      </c>
      <c r="B36" s="3" t="s">
        <v>622</v>
      </c>
      <c r="C36" s="3" t="s">
        <v>560</v>
      </c>
      <c r="D36" s="3">
        <v>10003055</v>
      </c>
      <c r="E36" s="4">
        <v>4532561</v>
      </c>
      <c r="F36" s="3" t="s">
        <v>19</v>
      </c>
      <c r="G36" s="4" t="s">
        <v>623</v>
      </c>
      <c r="H36" s="4" t="s">
        <v>2460</v>
      </c>
      <c r="I36" s="5">
        <v>11698500</v>
      </c>
      <c r="J36" s="3" t="s">
        <v>622</v>
      </c>
      <c r="K36" s="3" t="s">
        <v>624</v>
      </c>
      <c r="M36" s="4" t="s">
        <v>625</v>
      </c>
      <c r="N36" s="3" t="s">
        <v>25</v>
      </c>
      <c r="Y36" s="4" t="s">
        <v>626</v>
      </c>
      <c r="Z36" s="4" t="s">
        <v>626</v>
      </c>
      <c r="AD36" s="3" t="s">
        <v>627</v>
      </c>
      <c r="AE36" s="3">
        <v>5000</v>
      </c>
      <c r="AI36" s="4" t="s">
        <v>628</v>
      </c>
      <c r="AJ36" s="4" t="s">
        <v>628</v>
      </c>
      <c r="AL36" s="4">
        <v>140001</v>
      </c>
      <c r="AM36" s="5">
        <v>11698500</v>
      </c>
      <c r="AN36" s="4" t="s">
        <v>31</v>
      </c>
      <c r="AO36" s="4">
        <v>99</v>
      </c>
    </row>
    <row r="37" spans="1:41" x14ac:dyDescent="0.25">
      <c r="A37" s="3">
        <v>4604034</v>
      </c>
      <c r="B37" s="3" t="s">
        <v>642</v>
      </c>
      <c r="C37" s="3" t="s">
        <v>560</v>
      </c>
      <c r="D37" s="3">
        <v>10003805</v>
      </c>
      <c r="E37" s="4">
        <v>4533385</v>
      </c>
      <c r="F37" s="3" t="s">
        <v>19</v>
      </c>
      <c r="G37" s="4" t="s">
        <v>572</v>
      </c>
      <c r="H37" s="4" t="s">
        <v>643</v>
      </c>
      <c r="I37" s="5">
        <v>6600000</v>
      </c>
      <c r="J37" s="3" t="s">
        <v>642</v>
      </c>
      <c r="K37" s="3" t="s">
        <v>294</v>
      </c>
      <c r="M37" s="4" t="s">
        <v>643</v>
      </c>
      <c r="N37" s="3" t="s">
        <v>25</v>
      </c>
      <c r="Y37" s="4" t="s">
        <v>644</v>
      </c>
      <c r="Z37" s="4" t="s">
        <v>644</v>
      </c>
      <c r="AD37" s="3" t="s">
        <v>645</v>
      </c>
      <c r="AE37" s="3">
        <v>5000</v>
      </c>
      <c r="AI37" s="4" t="s">
        <v>646</v>
      </c>
      <c r="AJ37" s="4" t="s">
        <v>646</v>
      </c>
      <c r="AL37" s="4">
        <v>45868</v>
      </c>
      <c r="AM37" s="5">
        <v>6600000</v>
      </c>
      <c r="AN37" s="4" t="s">
        <v>31</v>
      </c>
      <c r="AO37" s="4">
        <v>99</v>
      </c>
    </row>
    <row r="38" spans="1:41" x14ac:dyDescent="0.25">
      <c r="A38" s="3">
        <v>4604068</v>
      </c>
      <c r="B38" s="3" t="s">
        <v>647</v>
      </c>
      <c r="C38" s="3" t="s">
        <v>560</v>
      </c>
      <c r="D38" s="3">
        <v>10003831</v>
      </c>
      <c r="E38" s="4">
        <v>4533419</v>
      </c>
      <c r="F38" s="3" t="s">
        <v>19</v>
      </c>
      <c r="G38" s="4" t="s">
        <v>648</v>
      </c>
      <c r="H38" s="4" t="s">
        <v>649</v>
      </c>
      <c r="I38" s="5">
        <v>2750000</v>
      </c>
      <c r="J38" s="3" t="s">
        <v>650</v>
      </c>
      <c r="K38" s="3" t="s">
        <v>77</v>
      </c>
      <c r="M38" s="4" t="s">
        <v>649</v>
      </c>
      <c r="N38" s="3" t="s">
        <v>25</v>
      </c>
      <c r="U38" s="4" t="s">
        <v>139</v>
      </c>
      <c r="V38" s="4" t="s">
        <v>427</v>
      </c>
      <c r="W38" s="4" t="s">
        <v>428</v>
      </c>
      <c r="Y38" s="4" t="s">
        <v>651</v>
      </c>
      <c r="Z38" s="4" t="s">
        <v>651</v>
      </c>
      <c r="AD38" s="3" t="s">
        <v>652</v>
      </c>
      <c r="AE38" s="3">
        <v>5000</v>
      </c>
      <c r="AI38" s="4" t="s">
        <v>653</v>
      </c>
      <c r="AJ38" s="4" t="s">
        <v>653</v>
      </c>
      <c r="AL38" s="4">
        <v>45889</v>
      </c>
      <c r="AM38" s="5">
        <v>2750000</v>
      </c>
      <c r="AN38" s="4" t="s">
        <v>31</v>
      </c>
      <c r="AO38" s="4">
        <v>99</v>
      </c>
    </row>
    <row r="39" spans="1:41" x14ac:dyDescent="0.25">
      <c r="A39" s="3">
        <v>4604133</v>
      </c>
      <c r="B39" s="3" t="s">
        <v>654</v>
      </c>
      <c r="C39" s="3" t="s">
        <v>560</v>
      </c>
      <c r="D39" s="3">
        <v>10003881</v>
      </c>
      <c r="E39" s="4">
        <v>4533484</v>
      </c>
      <c r="F39" s="3" t="s">
        <v>19</v>
      </c>
      <c r="G39" s="4" t="s">
        <v>655</v>
      </c>
      <c r="H39" s="4" t="s">
        <v>656</v>
      </c>
      <c r="I39" s="5">
        <v>410729</v>
      </c>
      <c r="J39" s="3" t="s">
        <v>654</v>
      </c>
      <c r="K39" s="3" t="s">
        <v>77</v>
      </c>
      <c r="M39" s="4" t="s">
        <v>657</v>
      </c>
      <c r="N39" s="3" t="s">
        <v>25</v>
      </c>
      <c r="Y39" s="4" t="s">
        <v>658</v>
      </c>
      <c r="Z39" s="4" t="s">
        <v>658</v>
      </c>
      <c r="AD39" s="3" t="s">
        <v>659</v>
      </c>
      <c r="AE39" s="3">
        <v>5000</v>
      </c>
      <c r="AI39" s="4" t="s">
        <v>660</v>
      </c>
      <c r="AJ39" s="4" t="s">
        <v>660</v>
      </c>
      <c r="AL39" s="4">
        <v>31060</v>
      </c>
      <c r="AM39" s="5">
        <v>410729</v>
      </c>
      <c r="AN39" s="4" t="s">
        <v>31</v>
      </c>
      <c r="AO39" s="4">
        <v>99</v>
      </c>
    </row>
    <row r="40" spans="1:41" x14ac:dyDescent="0.25">
      <c r="A40" s="3">
        <v>4604134</v>
      </c>
      <c r="B40" s="3" t="s">
        <v>661</v>
      </c>
      <c r="C40" s="3" t="s">
        <v>560</v>
      </c>
      <c r="D40" s="3">
        <v>10003885</v>
      </c>
      <c r="E40" s="4">
        <v>4533485</v>
      </c>
      <c r="F40" s="3" t="s">
        <v>19</v>
      </c>
      <c r="G40" s="4" t="s">
        <v>662</v>
      </c>
      <c r="H40" s="4" t="s">
        <v>663</v>
      </c>
      <c r="I40" s="5">
        <v>409200</v>
      </c>
      <c r="J40" s="3" t="s">
        <v>661</v>
      </c>
      <c r="K40" s="3" t="s">
        <v>77</v>
      </c>
      <c r="M40" s="4" t="s">
        <v>664</v>
      </c>
      <c r="N40" s="3" t="s">
        <v>25</v>
      </c>
      <c r="Y40" s="4" t="s">
        <v>658</v>
      </c>
      <c r="Z40" s="4" t="s">
        <v>658</v>
      </c>
      <c r="AD40" s="3" t="s">
        <v>659</v>
      </c>
      <c r="AE40" s="3">
        <v>5000</v>
      </c>
      <c r="AI40" s="4" t="s">
        <v>660</v>
      </c>
      <c r="AJ40" s="4" t="s">
        <v>660</v>
      </c>
      <c r="AL40" s="4">
        <v>31081</v>
      </c>
      <c r="AM40" s="5">
        <v>409200</v>
      </c>
      <c r="AN40" s="4" t="s">
        <v>31</v>
      </c>
      <c r="AO40" s="4">
        <v>99</v>
      </c>
    </row>
    <row r="41" spans="1:41" x14ac:dyDescent="0.25">
      <c r="A41" s="3">
        <v>4604138</v>
      </c>
      <c r="B41" s="3" t="s">
        <v>661</v>
      </c>
      <c r="C41" s="3" t="s">
        <v>560</v>
      </c>
      <c r="D41" s="3">
        <v>10003869</v>
      </c>
      <c r="E41" s="4">
        <v>4533489</v>
      </c>
      <c r="F41" s="3" t="s">
        <v>19</v>
      </c>
      <c r="G41" s="4" t="s">
        <v>665</v>
      </c>
      <c r="H41" s="4" t="s">
        <v>666</v>
      </c>
      <c r="I41" s="5">
        <v>412500</v>
      </c>
      <c r="J41" s="3" t="s">
        <v>661</v>
      </c>
      <c r="K41" s="3" t="s">
        <v>77</v>
      </c>
      <c r="M41" s="4" t="s">
        <v>667</v>
      </c>
      <c r="N41" s="3" t="s">
        <v>25</v>
      </c>
      <c r="Y41" s="4" t="s">
        <v>658</v>
      </c>
      <c r="Z41" s="4" t="s">
        <v>658</v>
      </c>
      <c r="AD41" s="3" t="s">
        <v>351</v>
      </c>
      <c r="AE41" s="3">
        <v>5000</v>
      </c>
      <c r="AI41" s="4" t="s">
        <v>660</v>
      </c>
      <c r="AJ41" s="4" t="s">
        <v>660</v>
      </c>
      <c r="AL41" s="4">
        <v>31082</v>
      </c>
      <c r="AM41" s="5">
        <v>412500</v>
      </c>
      <c r="AN41" s="4" t="s">
        <v>31</v>
      </c>
      <c r="AO41" s="4">
        <v>99</v>
      </c>
    </row>
    <row r="42" spans="1:41" x14ac:dyDescent="0.25">
      <c r="A42" s="3">
        <v>4604141</v>
      </c>
      <c r="B42" s="3" t="s">
        <v>661</v>
      </c>
      <c r="C42" s="3" t="s">
        <v>560</v>
      </c>
      <c r="D42" s="3">
        <v>10003866</v>
      </c>
      <c r="E42" s="4">
        <v>4533492</v>
      </c>
      <c r="F42" s="3" t="s">
        <v>19</v>
      </c>
      <c r="G42" s="4" t="s">
        <v>668</v>
      </c>
      <c r="H42" s="4" t="s">
        <v>669</v>
      </c>
      <c r="I42" s="5">
        <v>407492.8</v>
      </c>
      <c r="J42" s="3" t="s">
        <v>661</v>
      </c>
      <c r="K42" s="3" t="s">
        <v>77</v>
      </c>
      <c r="M42" s="4" t="s">
        <v>669</v>
      </c>
      <c r="N42" s="3" t="s">
        <v>25</v>
      </c>
      <c r="Y42" s="4" t="s">
        <v>658</v>
      </c>
      <c r="Z42" s="4" t="s">
        <v>658</v>
      </c>
      <c r="AD42" s="3" t="s">
        <v>670</v>
      </c>
      <c r="AE42" s="3">
        <v>5000</v>
      </c>
      <c r="AI42" s="4" t="s">
        <v>660</v>
      </c>
      <c r="AJ42" s="4" t="s">
        <v>660</v>
      </c>
      <c r="AL42" s="4">
        <v>51237</v>
      </c>
      <c r="AM42" s="5">
        <v>407492.8</v>
      </c>
      <c r="AN42" s="4" t="s">
        <v>31</v>
      </c>
      <c r="AO42" s="4">
        <v>99</v>
      </c>
    </row>
    <row r="43" spans="1:41" x14ac:dyDescent="0.25">
      <c r="A43" s="3">
        <v>4604158</v>
      </c>
      <c r="B43" s="3" t="s">
        <v>671</v>
      </c>
      <c r="C43" s="3" t="s">
        <v>560</v>
      </c>
      <c r="D43" s="3">
        <v>10003890</v>
      </c>
      <c r="E43" s="4">
        <v>4533509</v>
      </c>
      <c r="F43" s="3" t="s">
        <v>19</v>
      </c>
      <c r="G43" s="4" t="s">
        <v>672</v>
      </c>
      <c r="H43" s="4" t="s">
        <v>673</v>
      </c>
      <c r="I43" s="5">
        <v>385000</v>
      </c>
      <c r="J43" s="3" t="s">
        <v>671</v>
      </c>
      <c r="K43" s="3" t="s">
        <v>77</v>
      </c>
      <c r="M43" s="4" t="s">
        <v>674</v>
      </c>
      <c r="N43" s="3" t="s">
        <v>25</v>
      </c>
      <c r="Y43" s="4" t="s">
        <v>658</v>
      </c>
      <c r="Z43" s="4" t="s">
        <v>658</v>
      </c>
      <c r="AD43" s="3" t="s">
        <v>675</v>
      </c>
      <c r="AE43" s="3">
        <v>5000</v>
      </c>
      <c r="AI43" s="4" t="s">
        <v>660</v>
      </c>
      <c r="AJ43" s="4" t="s">
        <v>660</v>
      </c>
      <c r="AL43" s="4">
        <v>53463</v>
      </c>
      <c r="AM43" s="5">
        <v>385000</v>
      </c>
      <c r="AN43" s="4" t="s">
        <v>31</v>
      </c>
      <c r="AO43" s="4">
        <v>99</v>
      </c>
    </row>
    <row r="44" spans="1:41" x14ac:dyDescent="0.25">
      <c r="A44" s="3">
        <v>4604159</v>
      </c>
      <c r="B44" s="3" t="s">
        <v>671</v>
      </c>
      <c r="C44" s="3" t="s">
        <v>560</v>
      </c>
      <c r="D44" s="3">
        <v>10003889</v>
      </c>
      <c r="E44" s="4">
        <v>4533510</v>
      </c>
      <c r="F44" s="3" t="s">
        <v>19</v>
      </c>
      <c r="G44" s="4" t="s">
        <v>676</v>
      </c>
      <c r="H44" s="4" t="s">
        <v>677</v>
      </c>
      <c r="I44" s="5">
        <v>280694.7</v>
      </c>
      <c r="J44" s="3" t="s">
        <v>671</v>
      </c>
      <c r="K44" s="3" t="s">
        <v>77</v>
      </c>
      <c r="M44" s="4" t="s">
        <v>678</v>
      </c>
      <c r="N44" s="3" t="s">
        <v>25</v>
      </c>
      <c r="Y44" s="4" t="s">
        <v>658</v>
      </c>
      <c r="Z44" s="4" t="s">
        <v>658</v>
      </c>
      <c r="AD44" s="3" t="s">
        <v>675</v>
      </c>
      <c r="AE44" s="3">
        <v>5000</v>
      </c>
      <c r="AI44" s="4" t="s">
        <v>660</v>
      </c>
      <c r="AJ44" s="4" t="s">
        <v>660</v>
      </c>
      <c r="AL44" s="4">
        <v>31085</v>
      </c>
      <c r="AM44" s="5">
        <v>280694.7</v>
      </c>
      <c r="AN44" s="4" t="s">
        <v>31</v>
      </c>
      <c r="AO44" s="4">
        <v>99</v>
      </c>
    </row>
    <row r="45" spans="1:41" x14ac:dyDescent="0.25">
      <c r="A45" s="3">
        <v>4604160</v>
      </c>
      <c r="B45" s="3" t="s">
        <v>671</v>
      </c>
      <c r="C45" s="3" t="s">
        <v>560</v>
      </c>
      <c r="D45" s="3">
        <v>10003883</v>
      </c>
      <c r="E45" s="4">
        <v>4533511</v>
      </c>
      <c r="F45" s="3" t="s">
        <v>19</v>
      </c>
      <c r="G45" s="4" t="s">
        <v>679</v>
      </c>
      <c r="H45" s="4" t="s">
        <v>680</v>
      </c>
      <c r="I45" s="5">
        <v>411007.08</v>
      </c>
      <c r="J45" s="3" t="s">
        <v>671</v>
      </c>
      <c r="K45" s="3" t="s">
        <v>77</v>
      </c>
      <c r="M45" s="4" t="s">
        <v>681</v>
      </c>
      <c r="N45" s="3" t="s">
        <v>25</v>
      </c>
      <c r="Y45" s="4" t="s">
        <v>658</v>
      </c>
      <c r="Z45" s="4" t="s">
        <v>658</v>
      </c>
      <c r="AD45" s="3" t="s">
        <v>675</v>
      </c>
      <c r="AE45" s="3">
        <v>5000</v>
      </c>
      <c r="AI45" s="4" t="s">
        <v>660</v>
      </c>
      <c r="AJ45" s="4" t="s">
        <v>660</v>
      </c>
      <c r="AL45" s="4">
        <v>51230</v>
      </c>
      <c r="AM45" s="5">
        <v>411007.08</v>
      </c>
      <c r="AN45" s="4" t="s">
        <v>31</v>
      </c>
      <c r="AO45" s="4">
        <v>99</v>
      </c>
    </row>
    <row r="46" spans="1:41" x14ac:dyDescent="0.25">
      <c r="A46" s="3">
        <v>4604161</v>
      </c>
      <c r="B46" s="3" t="s">
        <v>671</v>
      </c>
      <c r="C46" s="3" t="s">
        <v>560</v>
      </c>
      <c r="D46" s="3">
        <v>10003862</v>
      </c>
      <c r="E46" s="4">
        <v>4533512</v>
      </c>
      <c r="F46" s="3" t="s">
        <v>19</v>
      </c>
      <c r="G46" s="4" t="s">
        <v>682</v>
      </c>
      <c r="H46" s="4" t="s">
        <v>683</v>
      </c>
      <c r="I46" s="5">
        <v>375694</v>
      </c>
      <c r="J46" s="3" t="s">
        <v>671</v>
      </c>
      <c r="K46" s="3" t="s">
        <v>77</v>
      </c>
      <c r="M46" s="4" t="s">
        <v>684</v>
      </c>
      <c r="N46" s="3" t="s">
        <v>25</v>
      </c>
      <c r="Y46" s="4" t="s">
        <v>658</v>
      </c>
      <c r="Z46" s="4" t="s">
        <v>658</v>
      </c>
      <c r="AD46" s="3" t="s">
        <v>627</v>
      </c>
      <c r="AE46" s="3">
        <v>5000</v>
      </c>
      <c r="AI46" s="4" t="s">
        <v>660</v>
      </c>
      <c r="AJ46" s="4" t="s">
        <v>660</v>
      </c>
      <c r="AL46" s="4">
        <v>31084</v>
      </c>
      <c r="AM46" s="5">
        <v>375694</v>
      </c>
      <c r="AN46" s="4" t="s">
        <v>31</v>
      </c>
      <c r="AO46" s="4">
        <v>99</v>
      </c>
    </row>
    <row r="47" spans="1:41" x14ac:dyDescent="0.25">
      <c r="A47" s="3">
        <v>4604162</v>
      </c>
      <c r="B47" s="3" t="s">
        <v>671</v>
      </c>
      <c r="C47" s="3" t="s">
        <v>560</v>
      </c>
      <c r="D47" s="3">
        <v>10003863</v>
      </c>
      <c r="E47" s="4">
        <v>4533513</v>
      </c>
      <c r="F47" s="3" t="s">
        <v>19</v>
      </c>
      <c r="G47" s="4" t="s">
        <v>685</v>
      </c>
      <c r="H47" s="4" t="s">
        <v>686</v>
      </c>
      <c r="I47" s="5">
        <v>366894</v>
      </c>
      <c r="J47" s="3" t="s">
        <v>671</v>
      </c>
      <c r="K47" s="3" t="s">
        <v>77</v>
      </c>
      <c r="M47" s="4" t="s">
        <v>687</v>
      </c>
      <c r="N47" s="3" t="s">
        <v>25</v>
      </c>
      <c r="Y47" s="4" t="s">
        <v>688</v>
      </c>
      <c r="Z47" s="4" t="s">
        <v>658</v>
      </c>
      <c r="AD47" s="3" t="s">
        <v>371</v>
      </c>
      <c r="AE47" s="3">
        <v>5000</v>
      </c>
      <c r="AI47" s="4" t="s">
        <v>689</v>
      </c>
      <c r="AJ47" s="4" t="s">
        <v>660</v>
      </c>
      <c r="AL47" s="4">
        <v>31083</v>
      </c>
      <c r="AM47" s="5">
        <v>366894</v>
      </c>
      <c r="AN47" s="4" t="s">
        <v>31</v>
      </c>
      <c r="AO47" s="4">
        <v>98</v>
      </c>
    </row>
    <row r="48" spans="1:41" x14ac:dyDescent="0.25">
      <c r="A48" s="3">
        <v>4604163</v>
      </c>
      <c r="B48" s="3" t="s">
        <v>671</v>
      </c>
      <c r="C48" s="3" t="s">
        <v>560</v>
      </c>
      <c r="D48" s="3">
        <v>10003868</v>
      </c>
      <c r="E48" s="4">
        <v>4533514</v>
      </c>
      <c r="F48" s="3" t="s">
        <v>19</v>
      </c>
      <c r="G48" s="4" t="s">
        <v>690</v>
      </c>
      <c r="H48" s="4" t="s">
        <v>691</v>
      </c>
      <c r="I48" s="5">
        <v>411776.2</v>
      </c>
      <c r="J48" s="3" t="s">
        <v>671</v>
      </c>
      <c r="K48" s="3" t="s">
        <v>77</v>
      </c>
      <c r="M48" s="4" t="s">
        <v>692</v>
      </c>
      <c r="N48" s="3" t="s">
        <v>25</v>
      </c>
      <c r="Y48" s="4" t="s">
        <v>658</v>
      </c>
      <c r="Z48" s="4" t="s">
        <v>658</v>
      </c>
      <c r="AD48" s="3" t="s">
        <v>693</v>
      </c>
      <c r="AE48" s="3">
        <v>5000</v>
      </c>
      <c r="AI48" s="4" t="s">
        <v>660</v>
      </c>
      <c r="AJ48" s="4" t="s">
        <v>660</v>
      </c>
      <c r="AL48" s="4">
        <v>50719</v>
      </c>
      <c r="AM48" s="5">
        <v>411776.2</v>
      </c>
      <c r="AN48" s="4" t="s">
        <v>31</v>
      </c>
      <c r="AO48" s="4">
        <v>99</v>
      </c>
    </row>
    <row r="49" spans="1:41" x14ac:dyDescent="0.25">
      <c r="A49" s="3">
        <v>4604164</v>
      </c>
      <c r="B49" s="3" t="s">
        <v>671</v>
      </c>
      <c r="C49" s="3" t="s">
        <v>560</v>
      </c>
      <c r="D49" s="3">
        <v>10003867</v>
      </c>
      <c r="E49" s="4">
        <v>4533515</v>
      </c>
      <c r="F49" s="3" t="s">
        <v>19</v>
      </c>
      <c r="G49" s="4" t="s">
        <v>694</v>
      </c>
      <c r="H49" s="4" t="s">
        <v>695</v>
      </c>
      <c r="I49" s="5">
        <v>357566</v>
      </c>
      <c r="J49" s="3" t="s">
        <v>671</v>
      </c>
      <c r="K49" s="3" t="s">
        <v>77</v>
      </c>
      <c r="M49" s="4" t="s">
        <v>696</v>
      </c>
      <c r="N49" s="3" t="s">
        <v>25</v>
      </c>
      <c r="Y49" s="4" t="s">
        <v>658</v>
      </c>
      <c r="Z49" s="4" t="s">
        <v>658</v>
      </c>
      <c r="AD49" s="3" t="s">
        <v>675</v>
      </c>
      <c r="AE49" s="3">
        <v>5000</v>
      </c>
      <c r="AI49" s="4" t="s">
        <v>660</v>
      </c>
      <c r="AJ49" s="4" t="s">
        <v>660</v>
      </c>
      <c r="AL49" s="4">
        <v>51767</v>
      </c>
      <c r="AM49" s="5">
        <v>357566</v>
      </c>
      <c r="AN49" s="4" t="s">
        <v>31</v>
      </c>
      <c r="AO49" s="4">
        <v>99</v>
      </c>
    </row>
    <row r="50" spans="1:41" x14ac:dyDescent="0.25">
      <c r="A50" s="3">
        <v>4604165</v>
      </c>
      <c r="B50" s="3" t="s">
        <v>697</v>
      </c>
      <c r="C50" s="3" t="s">
        <v>560</v>
      </c>
      <c r="D50" s="3">
        <v>10003864</v>
      </c>
      <c r="E50" s="4">
        <v>4533516</v>
      </c>
      <c r="F50" s="3" t="s">
        <v>19</v>
      </c>
      <c r="G50" s="4" t="s">
        <v>698</v>
      </c>
      <c r="H50" s="4" t="s">
        <v>699</v>
      </c>
      <c r="I50" s="5">
        <v>411207.5</v>
      </c>
      <c r="J50" s="3" t="s">
        <v>697</v>
      </c>
      <c r="K50" s="3" t="s">
        <v>77</v>
      </c>
      <c r="M50" s="4" t="s">
        <v>700</v>
      </c>
      <c r="N50" s="3" t="s">
        <v>25</v>
      </c>
      <c r="Y50" s="4" t="s">
        <v>658</v>
      </c>
      <c r="Z50" s="4" t="s">
        <v>658</v>
      </c>
      <c r="AD50" s="3" t="s">
        <v>701</v>
      </c>
      <c r="AE50" s="3">
        <v>5000</v>
      </c>
      <c r="AI50" s="4" t="s">
        <v>660</v>
      </c>
      <c r="AJ50" s="4" t="s">
        <v>660</v>
      </c>
      <c r="AL50" s="4">
        <v>50786</v>
      </c>
      <c r="AM50" s="5">
        <v>411207.5</v>
      </c>
      <c r="AN50" s="4" t="s">
        <v>31</v>
      </c>
      <c r="AO50" s="4">
        <v>99</v>
      </c>
    </row>
    <row r="51" spans="1:41" x14ac:dyDescent="0.25">
      <c r="A51" s="3">
        <v>4604166</v>
      </c>
      <c r="B51" s="3" t="s">
        <v>671</v>
      </c>
      <c r="C51" s="3" t="s">
        <v>560</v>
      </c>
      <c r="D51" s="3">
        <v>10003882</v>
      </c>
      <c r="E51" s="4">
        <v>4533517</v>
      </c>
      <c r="F51" s="3" t="s">
        <v>19</v>
      </c>
      <c r="G51" s="4" t="s">
        <v>702</v>
      </c>
      <c r="H51" s="4" t="s">
        <v>703</v>
      </c>
      <c r="I51" s="5">
        <v>412500</v>
      </c>
      <c r="J51" s="3" t="s">
        <v>671</v>
      </c>
      <c r="K51" s="3" t="s">
        <v>77</v>
      </c>
      <c r="M51" s="4" t="s">
        <v>704</v>
      </c>
      <c r="N51" s="3" t="s">
        <v>25</v>
      </c>
      <c r="Y51" s="4" t="s">
        <v>658</v>
      </c>
      <c r="Z51" s="4" t="s">
        <v>658</v>
      </c>
      <c r="AD51" s="3" t="s">
        <v>675</v>
      </c>
      <c r="AE51" s="3">
        <v>5000</v>
      </c>
      <c r="AI51" s="4" t="s">
        <v>660</v>
      </c>
      <c r="AJ51" s="4" t="s">
        <v>660</v>
      </c>
      <c r="AL51" s="4">
        <v>47998</v>
      </c>
      <c r="AM51" s="5">
        <v>412500</v>
      </c>
      <c r="AN51" s="4" t="s">
        <v>31</v>
      </c>
      <c r="AO51" s="4">
        <v>99</v>
      </c>
    </row>
    <row r="52" spans="1:41" x14ac:dyDescent="0.25">
      <c r="A52" s="3">
        <v>4604169</v>
      </c>
      <c r="B52" s="3" t="s">
        <v>697</v>
      </c>
      <c r="C52" s="3" t="s">
        <v>560</v>
      </c>
      <c r="D52" s="3">
        <v>10003865</v>
      </c>
      <c r="E52" s="4">
        <v>4533520</v>
      </c>
      <c r="F52" s="3" t="s">
        <v>19</v>
      </c>
      <c r="G52" s="4" t="s">
        <v>705</v>
      </c>
      <c r="H52" s="4" t="s">
        <v>706</v>
      </c>
      <c r="I52" s="5">
        <v>405900</v>
      </c>
      <c r="J52" s="3" t="s">
        <v>697</v>
      </c>
      <c r="K52" s="3" t="s">
        <v>77</v>
      </c>
      <c r="M52" s="4" t="s">
        <v>707</v>
      </c>
      <c r="N52" s="3" t="s">
        <v>25</v>
      </c>
      <c r="Y52" s="4" t="s">
        <v>658</v>
      </c>
      <c r="Z52" s="4" t="s">
        <v>658</v>
      </c>
      <c r="AD52" s="3" t="s">
        <v>675</v>
      </c>
      <c r="AE52" s="3">
        <v>5000</v>
      </c>
      <c r="AI52" s="4" t="s">
        <v>660</v>
      </c>
      <c r="AJ52" s="4" t="s">
        <v>660</v>
      </c>
      <c r="AL52" s="4">
        <v>30605</v>
      </c>
      <c r="AM52" s="5">
        <v>405900</v>
      </c>
      <c r="AN52" s="4" t="s">
        <v>31</v>
      </c>
      <c r="AO52" s="4">
        <v>99</v>
      </c>
    </row>
    <row r="53" spans="1:41" x14ac:dyDescent="0.25">
      <c r="A53" s="3">
        <v>4604170</v>
      </c>
      <c r="B53" s="3" t="s">
        <v>671</v>
      </c>
      <c r="C53" s="3" t="s">
        <v>560</v>
      </c>
      <c r="D53" s="3">
        <v>10003884</v>
      </c>
      <c r="E53" s="4">
        <v>4533521</v>
      </c>
      <c r="F53" s="3" t="s">
        <v>19</v>
      </c>
      <c r="G53" s="4" t="s">
        <v>708</v>
      </c>
      <c r="H53" s="4" t="s">
        <v>709</v>
      </c>
      <c r="I53" s="5">
        <v>176641.54</v>
      </c>
      <c r="J53" s="3" t="s">
        <v>671</v>
      </c>
      <c r="K53" s="3" t="s">
        <v>77</v>
      </c>
      <c r="M53" s="4" t="s">
        <v>710</v>
      </c>
      <c r="N53" s="3" t="s">
        <v>25</v>
      </c>
      <c r="Y53" s="4" t="s">
        <v>688</v>
      </c>
      <c r="Z53" s="4" t="s">
        <v>658</v>
      </c>
      <c r="AD53" s="3" t="s">
        <v>711</v>
      </c>
      <c r="AE53" s="3">
        <v>5000</v>
      </c>
      <c r="AI53" s="4" t="s">
        <v>689</v>
      </c>
      <c r="AJ53" s="4" t="s">
        <v>660</v>
      </c>
      <c r="AL53" s="4">
        <v>50352</v>
      </c>
      <c r="AM53" s="5">
        <v>176641.54</v>
      </c>
      <c r="AN53" s="4" t="s">
        <v>31</v>
      </c>
      <c r="AO53" s="4">
        <v>99</v>
      </c>
    </row>
    <row r="54" spans="1:41" x14ac:dyDescent="0.25">
      <c r="A54" s="3">
        <v>4604209</v>
      </c>
      <c r="B54" s="3" t="s">
        <v>712</v>
      </c>
      <c r="C54" s="3" t="s">
        <v>560</v>
      </c>
      <c r="D54" s="3">
        <v>10003829</v>
      </c>
      <c r="E54" s="4">
        <v>4533560</v>
      </c>
      <c r="F54" s="3" t="s">
        <v>19</v>
      </c>
      <c r="G54" s="4" t="s">
        <v>713</v>
      </c>
      <c r="H54" s="4" t="s">
        <v>714</v>
      </c>
      <c r="I54" s="5">
        <v>440000</v>
      </c>
      <c r="J54" s="3" t="s">
        <v>715</v>
      </c>
      <c r="K54" s="3" t="s">
        <v>575</v>
      </c>
      <c r="M54" s="4" t="s">
        <v>714</v>
      </c>
      <c r="N54" s="3" t="s">
        <v>25</v>
      </c>
      <c r="Y54" s="4" t="s">
        <v>716</v>
      </c>
      <c r="Z54" s="4" t="s">
        <v>717</v>
      </c>
      <c r="AD54" s="3" t="s">
        <v>718</v>
      </c>
      <c r="AE54" s="3">
        <v>5000</v>
      </c>
      <c r="AI54" s="4" t="s">
        <v>719</v>
      </c>
      <c r="AJ54" s="4" t="s">
        <v>720</v>
      </c>
      <c r="AL54" s="4">
        <v>30932</v>
      </c>
      <c r="AM54" s="5">
        <v>440000</v>
      </c>
      <c r="AN54" s="4" t="s">
        <v>31</v>
      </c>
      <c r="AO54" s="4">
        <v>99</v>
      </c>
    </row>
    <row r="55" spans="1:41" x14ac:dyDescent="0.25">
      <c r="A55" s="3">
        <v>4602625</v>
      </c>
      <c r="B55" s="3" t="s">
        <v>804</v>
      </c>
      <c r="C55" s="3" t="s">
        <v>797</v>
      </c>
      <c r="D55" s="3">
        <v>10002544</v>
      </c>
      <c r="E55" s="4">
        <v>4531976</v>
      </c>
      <c r="F55" s="3" t="s">
        <v>19</v>
      </c>
      <c r="G55" s="4" t="s">
        <v>805</v>
      </c>
      <c r="H55" s="4" t="s">
        <v>806</v>
      </c>
      <c r="I55" s="5">
        <v>297000</v>
      </c>
      <c r="J55" s="3" t="s">
        <v>804</v>
      </c>
      <c r="K55" s="3" t="s">
        <v>807</v>
      </c>
      <c r="M55" s="4" t="s">
        <v>806</v>
      </c>
      <c r="N55" s="3" t="s">
        <v>25</v>
      </c>
      <c r="Y55" s="4" t="s">
        <v>808</v>
      </c>
      <c r="Z55" s="4" t="s">
        <v>808</v>
      </c>
      <c r="AD55" s="3" t="s">
        <v>809</v>
      </c>
      <c r="AE55" s="3">
        <v>5000</v>
      </c>
      <c r="AI55" s="4" t="s">
        <v>810</v>
      </c>
      <c r="AJ55" s="4" t="s">
        <v>810</v>
      </c>
      <c r="AL55" s="4">
        <v>50656</v>
      </c>
      <c r="AM55" s="5">
        <v>297000</v>
      </c>
      <c r="AN55" s="4" t="s">
        <v>31</v>
      </c>
      <c r="AO55" s="4">
        <v>99</v>
      </c>
    </row>
    <row r="56" spans="1:41" x14ac:dyDescent="0.25">
      <c r="A56" s="3">
        <v>4602627</v>
      </c>
      <c r="B56" s="3" t="s">
        <v>811</v>
      </c>
      <c r="C56" s="3" t="s">
        <v>797</v>
      </c>
      <c r="D56" s="3">
        <v>10002462</v>
      </c>
      <c r="E56" s="4">
        <v>4531978</v>
      </c>
      <c r="F56" s="3" t="s">
        <v>19</v>
      </c>
      <c r="G56" s="4" t="s">
        <v>812</v>
      </c>
      <c r="H56" s="4" t="s">
        <v>813</v>
      </c>
      <c r="I56" s="5">
        <v>604175</v>
      </c>
      <c r="J56" s="3" t="s">
        <v>811</v>
      </c>
      <c r="K56" s="3" t="s">
        <v>807</v>
      </c>
      <c r="M56" s="4" t="s">
        <v>813</v>
      </c>
      <c r="N56" s="3" t="s">
        <v>25</v>
      </c>
      <c r="Y56" s="4" t="s">
        <v>808</v>
      </c>
      <c r="Z56" s="4" t="s">
        <v>808</v>
      </c>
      <c r="AD56" s="3" t="s">
        <v>809</v>
      </c>
      <c r="AE56" s="3">
        <v>5000</v>
      </c>
      <c r="AI56" s="4" t="s">
        <v>810</v>
      </c>
      <c r="AJ56" s="4" t="s">
        <v>810</v>
      </c>
      <c r="AL56" s="4">
        <v>140786</v>
      </c>
      <c r="AM56" s="5">
        <v>604175</v>
      </c>
      <c r="AN56" s="4" t="s">
        <v>31</v>
      </c>
      <c r="AO56" s="4">
        <v>99</v>
      </c>
    </row>
    <row r="57" spans="1:41" x14ac:dyDescent="0.25">
      <c r="A57" s="3">
        <v>4602628</v>
      </c>
      <c r="B57" s="3" t="s">
        <v>814</v>
      </c>
      <c r="C57" s="3" t="s">
        <v>797</v>
      </c>
      <c r="D57" s="3">
        <v>10002528</v>
      </c>
      <c r="E57" s="4">
        <v>4531979</v>
      </c>
      <c r="F57" s="3" t="s">
        <v>19</v>
      </c>
      <c r="G57" s="4" t="s">
        <v>815</v>
      </c>
      <c r="H57" s="4" t="s">
        <v>816</v>
      </c>
      <c r="I57" s="5">
        <v>515993.94</v>
      </c>
      <c r="J57" s="3" t="s">
        <v>814</v>
      </c>
      <c r="K57" s="3" t="s">
        <v>817</v>
      </c>
      <c r="M57" s="4" t="s">
        <v>816</v>
      </c>
      <c r="N57" s="3" t="s">
        <v>25</v>
      </c>
      <c r="Y57" s="4" t="s">
        <v>808</v>
      </c>
      <c r="Z57" s="4" t="s">
        <v>808</v>
      </c>
      <c r="AD57" s="3" t="s">
        <v>809</v>
      </c>
      <c r="AE57" s="3">
        <v>5000</v>
      </c>
      <c r="AI57" s="4" t="s">
        <v>810</v>
      </c>
      <c r="AJ57" s="4" t="s">
        <v>810</v>
      </c>
      <c r="AL57" s="4">
        <v>140795</v>
      </c>
      <c r="AM57" s="5">
        <v>515993.94</v>
      </c>
      <c r="AN57" s="4" t="s">
        <v>31</v>
      </c>
      <c r="AO57" s="4">
        <v>99</v>
      </c>
    </row>
    <row r="58" spans="1:41" x14ac:dyDescent="0.25">
      <c r="A58" s="3">
        <v>4602705</v>
      </c>
      <c r="B58" s="3" t="s">
        <v>820</v>
      </c>
      <c r="C58" s="3" t="s">
        <v>797</v>
      </c>
      <c r="D58" s="3">
        <v>10002633</v>
      </c>
      <c r="E58" s="4">
        <v>4532056</v>
      </c>
      <c r="F58" s="3" t="s">
        <v>19</v>
      </c>
      <c r="G58" s="4" t="s">
        <v>821</v>
      </c>
      <c r="H58" s="4" t="s">
        <v>822</v>
      </c>
      <c r="I58" s="5">
        <v>396000</v>
      </c>
      <c r="J58" s="3" t="s">
        <v>820</v>
      </c>
      <c r="K58" s="3" t="s">
        <v>442</v>
      </c>
      <c r="M58" s="4" t="s">
        <v>822</v>
      </c>
      <c r="N58" s="3" t="s">
        <v>25</v>
      </c>
      <c r="Y58" s="4" t="s">
        <v>716</v>
      </c>
      <c r="Z58" s="4" t="s">
        <v>716</v>
      </c>
      <c r="AD58" s="3" t="s">
        <v>823</v>
      </c>
      <c r="AE58" s="3">
        <v>5000</v>
      </c>
      <c r="AI58" s="4" t="s">
        <v>719</v>
      </c>
      <c r="AJ58" s="4" t="s">
        <v>719</v>
      </c>
      <c r="AL58" s="4">
        <v>50620</v>
      </c>
      <c r="AM58" s="5">
        <v>396000</v>
      </c>
      <c r="AN58" s="4" t="s">
        <v>31</v>
      </c>
      <c r="AO58" s="4">
        <v>99</v>
      </c>
    </row>
    <row r="59" spans="1:41" x14ac:dyDescent="0.25">
      <c r="A59" s="3">
        <v>4602707</v>
      </c>
      <c r="B59" s="3" t="s">
        <v>820</v>
      </c>
      <c r="C59" s="3" t="s">
        <v>797</v>
      </c>
      <c r="D59" s="3">
        <v>10002637</v>
      </c>
      <c r="E59" s="4">
        <v>4532058</v>
      </c>
      <c r="F59" s="3" t="s">
        <v>19</v>
      </c>
      <c r="G59" s="4" t="s">
        <v>824</v>
      </c>
      <c r="H59" s="4" t="s">
        <v>825</v>
      </c>
      <c r="I59" s="5">
        <v>341654.5</v>
      </c>
      <c r="J59" s="3" t="s">
        <v>820</v>
      </c>
      <c r="K59" s="3" t="s">
        <v>807</v>
      </c>
      <c r="M59" s="4" t="s">
        <v>825</v>
      </c>
      <c r="N59" s="3" t="s">
        <v>25</v>
      </c>
      <c r="Y59" s="4" t="s">
        <v>716</v>
      </c>
      <c r="Z59" s="4" t="s">
        <v>716</v>
      </c>
      <c r="AD59" s="3" t="s">
        <v>823</v>
      </c>
      <c r="AE59" s="3">
        <v>5000</v>
      </c>
      <c r="AI59" s="4" t="s">
        <v>719</v>
      </c>
      <c r="AJ59" s="4" t="s">
        <v>719</v>
      </c>
      <c r="AL59" s="4">
        <v>51632</v>
      </c>
      <c r="AM59" s="5">
        <v>341654.5</v>
      </c>
      <c r="AN59" s="4" t="s">
        <v>31</v>
      </c>
      <c r="AO59" s="4">
        <v>99</v>
      </c>
    </row>
    <row r="60" spans="1:41" x14ac:dyDescent="0.25">
      <c r="A60" s="3">
        <v>4602708</v>
      </c>
      <c r="B60" s="3" t="s">
        <v>820</v>
      </c>
      <c r="C60" s="3" t="s">
        <v>797</v>
      </c>
      <c r="D60" s="3">
        <v>10002623</v>
      </c>
      <c r="E60" s="4">
        <v>4532059</v>
      </c>
      <c r="F60" s="3" t="s">
        <v>19</v>
      </c>
      <c r="G60" s="4" t="s">
        <v>826</v>
      </c>
      <c r="H60" s="4" t="s">
        <v>827</v>
      </c>
      <c r="I60" s="5">
        <v>461451.63</v>
      </c>
      <c r="J60" s="3" t="s">
        <v>828</v>
      </c>
      <c r="K60" s="3" t="s">
        <v>829</v>
      </c>
      <c r="M60" s="4" t="s">
        <v>827</v>
      </c>
      <c r="N60" s="3" t="s">
        <v>25</v>
      </c>
      <c r="Y60" s="4" t="s">
        <v>716</v>
      </c>
      <c r="Z60" s="4" t="s">
        <v>716</v>
      </c>
      <c r="AD60" s="3" t="s">
        <v>823</v>
      </c>
      <c r="AE60" s="3">
        <v>5000</v>
      </c>
      <c r="AI60" s="4" t="s">
        <v>719</v>
      </c>
      <c r="AJ60" s="4" t="s">
        <v>719</v>
      </c>
      <c r="AL60" s="4">
        <v>31025</v>
      </c>
      <c r="AM60" s="5">
        <v>461451.63</v>
      </c>
      <c r="AN60" s="4" t="s">
        <v>31</v>
      </c>
      <c r="AO60" s="4">
        <v>99</v>
      </c>
    </row>
    <row r="61" spans="1:41" x14ac:dyDescent="0.25">
      <c r="A61" s="3">
        <v>4602709</v>
      </c>
      <c r="B61" s="3" t="s">
        <v>823</v>
      </c>
      <c r="C61" s="3" t="s">
        <v>797</v>
      </c>
      <c r="D61" s="3">
        <v>10002464</v>
      </c>
      <c r="E61" s="4">
        <v>4532060</v>
      </c>
      <c r="F61" s="3" t="s">
        <v>19</v>
      </c>
      <c r="G61" s="4" t="s">
        <v>830</v>
      </c>
      <c r="H61" s="4" t="s">
        <v>831</v>
      </c>
      <c r="I61" s="5">
        <v>507591.7</v>
      </c>
      <c r="J61" s="3" t="s">
        <v>811</v>
      </c>
      <c r="K61" s="3" t="s">
        <v>832</v>
      </c>
      <c r="M61" s="4" t="s">
        <v>831</v>
      </c>
      <c r="N61" s="3" t="s">
        <v>25</v>
      </c>
      <c r="Y61" s="4" t="s">
        <v>808</v>
      </c>
      <c r="Z61" s="4" t="s">
        <v>808</v>
      </c>
      <c r="AD61" s="3" t="s">
        <v>823</v>
      </c>
      <c r="AE61" s="3">
        <v>5000</v>
      </c>
      <c r="AI61" s="4" t="s">
        <v>810</v>
      </c>
      <c r="AJ61" s="4" t="s">
        <v>810</v>
      </c>
      <c r="AL61" s="4">
        <v>140838</v>
      </c>
      <c r="AM61" s="5">
        <v>507591.7</v>
      </c>
      <c r="AN61" s="4" t="s">
        <v>31</v>
      </c>
      <c r="AO61" s="4">
        <v>99</v>
      </c>
    </row>
    <row r="62" spans="1:41" x14ac:dyDescent="0.25">
      <c r="A62" s="3">
        <v>4602710</v>
      </c>
      <c r="B62" s="3" t="s">
        <v>820</v>
      </c>
      <c r="C62" s="3" t="s">
        <v>797</v>
      </c>
      <c r="D62" s="3">
        <v>10002638</v>
      </c>
      <c r="E62" s="4">
        <v>4532061</v>
      </c>
      <c r="F62" s="3" t="s">
        <v>19</v>
      </c>
      <c r="G62" s="4" t="s">
        <v>833</v>
      </c>
      <c r="H62" s="4" t="s">
        <v>834</v>
      </c>
      <c r="I62" s="5">
        <v>396198</v>
      </c>
      <c r="J62" s="3" t="s">
        <v>820</v>
      </c>
      <c r="K62" s="3" t="s">
        <v>807</v>
      </c>
      <c r="M62" s="4" t="s">
        <v>835</v>
      </c>
      <c r="N62" s="3" t="s">
        <v>25</v>
      </c>
      <c r="Y62" s="4" t="s">
        <v>716</v>
      </c>
      <c r="Z62" s="4" t="s">
        <v>716</v>
      </c>
      <c r="AD62" s="3" t="s">
        <v>823</v>
      </c>
      <c r="AE62" s="3">
        <v>5000</v>
      </c>
      <c r="AI62" s="4" t="s">
        <v>719</v>
      </c>
      <c r="AJ62" s="4" t="s">
        <v>719</v>
      </c>
      <c r="AL62" s="4">
        <v>51394</v>
      </c>
      <c r="AM62" s="5">
        <v>396198</v>
      </c>
      <c r="AN62" s="4" t="s">
        <v>31</v>
      </c>
      <c r="AO62" s="4">
        <v>99</v>
      </c>
    </row>
    <row r="63" spans="1:41" x14ac:dyDescent="0.25">
      <c r="A63" s="3">
        <v>4602711</v>
      </c>
      <c r="B63" s="3" t="s">
        <v>820</v>
      </c>
      <c r="C63" s="3" t="s">
        <v>797</v>
      </c>
      <c r="D63" s="3">
        <v>10002634</v>
      </c>
      <c r="E63" s="4">
        <v>4532062</v>
      </c>
      <c r="F63" s="3" t="s">
        <v>19</v>
      </c>
      <c r="G63" s="4" t="s">
        <v>836</v>
      </c>
      <c r="H63" s="4" t="s">
        <v>837</v>
      </c>
      <c r="I63" s="5">
        <v>427461.82</v>
      </c>
      <c r="J63" s="3" t="s">
        <v>820</v>
      </c>
      <c r="K63" s="3" t="s">
        <v>442</v>
      </c>
      <c r="M63" s="4" t="s">
        <v>837</v>
      </c>
      <c r="N63" s="3" t="s">
        <v>25</v>
      </c>
      <c r="Y63" s="4" t="s">
        <v>716</v>
      </c>
      <c r="Z63" s="4" t="s">
        <v>716</v>
      </c>
      <c r="AD63" s="3" t="s">
        <v>823</v>
      </c>
      <c r="AE63" s="3">
        <v>5000</v>
      </c>
      <c r="AI63" s="4" t="s">
        <v>719</v>
      </c>
      <c r="AJ63" s="4" t="s">
        <v>719</v>
      </c>
      <c r="AL63" s="4">
        <v>51366</v>
      </c>
      <c r="AM63" s="5">
        <v>427461.82</v>
      </c>
      <c r="AN63" s="4" t="s">
        <v>31</v>
      </c>
      <c r="AO63" s="4">
        <v>99</v>
      </c>
    </row>
    <row r="64" spans="1:41" x14ac:dyDescent="0.25">
      <c r="A64" s="3">
        <v>4602712</v>
      </c>
      <c r="B64" s="3" t="s">
        <v>341</v>
      </c>
      <c r="C64" s="3" t="s">
        <v>797</v>
      </c>
      <c r="D64" s="3">
        <v>10002547</v>
      </c>
      <c r="E64" s="4">
        <v>4532063</v>
      </c>
      <c r="F64" s="3" t="s">
        <v>19</v>
      </c>
      <c r="G64" s="4" t="s">
        <v>838</v>
      </c>
      <c r="H64" s="4" t="s">
        <v>839</v>
      </c>
      <c r="I64" s="5">
        <v>497861.1</v>
      </c>
      <c r="J64" s="3" t="s">
        <v>804</v>
      </c>
      <c r="K64" s="3" t="s">
        <v>807</v>
      </c>
      <c r="M64" s="4" t="s">
        <v>840</v>
      </c>
      <c r="N64" s="3" t="s">
        <v>25</v>
      </c>
      <c r="Y64" s="4" t="s">
        <v>716</v>
      </c>
      <c r="Z64" s="4" t="s">
        <v>716</v>
      </c>
      <c r="AD64" s="3" t="s">
        <v>841</v>
      </c>
      <c r="AE64" s="3">
        <v>5000</v>
      </c>
      <c r="AI64" s="4" t="s">
        <v>719</v>
      </c>
      <c r="AJ64" s="4" t="s">
        <v>719</v>
      </c>
      <c r="AL64" s="4">
        <v>140780</v>
      </c>
      <c r="AM64" s="5">
        <v>497861.1</v>
      </c>
      <c r="AN64" s="4" t="s">
        <v>31</v>
      </c>
      <c r="AO64" s="4">
        <v>99</v>
      </c>
    </row>
    <row r="65" spans="1:41" x14ac:dyDescent="0.25">
      <c r="A65" s="3">
        <v>4602713</v>
      </c>
      <c r="B65" s="3" t="s">
        <v>62</v>
      </c>
      <c r="C65" s="3" t="s">
        <v>797</v>
      </c>
      <c r="D65" s="3">
        <v>10002546</v>
      </c>
      <c r="E65" s="4">
        <v>4532064</v>
      </c>
      <c r="F65" s="3" t="s">
        <v>19</v>
      </c>
      <c r="G65" s="4" t="s">
        <v>805</v>
      </c>
      <c r="H65" s="4" t="s">
        <v>842</v>
      </c>
      <c r="I65" s="5">
        <v>395298.2</v>
      </c>
      <c r="J65" s="3" t="s">
        <v>804</v>
      </c>
      <c r="K65" s="3" t="s">
        <v>807</v>
      </c>
      <c r="M65" s="4" t="s">
        <v>843</v>
      </c>
      <c r="N65" s="3" t="s">
        <v>25</v>
      </c>
      <c r="Y65" s="4" t="s">
        <v>716</v>
      </c>
      <c r="Z65" s="4" t="s">
        <v>716</v>
      </c>
      <c r="AD65" s="3" t="s">
        <v>823</v>
      </c>
      <c r="AE65" s="3">
        <v>5000</v>
      </c>
      <c r="AI65" s="4" t="s">
        <v>719</v>
      </c>
      <c r="AJ65" s="4" t="s">
        <v>719</v>
      </c>
      <c r="AL65" s="4">
        <v>50656</v>
      </c>
      <c r="AM65" s="5">
        <v>395298.2</v>
      </c>
      <c r="AN65" s="4" t="s">
        <v>31</v>
      </c>
      <c r="AO65" s="4">
        <v>99</v>
      </c>
    </row>
    <row r="66" spans="1:41" x14ac:dyDescent="0.25">
      <c r="A66" s="3">
        <v>4602714</v>
      </c>
      <c r="B66" s="3" t="s">
        <v>820</v>
      </c>
      <c r="C66" s="3" t="s">
        <v>797</v>
      </c>
      <c r="D66" s="3">
        <v>10002625</v>
      </c>
      <c r="E66" s="4">
        <v>4532065</v>
      </c>
      <c r="F66" s="3" t="s">
        <v>19</v>
      </c>
      <c r="G66" s="4" t="s">
        <v>844</v>
      </c>
      <c r="H66" s="4" t="s">
        <v>845</v>
      </c>
      <c r="I66" s="5">
        <v>482735</v>
      </c>
      <c r="J66" s="3" t="s">
        <v>828</v>
      </c>
      <c r="K66" s="3" t="s">
        <v>442</v>
      </c>
      <c r="M66" s="4" t="s">
        <v>845</v>
      </c>
      <c r="N66" s="3" t="s">
        <v>25</v>
      </c>
      <c r="Y66" s="4" t="s">
        <v>846</v>
      </c>
      <c r="Z66" s="4" t="s">
        <v>846</v>
      </c>
      <c r="AD66" s="3" t="s">
        <v>847</v>
      </c>
      <c r="AE66" s="3">
        <v>5000</v>
      </c>
      <c r="AI66" s="4" t="s">
        <v>848</v>
      </c>
      <c r="AJ66" s="4" t="s">
        <v>848</v>
      </c>
      <c r="AL66" s="4">
        <v>50787</v>
      </c>
      <c r="AM66" s="5">
        <v>482735</v>
      </c>
      <c r="AN66" s="4" t="s">
        <v>31</v>
      </c>
      <c r="AO66" s="4">
        <v>99</v>
      </c>
    </row>
    <row r="67" spans="1:41" x14ac:dyDescent="0.25">
      <c r="A67" s="3">
        <v>4602715</v>
      </c>
      <c r="B67" s="3" t="s">
        <v>849</v>
      </c>
      <c r="C67" s="3" t="s">
        <v>797</v>
      </c>
      <c r="D67" s="3">
        <v>10002545</v>
      </c>
      <c r="E67" s="4">
        <v>4532066</v>
      </c>
      <c r="F67" s="3" t="s">
        <v>19</v>
      </c>
      <c r="G67" s="4" t="s">
        <v>850</v>
      </c>
      <c r="H67" s="4" t="s">
        <v>851</v>
      </c>
      <c r="I67" s="5">
        <v>430101.42</v>
      </c>
      <c r="J67" s="3" t="s">
        <v>804</v>
      </c>
      <c r="K67" s="3" t="s">
        <v>807</v>
      </c>
      <c r="M67" s="4" t="s">
        <v>851</v>
      </c>
      <c r="N67" s="3" t="s">
        <v>25</v>
      </c>
      <c r="Y67" s="4" t="s">
        <v>716</v>
      </c>
      <c r="Z67" s="4" t="s">
        <v>716</v>
      </c>
      <c r="AD67" s="3" t="s">
        <v>175</v>
      </c>
      <c r="AE67" s="3">
        <v>5000</v>
      </c>
      <c r="AI67" s="4" t="s">
        <v>719</v>
      </c>
      <c r="AJ67" s="4" t="s">
        <v>719</v>
      </c>
      <c r="AL67" s="4">
        <v>43407</v>
      </c>
      <c r="AM67" s="5">
        <v>430101.42</v>
      </c>
      <c r="AN67" s="4" t="s">
        <v>31</v>
      </c>
      <c r="AO67" s="4">
        <v>99</v>
      </c>
    </row>
    <row r="68" spans="1:41" x14ac:dyDescent="0.25">
      <c r="A68" s="3">
        <v>4602717</v>
      </c>
      <c r="B68" s="3" t="s">
        <v>72</v>
      </c>
      <c r="C68" s="3" t="s">
        <v>797</v>
      </c>
      <c r="D68" s="3">
        <v>10002531</v>
      </c>
      <c r="E68" s="4">
        <v>4532068</v>
      </c>
      <c r="F68" s="3" t="s">
        <v>19</v>
      </c>
      <c r="G68" s="4" t="s">
        <v>833</v>
      </c>
      <c r="H68" s="4" t="s">
        <v>852</v>
      </c>
      <c r="I68" s="5">
        <v>293150</v>
      </c>
      <c r="J68" s="3" t="s">
        <v>814</v>
      </c>
      <c r="K68" s="3" t="s">
        <v>807</v>
      </c>
      <c r="M68" s="4" t="s">
        <v>852</v>
      </c>
      <c r="N68" s="3" t="s">
        <v>25</v>
      </c>
      <c r="Y68" s="4" t="s">
        <v>808</v>
      </c>
      <c r="Z68" s="4" t="s">
        <v>808</v>
      </c>
      <c r="AD68" s="3" t="s">
        <v>72</v>
      </c>
      <c r="AE68" s="3">
        <v>5000</v>
      </c>
      <c r="AI68" s="4" t="s">
        <v>810</v>
      </c>
      <c r="AJ68" s="4" t="s">
        <v>810</v>
      </c>
      <c r="AL68" s="4">
        <v>51394</v>
      </c>
      <c r="AM68" s="5">
        <v>293150</v>
      </c>
      <c r="AN68" s="4" t="s">
        <v>31</v>
      </c>
      <c r="AO68" s="4">
        <v>99</v>
      </c>
    </row>
    <row r="69" spans="1:41" x14ac:dyDescent="0.25">
      <c r="A69" s="3">
        <v>4602718</v>
      </c>
      <c r="B69" s="3" t="s">
        <v>68</v>
      </c>
      <c r="C69" s="3" t="s">
        <v>797</v>
      </c>
      <c r="D69" s="3">
        <v>10002624</v>
      </c>
      <c r="E69" s="4">
        <v>4532069</v>
      </c>
      <c r="F69" s="3" t="s">
        <v>19</v>
      </c>
      <c r="G69" s="4" t="s">
        <v>853</v>
      </c>
      <c r="H69" s="4" t="s">
        <v>854</v>
      </c>
      <c r="I69" s="5">
        <v>168448.5</v>
      </c>
      <c r="J69" s="3" t="s">
        <v>828</v>
      </c>
      <c r="K69" s="3" t="s">
        <v>442</v>
      </c>
      <c r="M69" s="4" t="s">
        <v>855</v>
      </c>
      <c r="N69" s="3" t="s">
        <v>25</v>
      </c>
      <c r="Y69" s="4" t="s">
        <v>846</v>
      </c>
      <c r="Z69" s="4" t="s">
        <v>808</v>
      </c>
      <c r="AD69" s="3" t="s">
        <v>847</v>
      </c>
      <c r="AE69" s="3">
        <v>5000</v>
      </c>
      <c r="AI69" s="4" t="s">
        <v>848</v>
      </c>
      <c r="AJ69" s="4" t="s">
        <v>810</v>
      </c>
      <c r="AL69" s="4">
        <v>140398</v>
      </c>
      <c r="AM69" s="5">
        <v>168448.5</v>
      </c>
      <c r="AN69" s="4" t="s">
        <v>31</v>
      </c>
      <c r="AO69" s="4">
        <v>99</v>
      </c>
    </row>
    <row r="70" spans="1:41" x14ac:dyDescent="0.25">
      <c r="A70" s="3">
        <v>4602719</v>
      </c>
      <c r="B70" s="3" t="s">
        <v>820</v>
      </c>
      <c r="C70" s="3" t="s">
        <v>797</v>
      </c>
      <c r="D70" s="3">
        <v>10002628</v>
      </c>
      <c r="E70" s="4">
        <v>4532070</v>
      </c>
      <c r="F70" s="3" t="s">
        <v>19</v>
      </c>
      <c r="G70" s="4" t="s">
        <v>856</v>
      </c>
      <c r="H70" s="4" t="s">
        <v>857</v>
      </c>
      <c r="I70" s="5">
        <v>902000</v>
      </c>
      <c r="J70" s="3" t="s">
        <v>858</v>
      </c>
      <c r="K70" s="3" t="s">
        <v>859</v>
      </c>
      <c r="M70" s="4" t="s">
        <v>857</v>
      </c>
      <c r="N70" s="3" t="s">
        <v>25</v>
      </c>
      <c r="Y70" s="4" t="s">
        <v>808</v>
      </c>
      <c r="Z70" s="4" t="s">
        <v>808</v>
      </c>
      <c r="AD70" s="3" t="s">
        <v>72</v>
      </c>
      <c r="AE70" s="3">
        <v>5000</v>
      </c>
      <c r="AI70" s="4" t="s">
        <v>810</v>
      </c>
      <c r="AJ70" s="4" t="s">
        <v>810</v>
      </c>
      <c r="AL70" s="4">
        <v>50127</v>
      </c>
      <c r="AM70" s="5">
        <v>902000</v>
      </c>
      <c r="AN70" s="4" t="s">
        <v>31</v>
      </c>
      <c r="AO70" s="4">
        <v>99</v>
      </c>
    </row>
    <row r="71" spans="1:41" x14ac:dyDescent="0.25">
      <c r="A71" s="3">
        <v>4602720</v>
      </c>
      <c r="B71" s="3" t="s">
        <v>820</v>
      </c>
      <c r="C71" s="3" t="s">
        <v>797</v>
      </c>
      <c r="D71" s="3">
        <v>10002622</v>
      </c>
      <c r="E71" s="4">
        <v>4532071</v>
      </c>
      <c r="F71" s="3" t="s">
        <v>19</v>
      </c>
      <c r="G71" s="4" t="s">
        <v>860</v>
      </c>
      <c r="H71" s="4" t="s">
        <v>861</v>
      </c>
      <c r="I71" s="5">
        <v>384890</v>
      </c>
      <c r="J71" s="3" t="s">
        <v>828</v>
      </c>
      <c r="K71" s="3" t="s">
        <v>829</v>
      </c>
      <c r="M71" s="4" t="s">
        <v>862</v>
      </c>
      <c r="N71" s="3" t="s">
        <v>25</v>
      </c>
      <c r="Y71" s="4" t="s">
        <v>716</v>
      </c>
      <c r="Z71" s="4" t="s">
        <v>716</v>
      </c>
      <c r="AD71" s="3" t="s">
        <v>72</v>
      </c>
      <c r="AE71" s="3">
        <v>5000</v>
      </c>
      <c r="AI71" s="4" t="s">
        <v>719</v>
      </c>
      <c r="AJ71" s="4" t="s">
        <v>719</v>
      </c>
      <c r="AL71" s="4">
        <v>51211</v>
      </c>
      <c r="AM71" s="5">
        <v>384890</v>
      </c>
      <c r="AN71" s="4" t="s">
        <v>31</v>
      </c>
      <c r="AO71" s="4">
        <v>99</v>
      </c>
    </row>
    <row r="72" spans="1:41" x14ac:dyDescent="0.25">
      <c r="A72" s="3">
        <v>4602721</v>
      </c>
      <c r="B72" s="3" t="s">
        <v>863</v>
      </c>
      <c r="C72" s="3" t="s">
        <v>797</v>
      </c>
      <c r="D72" s="3">
        <v>10002466</v>
      </c>
      <c r="E72" s="4">
        <v>4532072</v>
      </c>
      <c r="F72" s="3" t="s">
        <v>19</v>
      </c>
      <c r="G72" s="4" t="s">
        <v>864</v>
      </c>
      <c r="H72" s="4" t="s">
        <v>865</v>
      </c>
      <c r="I72" s="5">
        <v>34826</v>
      </c>
      <c r="J72" s="3" t="s">
        <v>811</v>
      </c>
      <c r="K72" s="3" t="s">
        <v>832</v>
      </c>
      <c r="M72" s="4" t="s">
        <v>866</v>
      </c>
      <c r="N72" s="3" t="s">
        <v>25</v>
      </c>
      <c r="Y72" s="4" t="s">
        <v>808</v>
      </c>
      <c r="Z72" s="4" t="s">
        <v>808</v>
      </c>
      <c r="AD72" s="3" t="s">
        <v>72</v>
      </c>
      <c r="AE72" s="3">
        <v>5000</v>
      </c>
      <c r="AI72" s="4" t="s">
        <v>810</v>
      </c>
      <c r="AJ72" s="4" t="s">
        <v>810</v>
      </c>
      <c r="AL72" s="4">
        <v>140787</v>
      </c>
      <c r="AM72" s="5">
        <v>34826</v>
      </c>
      <c r="AN72" s="4" t="s">
        <v>31</v>
      </c>
      <c r="AO72" s="4">
        <v>99</v>
      </c>
    </row>
    <row r="73" spans="1:41" x14ac:dyDescent="0.25">
      <c r="A73" s="3">
        <v>4602722</v>
      </c>
      <c r="B73" s="3" t="s">
        <v>820</v>
      </c>
      <c r="C73" s="3" t="s">
        <v>797</v>
      </c>
      <c r="D73" s="3">
        <v>10002618</v>
      </c>
      <c r="E73" s="4">
        <v>4532073</v>
      </c>
      <c r="F73" s="3" t="s">
        <v>19</v>
      </c>
      <c r="G73" s="4" t="s">
        <v>867</v>
      </c>
      <c r="H73" s="4" t="s">
        <v>868</v>
      </c>
      <c r="I73" s="5">
        <v>417230</v>
      </c>
      <c r="J73" s="3" t="s">
        <v>828</v>
      </c>
      <c r="K73" s="3" t="s">
        <v>442</v>
      </c>
      <c r="M73" s="4" t="s">
        <v>869</v>
      </c>
      <c r="N73" s="3" t="s">
        <v>25</v>
      </c>
      <c r="Y73" s="4" t="s">
        <v>716</v>
      </c>
      <c r="Z73" s="4" t="s">
        <v>716</v>
      </c>
      <c r="AD73" s="3" t="s">
        <v>72</v>
      </c>
      <c r="AE73" s="3">
        <v>5000</v>
      </c>
      <c r="AI73" s="4" t="s">
        <v>719</v>
      </c>
      <c r="AJ73" s="4" t="s">
        <v>719</v>
      </c>
      <c r="AL73" s="4">
        <v>51001</v>
      </c>
      <c r="AM73" s="5">
        <v>417230</v>
      </c>
      <c r="AN73" s="4" t="s">
        <v>31</v>
      </c>
      <c r="AO73" s="4">
        <v>99</v>
      </c>
    </row>
    <row r="74" spans="1:41" x14ac:dyDescent="0.25">
      <c r="A74" s="3">
        <v>4602723</v>
      </c>
      <c r="B74" s="3" t="s">
        <v>820</v>
      </c>
      <c r="C74" s="3" t="s">
        <v>797</v>
      </c>
      <c r="D74" s="3">
        <v>10002467</v>
      </c>
      <c r="E74" s="4">
        <v>4532074</v>
      </c>
      <c r="F74" s="3" t="s">
        <v>19</v>
      </c>
      <c r="G74" s="4" t="s">
        <v>870</v>
      </c>
      <c r="H74" s="4" t="s">
        <v>871</v>
      </c>
      <c r="I74" s="5">
        <v>383825.2</v>
      </c>
      <c r="J74" s="3" t="s">
        <v>811</v>
      </c>
      <c r="K74" s="3" t="s">
        <v>442</v>
      </c>
      <c r="M74" s="4" t="s">
        <v>872</v>
      </c>
      <c r="N74" s="3" t="s">
        <v>25</v>
      </c>
      <c r="Y74" s="4" t="s">
        <v>808</v>
      </c>
      <c r="Z74" s="4" t="s">
        <v>808</v>
      </c>
      <c r="AD74" s="3" t="s">
        <v>72</v>
      </c>
      <c r="AE74" s="3">
        <v>5000</v>
      </c>
      <c r="AI74" s="4" t="s">
        <v>810</v>
      </c>
      <c r="AJ74" s="4" t="s">
        <v>810</v>
      </c>
      <c r="AL74" s="4">
        <v>140792</v>
      </c>
      <c r="AM74" s="5">
        <v>383825.2</v>
      </c>
      <c r="AN74" s="4" t="s">
        <v>31</v>
      </c>
      <c r="AO74" s="4">
        <v>99</v>
      </c>
    </row>
    <row r="75" spans="1:41" x14ac:dyDescent="0.25">
      <c r="A75" s="3">
        <v>4602727</v>
      </c>
      <c r="B75" s="3" t="s">
        <v>863</v>
      </c>
      <c r="C75" s="3" t="s">
        <v>797</v>
      </c>
      <c r="D75" s="3">
        <v>10002585</v>
      </c>
      <c r="E75" s="4">
        <v>4532078</v>
      </c>
      <c r="F75" s="3" t="s">
        <v>19</v>
      </c>
      <c r="G75" s="4" t="s">
        <v>873</v>
      </c>
      <c r="H75" s="4" t="s">
        <v>874</v>
      </c>
      <c r="I75" s="5">
        <v>393360</v>
      </c>
      <c r="J75" s="3" t="s">
        <v>863</v>
      </c>
      <c r="K75" s="3" t="s">
        <v>875</v>
      </c>
      <c r="M75" s="4" t="s">
        <v>876</v>
      </c>
      <c r="N75" s="3" t="s">
        <v>25</v>
      </c>
      <c r="Y75" s="4" t="s">
        <v>716</v>
      </c>
      <c r="Z75" s="4" t="s">
        <v>716</v>
      </c>
      <c r="AD75" s="3" t="s">
        <v>72</v>
      </c>
      <c r="AE75" s="3">
        <v>5000</v>
      </c>
      <c r="AI75" s="4" t="s">
        <v>719</v>
      </c>
      <c r="AJ75" s="4" t="s">
        <v>719</v>
      </c>
      <c r="AL75" s="4">
        <v>140810</v>
      </c>
      <c r="AM75" s="5">
        <v>393360</v>
      </c>
      <c r="AN75" s="4" t="s">
        <v>31</v>
      </c>
      <c r="AO75" s="4">
        <v>99</v>
      </c>
    </row>
    <row r="76" spans="1:41" x14ac:dyDescent="0.25">
      <c r="A76" s="3">
        <v>4602730</v>
      </c>
      <c r="B76" s="3" t="s">
        <v>863</v>
      </c>
      <c r="C76" s="3" t="s">
        <v>797</v>
      </c>
      <c r="D76" s="3">
        <v>10002586</v>
      </c>
      <c r="E76" s="4">
        <v>4532081</v>
      </c>
      <c r="F76" s="3" t="s">
        <v>19</v>
      </c>
      <c r="G76" s="4" t="s">
        <v>877</v>
      </c>
      <c r="H76" s="4" t="s">
        <v>878</v>
      </c>
      <c r="I76" s="5">
        <v>385000</v>
      </c>
      <c r="J76" s="3" t="s">
        <v>863</v>
      </c>
      <c r="K76" s="3" t="s">
        <v>442</v>
      </c>
      <c r="M76" s="4" t="s">
        <v>879</v>
      </c>
      <c r="N76" s="3" t="s">
        <v>25</v>
      </c>
      <c r="Y76" s="4" t="s">
        <v>716</v>
      </c>
      <c r="Z76" s="4" t="s">
        <v>716</v>
      </c>
      <c r="AD76" s="3" t="s">
        <v>72</v>
      </c>
      <c r="AE76" s="3">
        <v>5000</v>
      </c>
      <c r="AI76" s="4" t="s">
        <v>719</v>
      </c>
      <c r="AJ76" s="4" t="s">
        <v>719</v>
      </c>
      <c r="AL76" s="4">
        <v>140823</v>
      </c>
      <c r="AM76" s="5">
        <v>385000</v>
      </c>
      <c r="AN76" s="4" t="s">
        <v>31</v>
      </c>
      <c r="AO76" s="4">
        <v>99</v>
      </c>
    </row>
    <row r="77" spans="1:41" x14ac:dyDescent="0.25">
      <c r="A77" s="3">
        <v>4602731</v>
      </c>
      <c r="B77" s="3" t="s">
        <v>863</v>
      </c>
      <c r="C77" s="3" t="s">
        <v>797</v>
      </c>
      <c r="D77" s="3">
        <v>10002589</v>
      </c>
      <c r="E77" s="4">
        <v>4532082</v>
      </c>
      <c r="F77" s="3" t="s">
        <v>19</v>
      </c>
      <c r="G77" s="4" t="s">
        <v>880</v>
      </c>
      <c r="H77" s="4" t="s">
        <v>881</v>
      </c>
      <c r="I77" s="5">
        <v>384989</v>
      </c>
      <c r="J77" s="3" t="s">
        <v>863</v>
      </c>
      <c r="K77" s="3" t="s">
        <v>882</v>
      </c>
      <c r="M77" s="4" t="s">
        <v>881</v>
      </c>
      <c r="N77" s="3" t="s">
        <v>25</v>
      </c>
      <c r="Y77" s="4" t="s">
        <v>716</v>
      </c>
      <c r="Z77" s="4" t="s">
        <v>716</v>
      </c>
      <c r="AD77" s="3" t="s">
        <v>72</v>
      </c>
      <c r="AE77" s="3">
        <v>5000</v>
      </c>
      <c r="AI77" s="4" t="s">
        <v>719</v>
      </c>
      <c r="AJ77" s="4" t="s">
        <v>719</v>
      </c>
      <c r="AL77" s="4">
        <v>42994</v>
      </c>
      <c r="AM77" s="5">
        <v>384989</v>
      </c>
      <c r="AN77" s="4" t="s">
        <v>31</v>
      </c>
      <c r="AO77" s="4">
        <v>99</v>
      </c>
    </row>
    <row r="78" spans="1:41" x14ac:dyDescent="0.25">
      <c r="A78" s="3">
        <v>4602733</v>
      </c>
      <c r="B78" s="3" t="s">
        <v>863</v>
      </c>
      <c r="C78" s="3" t="s">
        <v>797</v>
      </c>
      <c r="D78" s="3">
        <v>10002580</v>
      </c>
      <c r="E78" s="4">
        <v>4532084</v>
      </c>
      <c r="F78" s="3" t="s">
        <v>19</v>
      </c>
      <c r="G78" s="4" t="s">
        <v>883</v>
      </c>
      <c r="H78" s="4" t="s">
        <v>884</v>
      </c>
      <c r="I78" s="5">
        <v>349653.7</v>
      </c>
      <c r="J78" s="3" t="s">
        <v>809</v>
      </c>
      <c r="K78" s="3" t="s">
        <v>442</v>
      </c>
      <c r="M78" s="4" t="s">
        <v>885</v>
      </c>
      <c r="N78" s="3" t="s">
        <v>25</v>
      </c>
      <c r="Y78" s="4" t="s">
        <v>716</v>
      </c>
      <c r="Z78" s="4" t="s">
        <v>716</v>
      </c>
      <c r="AD78" s="3" t="s">
        <v>72</v>
      </c>
      <c r="AE78" s="3">
        <v>5000</v>
      </c>
      <c r="AI78" s="4" t="s">
        <v>719</v>
      </c>
      <c r="AJ78" s="4" t="s">
        <v>719</v>
      </c>
      <c r="AL78" s="4">
        <v>140796</v>
      </c>
      <c r="AM78" s="5">
        <v>349653.7</v>
      </c>
      <c r="AN78" s="4" t="s">
        <v>31</v>
      </c>
      <c r="AO78" s="4">
        <v>99</v>
      </c>
    </row>
    <row r="79" spans="1:41" x14ac:dyDescent="0.25">
      <c r="A79" s="3">
        <v>4602734</v>
      </c>
      <c r="B79" s="3" t="s">
        <v>863</v>
      </c>
      <c r="C79" s="3" t="s">
        <v>797</v>
      </c>
      <c r="D79" s="3">
        <v>10002529</v>
      </c>
      <c r="E79" s="4">
        <v>4532085</v>
      </c>
      <c r="F79" s="3" t="s">
        <v>19</v>
      </c>
      <c r="G79" s="4" t="s">
        <v>886</v>
      </c>
      <c r="H79" s="4" t="s">
        <v>887</v>
      </c>
      <c r="I79" s="5">
        <v>297000</v>
      </c>
      <c r="J79" s="3" t="s">
        <v>814</v>
      </c>
      <c r="K79" s="3" t="s">
        <v>807</v>
      </c>
      <c r="M79" s="4" t="s">
        <v>887</v>
      </c>
      <c r="N79" s="3" t="s">
        <v>25</v>
      </c>
      <c r="Y79" s="4" t="s">
        <v>808</v>
      </c>
      <c r="Z79" s="4" t="s">
        <v>846</v>
      </c>
      <c r="AD79" s="3" t="s">
        <v>72</v>
      </c>
      <c r="AE79" s="3">
        <v>5000</v>
      </c>
      <c r="AI79" s="4" t="s">
        <v>810</v>
      </c>
      <c r="AJ79" s="4" t="s">
        <v>848</v>
      </c>
      <c r="AL79" s="4">
        <v>140840</v>
      </c>
      <c r="AM79" s="5">
        <v>297000</v>
      </c>
      <c r="AN79" s="4" t="s">
        <v>31</v>
      </c>
      <c r="AO79" s="4">
        <v>99</v>
      </c>
    </row>
    <row r="80" spans="1:41" x14ac:dyDescent="0.25">
      <c r="A80" s="3">
        <v>4602739</v>
      </c>
      <c r="B80" s="3" t="s">
        <v>863</v>
      </c>
      <c r="C80" s="3" t="s">
        <v>797</v>
      </c>
      <c r="D80" s="3">
        <v>10002581</v>
      </c>
      <c r="E80" s="4">
        <v>4532090</v>
      </c>
      <c r="F80" s="3" t="s">
        <v>19</v>
      </c>
      <c r="G80" s="4" t="s">
        <v>888</v>
      </c>
      <c r="H80" s="4" t="s">
        <v>889</v>
      </c>
      <c r="I80" s="5">
        <v>263756.90000000002</v>
      </c>
      <c r="J80" s="3" t="s">
        <v>809</v>
      </c>
      <c r="K80" s="3" t="s">
        <v>728</v>
      </c>
      <c r="M80" s="4" t="s">
        <v>890</v>
      </c>
      <c r="N80" s="3" t="s">
        <v>25</v>
      </c>
      <c r="Y80" s="4" t="s">
        <v>716</v>
      </c>
      <c r="Z80" s="4" t="s">
        <v>716</v>
      </c>
      <c r="AD80" s="3" t="s">
        <v>72</v>
      </c>
      <c r="AE80" s="3">
        <v>5000</v>
      </c>
      <c r="AI80" s="4" t="s">
        <v>719</v>
      </c>
      <c r="AJ80" s="4" t="s">
        <v>719</v>
      </c>
      <c r="AL80" s="4">
        <v>140843</v>
      </c>
      <c r="AM80" s="5">
        <v>263756.90000000002</v>
      </c>
      <c r="AN80" s="4" t="s">
        <v>31</v>
      </c>
      <c r="AO80" s="4">
        <v>99</v>
      </c>
    </row>
    <row r="81" spans="1:41" x14ac:dyDescent="0.25">
      <c r="A81" s="3">
        <v>4602743</v>
      </c>
      <c r="B81" s="3" t="s">
        <v>863</v>
      </c>
      <c r="C81" s="3" t="s">
        <v>797</v>
      </c>
      <c r="D81" s="3">
        <v>10002576</v>
      </c>
      <c r="E81" s="4">
        <v>4532094</v>
      </c>
      <c r="F81" s="3" t="s">
        <v>19</v>
      </c>
      <c r="G81" s="4" t="s">
        <v>891</v>
      </c>
      <c r="H81" s="4" t="s">
        <v>892</v>
      </c>
      <c r="I81" s="5">
        <v>421955.37</v>
      </c>
      <c r="J81" s="3" t="s">
        <v>809</v>
      </c>
      <c r="K81" s="3" t="s">
        <v>313</v>
      </c>
      <c r="M81" s="4" t="s">
        <v>893</v>
      </c>
      <c r="N81" s="3" t="s">
        <v>25</v>
      </c>
      <c r="Y81" s="4" t="s">
        <v>716</v>
      </c>
      <c r="Z81" s="4" t="s">
        <v>716</v>
      </c>
      <c r="AD81" s="3" t="s">
        <v>72</v>
      </c>
      <c r="AE81" s="3">
        <v>5000</v>
      </c>
      <c r="AI81" s="4" t="s">
        <v>719</v>
      </c>
      <c r="AJ81" s="4" t="s">
        <v>719</v>
      </c>
      <c r="AL81" s="4">
        <v>140844</v>
      </c>
      <c r="AM81" s="5">
        <v>421955.37</v>
      </c>
      <c r="AN81" s="4" t="s">
        <v>31</v>
      </c>
      <c r="AO81" s="4">
        <v>99</v>
      </c>
    </row>
    <row r="82" spans="1:41" x14ac:dyDescent="0.25">
      <c r="A82" s="3">
        <v>4602744</v>
      </c>
      <c r="B82" s="3" t="s">
        <v>863</v>
      </c>
      <c r="C82" s="3" t="s">
        <v>797</v>
      </c>
      <c r="D82" s="3">
        <v>10002577</v>
      </c>
      <c r="E82" s="4">
        <v>4532095</v>
      </c>
      <c r="F82" s="3" t="s">
        <v>19</v>
      </c>
      <c r="G82" s="4" t="s">
        <v>894</v>
      </c>
      <c r="H82" s="4" t="s">
        <v>895</v>
      </c>
      <c r="I82" s="5">
        <v>433654.6</v>
      </c>
      <c r="J82" s="3" t="s">
        <v>809</v>
      </c>
      <c r="K82" s="3" t="s">
        <v>817</v>
      </c>
      <c r="M82" s="4" t="s">
        <v>895</v>
      </c>
      <c r="N82" s="3" t="s">
        <v>25</v>
      </c>
      <c r="Y82" s="4" t="s">
        <v>716</v>
      </c>
      <c r="Z82" s="4" t="s">
        <v>716</v>
      </c>
      <c r="AD82" s="3" t="s">
        <v>896</v>
      </c>
      <c r="AE82" s="3">
        <v>5000</v>
      </c>
      <c r="AI82" s="4" t="s">
        <v>719</v>
      </c>
      <c r="AJ82" s="4" t="s">
        <v>719</v>
      </c>
      <c r="AL82" s="4">
        <v>52592</v>
      </c>
      <c r="AM82" s="5">
        <v>433654.6</v>
      </c>
      <c r="AN82" s="4" t="s">
        <v>31</v>
      </c>
      <c r="AO82" s="4">
        <v>99</v>
      </c>
    </row>
    <row r="83" spans="1:41" x14ac:dyDescent="0.25">
      <c r="A83" s="3">
        <v>4602745</v>
      </c>
      <c r="B83" s="3" t="s">
        <v>863</v>
      </c>
      <c r="C83" s="3" t="s">
        <v>797</v>
      </c>
      <c r="D83" s="3">
        <v>10002575</v>
      </c>
      <c r="E83" s="4">
        <v>4532096</v>
      </c>
      <c r="F83" s="3" t="s">
        <v>19</v>
      </c>
      <c r="G83" s="4" t="s">
        <v>897</v>
      </c>
      <c r="H83" s="4" t="s">
        <v>898</v>
      </c>
      <c r="I83" s="5">
        <v>371602</v>
      </c>
      <c r="J83" s="3" t="s">
        <v>809</v>
      </c>
      <c r="K83" s="3" t="s">
        <v>313</v>
      </c>
      <c r="M83" s="4" t="s">
        <v>898</v>
      </c>
      <c r="N83" s="3" t="s">
        <v>25</v>
      </c>
      <c r="Y83" s="4" t="s">
        <v>716</v>
      </c>
      <c r="Z83" s="4" t="s">
        <v>716</v>
      </c>
      <c r="AD83" s="3" t="s">
        <v>72</v>
      </c>
      <c r="AE83" s="3">
        <v>5000</v>
      </c>
      <c r="AI83" s="4" t="s">
        <v>719</v>
      </c>
      <c r="AJ83" s="4" t="s">
        <v>719</v>
      </c>
      <c r="AL83" s="4">
        <v>52507</v>
      </c>
      <c r="AM83" s="5">
        <v>371602</v>
      </c>
      <c r="AN83" s="4" t="s">
        <v>31</v>
      </c>
      <c r="AO83" s="4">
        <v>99</v>
      </c>
    </row>
    <row r="84" spans="1:41" x14ac:dyDescent="0.25">
      <c r="A84" s="3">
        <v>4602746</v>
      </c>
      <c r="B84" s="3" t="s">
        <v>72</v>
      </c>
      <c r="C84" s="3" t="s">
        <v>797</v>
      </c>
      <c r="D84" s="3">
        <v>10002651</v>
      </c>
      <c r="E84" s="4">
        <v>4532097</v>
      </c>
      <c r="F84" s="3" t="s">
        <v>19</v>
      </c>
      <c r="G84" s="4" t="s">
        <v>899</v>
      </c>
      <c r="H84" s="4" t="s">
        <v>900</v>
      </c>
      <c r="I84" s="5">
        <v>406230</v>
      </c>
      <c r="J84" s="3" t="s">
        <v>823</v>
      </c>
      <c r="K84" s="3" t="s">
        <v>901</v>
      </c>
      <c r="M84" s="4" t="s">
        <v>900</v>
      </c>
      <c r="N84" s="3" t="s">
        <v>25</v>
      </c>
      <c r="Y84" s="4" t="s">
        <v>716</v>
      </c>
      <c r="Z84" s="4" t="s">
        <v>716</v>
      </c>
      <c r="AD84" s="3" t="s">
        <v>902</v>
      </c>
      <c r="AE84" s="3">
        <v>5000</v>
      </c>
      <c r="AI84" s="4" t="s">
        <v>719</v>
      </c>
      <c r="AJ84" s="4" t="s">
        <v>719</v>
      </c>
      <c r="AL84" s="4">
        <v>140841</v>
      </c>
      <c r="AM84" s="5">
        <v>406230</v>
      </c>
      <c r="AN84" s="4" t="s">
        <v>31</v>
      </c>
      <c r="AO84" s="4">
        <v>99</v>
      </c>
    </row>
    <row r="85" spans="1:41" x14ac:dyDescent="0.25">
      <c r="A85" s="3">
        <v>4602747</v>
      </c>
      <c r="B85" s="3" t="s">
        <v>841</v>
      </c>
      <c r="C85" s="3" t="s">
        <v>797</v>
      </c>
      <c r="D85" s="3">
        <v>10002657</v>
      </c>
      <c r="E85" s="4">
        <v>4532098</v>
      </c>
      <c r="F85" s="3" t="s">
        <v>19</v>
      </c>
      <c r="G85" s="4" t="s">
        <v>903</v>
      </c>
      <c r="H85" s="4" t="s">
        <v>904</v>
      </c>
      <c r="I85" s="5">
        <v>277773.02</v>
      </c>
      <c r="J85" s="3" t="s">
        <v>823</v>
      </c>
      <c r="K85" s="3" t="s">
        <v>905</v>
      </c>
      <c r="M85" s="4" t="s">
        <v>906</v>
      </c>
      <c r="N85" s="3" t="s">
        <v>25</v>
      </c>
      <c r="Y85" s="4" t="s">
        <v>907</v>
      </c>
      <c r="Z85" s="4" t="s">
        <v>808</v>
      </c>
      <c r="AD85" s="3" t="s">
        <v>317</v>
      </c>
      <c r="AE85" s="3">
        <v>5000</v>
      </c>
      <c r="AI85" s="4" t="s">
        <v>908</v>
      </c>
      <c r="AJ85" s="4" t="s">
        <v>810</v>
      </c>
      <c r="AL85" s="4">
        <v>140836</v>
      </c>
      <c r="AM85" s="5">
        <v>277773.02</v>
      </c>
      <c r="AN85" s="4" t="s">
        <v>31</v>
      </c>
      <c r="AO85" s="4">
        <v>99</v>
      </c>
    </row>
    <row r="86" spans="1:41" x14ac:dyDescent="0.25">
      <c r="A86" s="3">
        <v>4602749</v>
      </c>
      <c r="B86" s="3" t="s">
        <v>72</v>
      </c>
      <c r="C86" s="3" t="s">
        <v>797</v>
      </c>
      <c r="D86" s="3">
        <v>10002658</v>
      </c>
      <c r="E86" s="4">
        <v>4532100</v>
      </c>
      <c r="F86" s="3" t="s">
        <v>19</v>
      </c>
      <c r="G86" s="4" t="s">
        <v>826</v>
      </c>
      <c r="H86" s="4" t="s">
        <v>909</v>
      </c>
      <c r="I86" s="5">
        <v>273119</v>
      </c>
      <c r="J86" s="3" t="s">
        <v>823</v>
      </c>
      <c r="K86" s="3" t="s">
        <v>910</v>
      </c>
      <c r="M86" s="4" t="s">
        <v>909</v>
      </c>
      <c r="N86" s="3" t="s">
        <v>25</v>
      </c>
      <c r="Y86" s="4" t="s">
        <v>907</v>
      </c>
      <c r="Z86" s="4" t="s">
        <v>808</v>
      </c>
      <c r="AD86" s="3" t="s">
        <v>317</v>
      </c>
      <c r="AE86" s="3">
        <v>5000</v>
      </c>
      <c r="AI86" s="4" t="s">
        <v>908</v>
      </c>
      <c r="AJ86" s="4" t="s">
        <v>810</v>
      </c>
      <c r="AL86" s="4">
        <v>31025</v>
      </c>
      <c r="AM86" s="5">
        <v>273119</v>
      </c>
      <c r="AN86" s="4" t="s">
        <v>31</v>
      </c>
      <c r="AO86" s="4">
        <v>99</v>
      </c>
    </row>
    <row r="87" spans="1:41" x14ac:dyDescent="0.25">
      <c r="A87" s="3">
        <v>4602761</v>
      </c>
      <c r="B87" s="3" t="s">
        <v>616</v>
      </c>
      <c r="C87" s="3" t="s">
        <v>797</v>
      </c>
      <c r="D87" s="3">
        <v>10002629</v>
      </c>
      <c r="E87" s="4">
        <v>4532112</v>
      </c>
      <c r="F87" s="3" t="s">
        <v>19</v>
      </c>
      <c r="G87" s="4" t="s">
        <v>911</v>
      </c>
      <c r="H87" s="4" t="s">
        <v>912</v>
      </c>
      <c r="I87" s="5">
        <v>291500</v>
      </c>
      <c r="J87" s="3" t="s">
        <v>858</v>
      </c>
      <c r="K87" s="3" t="s">
        <v>442</v>
      </c>
      <c r="M87" s="4" t="s">
        <v>912</v>
      </c>
      <c r="N87" s="3" t="s">
        <v>25</v>
      </c>
      <c r="Y87" s="4" t="s">
        <v>808</v>
      </c>
      <c r="Z87" s="4" t="s">
        <v>808</v>
      </c>
      <c r="AD87" s="3" t="s">
        <v>616</v>
      </c>
      <c r="AE87" s="3">
        <v>5000</v>
      </c>
      <c r="AI87" s="4" t="s">
        <v>810</v>
      </c>
      <c r="AJ87" s="4" t="s">
        <v>810</v>
      </c>
      <c r="AL87" s="4">
        <v>140848</v>
      </c>
      <c r="AM87" s="5">
        <v>291500</v>
      </c>
      <c r="AN87" s="4" t="s">
        <v>31</v>
      </c>
      <c r="AO87" s="4">
        <v>99</v>
      </c>
    </row>
    <row r="88" spans="1:41" x14ac:dyDescent="0.25">
      <c r="A88" s="3">
        <v>4602762</v>
      </c>
      <c r="B88" s="3" t="s">
        <v>72</v>
      </c>
      <c r="C88" s="3" t="s">
        <v>797</v>
      </c>
      <c r="D88" s="3">
        <v>10002649</v>
      </c>
      <c r="E88" s="4">
        <v>4532113</v>
      </c>
      <c r="F88" s="3" t="s">
        <v>19</v>
      </c>
      <c r="G88" s="4" t="s">
        <v>913</v>
      </c>
      <c r="H88" s="4" t="s">
        <v>914</v>
      </c>
      <c r="I88" s="5">
        <v>430199.89</v>
      </c>
      <c r="J88" s="3" t="s">
        <v>823</v>
      </c>
      <c r="K88" s="3" t="s">
        <v>901</v>
      </c>
      <c r="M88" s="4" t="s">
        <v>914</v>
      </c>
      <c r="N88" s="3" t="s">
        <v>25</v>
      </c>
      <c r="Y88" s="4" t="s">
        <v>716</v>
      </c>
      <c r="Z88" s="4" t="s">
        <v>716</v>
      </c>
      <c r="AD88" s="3" t="s">
        <v>616</v>
      </c>
      <c r="AE88" s="3">
        <v>5000</v>
      </c>
      <c r="AI88" s="4" t="s">
        <v>719</v>
      </c>
      <c r="AJ88" s="4" t="s">
        <v>719</v>
      </c>
      <c r="AL88" s="4">
        <v>140849</v>
      </c>
      <c r="AM88" s="5">
        <v>430199.89</v>
      </c>
      <c r="AN88" s="4" t="s">
        <v>31</v>
      </c>
      <c r="AO88" s="4">
        <v>99</v>
      </c>
    </row>
    <row r="89" spans="1:41" x14ac:dyDescent="0.25">
      <c r="A89" s="3">
        <v>4602763</v>
      </c>
      <c r="B89" s="3" t="s">
        <v>902</v>
      </c>
      <c r="C89" s="3" t="s">
        <v>797</v>
      </c>
      <c r="D89" s="3">
        <v>10002669</v>
      </c>
      <c r="E89" s="4">
        <v>4532114</v>
      </c>
      <c r="F89" s="3" t="s">
        <v>19</v>
      </c>
      <c r="G89" s="4" t="s">
        <v>915</v>
      </c>
      <c r="H89" s="4" t="s">
        <v>916</v>
      </c>
      <c r="I89" s="5">
        <v>293975</v>
      </c>
      <c r="J89" s="3" t="s">
        <v>902</v>
      </c>
      <c r="K89" s="3" t="s">
        <v>518</v>
      </c>
      <c r="M89" s="4" t="s">
        <v>916</v>
      </c>
      <c r="N89" s="3" t="s">
        <v>25</v>
      </c>
      <c r="Y89" s="4" t="s">
        <v>808</v>
      </c>
      <c r="Z89" s="4" t="s">
        <v>808</v>
      </c>
      <c r="AD89" s="3" t="s">
        <v>616</v>
      </c>
      <c r="AE89" s="3">
        <v>5000</v>
      </c>
      <c r="AI89" s="4" t="s">
        <v>810</v>
      </c>
      <c r="AJ89" s="4" t="s">
        <v>810</v>
      </c>
      <c r="AL89" s="4">
        <v>140672</v>
      </c>
      <c r="AM89" s="5">
        <v>293975</v>
      </c>
      <c r="AN89" s="4" t="s">
        <v>31</v>
      </c>
      <c r="AO89" s="4">
        <v>99</v>
      </c>
    </row>
    <row r="90" spans="1:41" x14ac:dyDescent="0.25">
      <c r="A90" s="3">
        <v>4602764</v>
      </c>
      <c r="B90" s="3" t="s">
        <v>72</v>
      </c>
      <c r="C90" s="3" t="s">
        <v>797</v>
      </c>
      <c r="D90" s="3">
        <v>10002673</v>
      </c>
      <c r="E90" s="4">
        <v>4532115</v>
      </c>
      <c r="F90" s="3" t="s">
        <v>19</v>
      </c>
      <c r="G90" s="4" t="s">
        <v>836</v>
      </c>
      <c r="H90" s="4" t="s">
        <v>917</v>
      </c>
      <c r="I90" s="5">
        <v>320902.42</v>
      </c>
      <c r="J90" s="3" t="s">
        <v>902</v>
      </c>
      <c r="K90" s="3" t="s">
        <v>321</v>
      </c>
      <c r="M90" s="4" t="s">
        <v>917</v>
      </c>
      <c r="N90" s="3" t="s">
        <v>25</v>
      </c>
      <c r="Y90" s="4" t="s">
        <v>808</v>
      </c>
      <c r="Z90" s="4" t="s">
        <v>808</v>
      </c>
      <c r="AD90" s="3" t="s">
        <v>616</v>
      </c>
      <c r="AE90" s="3">
        <v>5000</v>
      </c>
      <c r="AI90" s="4" t="s">
        <v>810</v>
      </c>
      <c r="AJ90" s="4" t="s">
        <v>810</v>
      </c>
      <c r="AL90" s="4">
        <v>51366</v>
      </c>
      <c r="AM90" s="5">
        <v>320902.42</v>
      </c>
      <c r="AN90" s="4" t="s">
        <v>31</v>
      </c>
      <c r="AO90" s="4">
        <v>99</v>
      </c>
    </row>
    <row r="91" spans="1:41" x14ac:dyDescent="0.25">
      <c r="A91" s="3">
        <v>4602765</v>
      </c>
      <c r="B91" s="3" t="s">
        <v>902</v>
      </c>
      <c r="C91" s="3" t="s">
        <v>797</v>
      </c>
      <c r="D91" s="3">
        <v>10002670</v>
      </c>
      <c r="E91" s="4">
        <v>4532116</v>
      </c>
      <c r="F91" s="3" t="s">
        <v>19</v>
      </c>
      <c r="G91" s="4" t="s">
        <v>918</v>
      </c>
      <c r="H91" s="4" t="s">
        <v>919</v>
      </c>
      <c r="I91" s="5">
        <v>296780</v>
      </c>
      <c r="J91" s="3" t="s">
        <v>902</v>
      </c>
      <c r="K91" s="3" t="s">
        <v>807</v>
      </c>
      <c r="M91" s="4" t="s">
        <v>919</v>
      </c>
      <c r="N91" s="3" t="s">
        <v>25</v>
      </c>
      <c r="Y91" s="4" t="s">
        <v>808</v>
      </c>
      <c r="Z91" s="4" t="s">
        <v>808</v>
      </c>
      <c r="AD91" s="3" t="s">
        <v>616</v>
      </c>
      <c r="AE91" s="3">
        <v>5000</v>
      </c>
      <c r="AI91" s="4" t="s">
        <v>810</v>
      </c>
      <c r="AJ91" s="4" t="s">
        <v>810</v>
      </c>
      <c r="AL91" s="4">
        <v>140785</v>
      </c>
      <c r="AM91" s="5">
        <v>296780</v>
      </c>
      <c r="AN91" s="4" t="s">
        <v>31</v>
      </c>
      <c r="AO91" s="4">
        <v>99</v>
      </c>
    </row>
    <row r="92" spans="1:41" x14ac:dyDescent="0.25">
      <c r="A92" s="3">
        <v>4602766</v>
      </c>
      <c r="B92" s="3" t="s">
        <v>72</v>
      </c>
      <c r="C92" s="3" t="s">
        <v>797</v>
      </c>
      <c r="D92" s="3">
        <v>10002648</v>
      </c>
      <c r="E92" s="4">
        <v>4532117</v>
      </c>
      <c r="F92" s="3" t="s">
        <v>19</v>
      </c>
      <c r="G92" s="4" t="s">
        <v>920</v>
      </c>
      <c r="H92" s="4" t="s">
        <v>921</v>
      </c>
      <c r="I92" s="5">
        <v>387747.37</v>
      </c>
      <c r="J92" s="3" t="s">
        <v>823</v>
      </c>
      <c r="K92" s="3" t="s">
        <v>901</v>
      </c>
      <c r="M92" s="4" t="s">
        <v>921</v>
      </c>
      <c r="N92" s="3" t="s">
        <v>25</v>
      </c>
      <c r="Y92" s="4" t="s">
        <v>716</v>
      </c>
      <c r="Z92" s="4" t="s">
        <v>716</v>
      </c>
      <c r="AD92" s="3" t="s">
        <v>616</v>
      </c>
      <c r="AE92" s="3">
        <v>5000</v>
      </c>
      <c r="AI92" s="4" t="s">
        <v>719</v>
      </c>
      <c r="AJ92" s="4" t="s">
        <v>719</v>
      </c>
      <c r="AL92" s="4">
        <v>140850</v>
      </c>
      <c r="AM92" s="5">
        <v>387747.37</v>
      </c>
      <c r="AN92" s="4" t="s">
        <v>31</v>
      </c>
      <c r="AO92" s="4">
        <v>99</v>
      </c>
    </row>
    <row r="93" spans="1:41" x14ac:dyDescent="0.25">
      <c r="A93" s="3">
        <v>4602769</v>
      </c>
      <c r="B93" s="3" t="s">
        <v>820</v>
      </c>
      <c r="C93" s="3" t="s">
        <v>797</v>
      </c>
      <c r="D93" s="3">
        <v>10002621</v>
      </c>
      <c r="E93" s="4">
        <v>4532120</v>
      </c>
      <c r="F93" s="3" t="s">
        <v>19</v>
      </c>
      <c r="G93" s="4" t="s">
        <v>844</v>
      </c>
      <c r="H93" s="4" t="s">
        <v>922</v>
      </c>
      <c r="I93" s="5">
        <v>300014.90999999997</v>
      </c>
      <c r="J93" s="3" t="s">
        <v>828</v>
      </c>
      <c r="K93" s="3" t="s">
        <v>479</v>
      </c>
      <c r="M93" s="4" t="s">
        <v>922</v>
      </c>
      <c r="N93" s="3" t="s">
        <v>25</v>
      </c>
      <c r="Y93" s="4" t="s">
        <v>716</v>
      </c>
      <c r="Z93" s="4" t="s">
        <v>716</v>
      </c>
      <c r="AD93" s="3" t="s">
        <v>616</v>
      </c>
      <c r="AE93" s="3">
        <v>5000</v>
      </c>
      <c r="AI93" s="4" t="s">
        <v>719</v>
      </c>
      <c r="AJ93" s="4" t="s">
        <v>719</v>
      </c>
      <c r="AL93" s="4">
        <v>50787</v>
      </c>
      <c r="AM93" s="5">
        <v>300014.90999999997</v>
      </c>
      <c r="AN93" s="4" t="s">
        <v>31</v>
      </c>
      <c r="AO93" s="4">
        <v>99</v>
      </c>
    </row>
    <row r="94" spans="1:41" x14ac:dyDescent="0.25">
      <c r="A94" s="3">
        <v>4602772</v>
      </c>
      <c r="B94" s="3" t="s">
        <v>72</v>
      </c>
      <c r="C94" s="3" t="s">
        <v>797</v>
      </c>
      <c r="D94" s="3">
        <v>10002655</v>
      </c>
      <c r="E94" s="4">
        <v>4532123</v>
      </c>
      <c r="F94" s="3" t="s">
        <v>19</v>
      </c>
      <c r="G94" s="4" t="s">
        <v>923</v>
      </c>
      <c r="H94" s="4" t="s">
        <v>924</v>
      </c>
      <c r="I94" s="5">
        <v>297000</v>
      </c>
      <c r="J94" s="3" t="s">
        <v>823</v>
      </c>
      <c r="K94" s="3" t="s">
        <v>901</v>
      </c>
      <c r="M94" s="4" t="s">
        <v>924</v>
      </c>
      <c r="N94" s="3" t="s">
        <v>25</v>
      </c>
      <c r="Y94" s="4" t="s">
        <v>808</v>
      </c>
      <c r="Z94" s="4" t="s">
        <v>808</v>
      </c>
      <c r="AD94" s="3" t="s">
        <v>925</v>
      </c>
      <c r="AE94" s="3">
        <v>5000</v>
      </c>
      <c r="AI94" s="4" t="s">
        <v>810</v>
      </c>
      <c r="AJ94" s="4" t="s">
        <v>810</v>
      </c>
      <c r="AL94" s="4">
        <v>41082</v>
      </c>
      <c r="AM94" s="5">
        <v>297000</v>
      </c>
      <c r="AN94" s="4" t="s">
        <v>31</v>
      </c>
      <c r="AO94" s="4">
        <v>99</v>
      </c>
    </row>
    <row r="95" spans="1:41" x14ac:dyDescent="0.25">
      <c r="A95" s="3">
        <v>4602773</v>
      </c>
      <c r="B95" s="3" t="s">
        <v>72</v>
      </c>
      <c r="C95" s="3" t="s">
        <v>797</v>
      </c>
      <c r="D95" s="3">
        <v>10002656</v>
      </c>
      <c r="E95" s="4">
        <v>4532124</v>
      </c>
      <c r="F95" s="3" t="s">
        <v>19</v>
      </c>
      <c r="G95" s="4" t="s">
        <v>926</v>
      </c>
      <c r="H95" s="4" t="s">
        <v>927</v>
      </c>
      <c r="I95" s="5">
        <v>316329.67</v>
      </c>
      <c r="J95" s="3" t="s">
        <v>823</v>
      </c>
      <c r="K95" s="3" t="s">
        <v>324</v>
      </c>
      <c r="M95" s="4" t="s">
        <v>927</v>
      </c>
      <c r="N95" s="3" t="s">
        <v>25</v>
      </c>
      <c r="Y95" s="4" t="s">
        <v>907</v>
      </c>
      <c r="Z95" s="4" t="s">
        <v>808</v>
      </c>
      <c r="AD95" s="3" t="s">
        <v>928</v>
      </c>
      <c r="AE95" s="3">
        <v>5000</v>
      </c>
      <c r="AI95" s="4" t="s">
        <v>908</v>
      </c>
      <c r="AJ95" s="4" t="s">
        <v>810</v>
      </c>
      <c r="AL95" s="4">
        <v>140854</v>
      </c>
      <c r="AM95" s="5">
        <v>316329.67</v>
      </c>
      <c r="AN95" s="4" t="s">
        <v>31</v>
      </c>
      <c r="AO95" s="4">
        <v>99</v>
      </c>
    </row>
    <row r="96" spans="1:41" x14ac:dyDescent="0.25">
      <c r="A96" s="3">
        <v>4602776</v>
      </c>
      <c r="B96" s="3" t="s">
        <v>72</v>
      </c>
      <c r="C96" s="3" t="s">
        <v>797</v>
      </c>
      <c r="D96" s="3">
        <v>10002647</v>
      </c>
      <c r="E96" s="4">
        <v>4532127</v>
      </c>
      <c r="F96" s="3" t="s">
        <v>19</v>
      </c>
      <c r="G96" s="4" t="s">
        <v>929</v>
      </c>
      <c r="H96" s="4" t="s">
        <v>930</v>
      </c>
      <c r="I96" s="5">
        <v>480480</v>
      </c>
      <c r="J96" s="3" t="s">
        <v>823</v>
      </c>
      <c r="K96" s="3" t="s">
        <v>901</v>
      </c>
      <c r="M96" s="4" t="s">
        <v>930</v>
      </c>
      <c r="N96" s="3" t="s">
        <v>25</v>
      </c>
      <c r="Y96" s="4" t="s">
        <v>716</v>
      </c>
      <c r="Z96" s="4" t="s">
        <v>716</v>
      </c>
      <c r="AD96" s="3" t="s">
        <v>925</v>
      </c>
      <c r="AE96" s="3">
        <v>5000</v>
      </c>
      <c r="AI96" s="4" t="s">
        <v>719</v>
      </c>
      <c r="AJ96" s="4" t="s">
        <v>719</v>
      </c>
      <c r="AL96" s="4">
        <v>140851</v>
      </c>
      <c r="AM96" s="5">
        <v>480480</v>
      </c>
      <c r="AN96" s="4" t="s">
        <v>31</v>
      </c>
      <c r="AO96" s="4">
        <v>99</v>
      </c>
    </row>
    <row r="97" spans="1:41" x14ac:dyDescent="0.25">
      <c r="A97" s="3">
        <v>4602788</v>
      </c>
      <c r="B97" s="3" t="s">
        <v>828</v>
      </c>
      <c r="C97" s="3" t="s">
        <v>797</v>
      </c>
      <c r="D97" s="3">
        <v>10002684</v>
      </c>
      <c r="E97" s="4">
        <v>4532139</v>
      </c>
      <c r="F97" s="3" t="s">
        <v>19</v>
      </c>
      <c r="G97" s="4" t="s">
        <v>883</v>
      </c>
      <c r="H97" s="4" t="s">
        <v>931</v>
      </c>
      <c r="I97" s="5">
        <v>254595</v>
      </c>
      <c r="J97" s="3" t="s">
        <v>925</v>
      </c>
      <c r="K97" s="3" t="s">
        <v>932</v>
      </c>
      <c r="M97" s="4" t="s">
        <v>931</v>
      </c>
      <c r="N97" s="3" t="s">
        <v>25</v>
      </c>
      <c r="Y97" s="4" t="s">
        <v>933</v>
      </c>
      <c r="Z97" s="4" t="s">
        <v>808</v>
      </c>
      <c r="AD97" s="3" t="s">
        <v>896</v>
      </c>
      <c r="AE97" s="3">
        <v>5000</v>
      </c>
      <c r="AI97" s="4" t="s">
        <v>934</v>
      </c>
      <c r="AJ97" s="4" t="s">
        <v>810</v>
      </c>
      <c r="AL97" s="4">
        <v>140796</v>
      </c>
      <c r="AM97" s="5">
        <v>254595</v>
      </c>
      <c r="AN97" s="4" t="s">
        <v>31</v>
      </c>
      <c r="AO97" s="4">
        <v>99</v>
      </c>
    </row>
    <row r="98" spans="1:41" x14ac:dyDescent="0.25">
      <c r="A98" s="3">
        <v>4602793</v>
      </c>
      <c r="B98" s="3" t="s">
        <v>72</v>
      </c>
      <c r="C98" s="3" t="s">
        <v>797</v>
      </c>
      <c r="D98" s="3">
        <v>10002650</v>
      </c>
      <c r="E98" s="4">
        <v>4532144</v>
      </c>
      <c r="F98" s="3" t="s">
        <v>19</v>
      </c>
      <c r="G98" s="4" t="s">
        <v>935</v>
      </c>
      <c r="H98" s="4" t="s">
        <v>936</v>
      </c>
      <c r="I98" s="5">
        <v>434337.2</v>
      </c>
      <c r="J98" s="3" t="s">
        <v>823</v>
      </c>
      <c r="K98" s="3" t="s">
        <v>901</v>
      </c>
      <c r="M98" s="4" t="s">
        <v>936</v>
      </c>
      <c r="N98" s="3" t="s">
        <v>25</v>
      </c>
      <c r="Y98" s="4" t="s">
        <v>716</v>
      </c>
      <c r="Z98" s="4" t="s">
        <v>808</v>
      </c>
      <c r="AD98" s="3" t="s">
        <v>937</v>
      </c>
      <c r="AE98" s="3">
        <v>5000</v>
      </c>
      <c r="AI98" s="4" t="s">
        <v>719</v>
      </c>
      <c r="AJ98" s="4" t="s">
        <v>810</v>
      </c>
      <c r="AL98" s="4">
        <v>50896</v>
      </c>
      <c r="AM98" s="5">
        <v>434337.2</v>
      </c>
      <c r="AN98" s="4" t="s">
        <v>31</v>
      </c>
      <c r="AO98" s="4">
        <v>99</v>
      </c>
    </row>
    <row r="99" spans="1:41" x14ac:dyDescent="0.25">
      <c r="A99" s="3">
        <v>4602809</v>
      </c>
      <c r="B99" s="3" t="s">
        <v>937</v>
      </c>
      <c r="C99" s="3" t="s">
        <v>797</v>
      </c>
      <c r="D99" s="3">
        <v>10002699</v>
      </c>
      <c r="E99" s="4">
        <v>4532160</v>
      </c>
      <c r="F99" s="3" t="s">
        <v>19</v>
      </c>
      <c r="G99" s="4" t="s">
        <v>938</v>
      </c>
      <c r="H99" s="4" t="s">
        <v>939</v>
      </c>
      <c r="I99" s="5">
        <v>413457</v>
      </c>
      <c r="J99" s="3" t="s">
        <v>937</v>
      </c>
      <c r="K99" s="3" t="s">
        <v>498</v>
      </c>
      <c r="M99" s="4" t="s">
        <v>939</v>
      </c>
      <c r="N99" s="3" t="s">
        <v>25</v>
      </c>
      <c r="Y99" s="4" t="s">
        <v>716</v>
      </c>
      <c r="Z99" s="4" t="s">
        <v>716</v>
      </c>
      <c r="AD99" s="3" t="s">
        <v>610</v>
      </c>
      <c r="AE99" s="3">
        <v>5000</v>
      </c>
      <c r="AI99" s="4" t="s">
        <v>719</v>
      </c>
      <c r="AJ99" s="4" t="s">
        <v>719</v>
      </c>
      <c r="AL99" s="4">
        <v>50379</v>
      </c>
      <c r="AM99" s="5">
        <v>413457</v>
      </c>
      <c r="AN99" s="4" t="s">
        <v>31</v>
      </c>
      <c r="AO99" s="4">
        <v>99</v>
      </c>
    </row>
    <row r="100" spans="1:41" x14ac:dyDescent="0.25">
      <c r="A100" s="3">
        <v>4602815</v>
      </c>
      <c r="B100" s="3" t="s">
        <v>902</v>
      </c>
      <c r="C100" s="3" t="s">
        <v>797</v>
      </c>
      <c r="D100" s="3">
        <v>10002672</v>
      </c>
      <c r="E100" s="4">
        <v>4532166</v>
      </c>
      <c r="F100" s="3" t="s">
        <v>19</v>
      </c>
      <c r="G100" s="4" t="s">
        <v>940</v>
      </c>
      <c r="H100" s="4" t="s">
        <v>941</v>
      </c>
      <c r="I100" s="5">
        <v>440000</v>
      </c>
      <c r="J100" s="3" t="s">
        <v>902</v>
      </c>
      <c r="K100" s="3" t="s">
        <v>807</v>
      </c>
      <c r="M100" s="4" t="s">
        <v>941</v>
      </c>
      <c r="N100" s="3" t="s">
        <v>25</v>
      </c>
      <c r="Y100" s="4" t="s">
        <v>846</v>
      </c>
      <c r="Z100" s="4" t="s">
        <v>808</v>
      </c>
      <c r="AD100" s="3" t="s">
        <v>847</v>
      </c>
      <c r="AE100" s="3">
        <v>5000</v>
      </c>
      <c r="AI100" s="4" t="s">
        <v>848</v>
      </c>
      <c r="AJ100" s="4" t="s">
        <v>810</v>
      </c>
      <c r="AL100" s="4">
        <v>140869</v>
      </c>
      <c r="AM100" s="5">
        <v>440000</v>
      </c>
      <c r="AN100" s="4" t="s">
        <v>31</v>
      </c>
      <c r="AO100" s="4">
        <v>99</v>
      </c>
    </row>
    <row r="101" spans="1:41" x14ac:dyDescent="0.25">
      <c r="A101" s="3">
        <v>4603062</v>
      </c>
      <c r="B101" s="3" t="s">
        <v>942</v>
      </c>
      <c r="C101" s="3" t="s">
        <v>797</v>
      </c>
      <c r="D101" s="3">
        <v>10002903</v>
      </c>
      <c r="E101" s="4">
        <v>4532413</v>
      </c>
      <c r="F101" s="3" t="s">
        <v>19</v>
      </c>
      <c r="G101" s="4" t="s">
        <v>702</v>
      </c>
      <c r="H101" s="4" t="s">
        <v>943</v>
      </c>
      <c r="I101" s="5">
        <v>462394.95</v>
      </c>
      <c r="J101" s="3" t="s">
        <v>942</v>
      </c>
      <c r="K101" s="3" t="s">
        <v>901</v>
      </c>
      <c r="M101" s="4" t="s">
        <v>943</v>
      </c>
      <c r="N101" s="3" t="s">
        <v>25</v>
      </c>
      <c r="Y101" s="4" t="s">
        <v>716</v>
      </c>
      <c r="Z101" s="4" t="s">
        <v>716</v>
      </c>
      <c r="AD101" s="3" t="s">
        <v>944</v>
      </c>
      <c r="AE101" s="3">
        <v>5000</v>
      </c>
      <c r="AI101" s="4" t="s">
        <v>719</v>
      </c>
      <c r="AJ101" s="4" t="s">
        <v>719</v>
      </c>
      <c r="AL101" s="4">
        <v>47998</v>
      </c>
      <c r="AM101" s="5">
        <v>462394.95</v>
      </c>
      <c r="AN101" s="4" t="s">
        <v>31</v>
      </c>
      <c r="AO101" s="4">
        <v>99</v>
      </c>
    </row>
    <row r="102" spans="1:41" x14ac:dyDescent="0.25">
      <c r="A102" s="3">
        <v>4603185</v>
      </c>
      <c r="B102" s="3" t="s">
        <v>98</v>
      </c>
      <c r="C102" s="3" t="s">
        <v>797</v>
      </c>
      <c r="D102" s="3">
        <v>10003038</v>
      </c>
      <c r="E102" s="4">
        <v>4532536</v>
      </c>
      <c r="F102" s="3" t="s">
        <v>19</v>
      </c>
      <c r="G102" s="4" t="s">
        <v>945</v>
      </c>
      <c r="H102" s="4" t="s">
        <v>946</v>
      </c>
      <c r="I102" s="5">
        <v>1167851.04</v>
      </c>
      <c r="J102" s="3" t="s">
        <v>98</v>
      </c>
      <c r="K102" s="3" t="s">
        <v>807</v>
      </c>
      <c r="M102" s="4" t="s">
        <v>946</v>
      </c>
      <c r="N102" s="3" t="s">
        <v>25</v>
      </c>
      <c r="Y102" s="4" t="s">
        <v>716</v>
      </c>
      <c r="Z102" s="4" t="s">
        <v>716</v>
      </c>
      <c r="AD102" s="3" t="s">
        <v>317</v>
      </c>
      <c r="AE102" s="3">
        <v>5000</v>
      </c>
      <c r="AI102" s="4" t="s">
        <v>719</v>
      </c>
      <c r="AJ102" s="4" t="s">
        <v>719</v>
      </c>
      <c r="AL102" s="4">
        <v>140985</v>
      </c>
      <c r="AM102" s="5">
        <v>1167851.04</v>
      </c>
      <c r="AN102" s="4" t="s">
        <v>31</v>
      </c>
      <c r="AO102" s="4">
        <v>99</v>
      </c>
    </row>
    <row r="103" spans="1:41" x14ac:dyDescent="0.25">
      <c r="A103" s="3">
        <v>4603284</v>
      </c>
      <c r="B103" s="3" t="s">
        <v>947</v>
      </c>
      <c r="C103" s="3" t="s">
        <v>797</v>
      </c>
      <c r="D103" s="3">
        <v>10002966</v>
      </c>
      <c r="E103" s="4">
        <v>4532635</v>
      </c>
      <c r="F103" s="3" t="s">
        <v>19</v>
      </c>
      <c r="G103" s="4" t="s">
        <v>948</v>
      </c>
      <c r="H103" s="4" t="s">
        <v>949</v>
      </c>
      <c r="I103" s="5">
        <v>573192.4</v>
      </c>
      <c r="J103" s="3" t="s">
        <v>950</v>
      </c>
      <c r="K103" s="3" t="s">
        <v>951</v>
      </c>
      <c r="M103" s="4" t="s">
        <v>949</v>
      </c>
      <c r="N103" s="3" t="s">
        <v>25</v>
      </c>
      <c r="Y103" s="4" t="s">
        <v>846</v>
      </c>
      <c r="Z103" s="4" t="s">
        <v>808</v>
      </c>
      <c r="AD103" s="3" t="s">
        <v>847</v>
      </c>
      <c r="AE103" s="3">
        <v>5000</v>
      </c>
      <c r="AI103" s="4" t="s">
        <v>848</v>
      </c>
      <c r="AJ103" s="4" t="s">
        <v>810</v>
      </c>
      <c r="AL103" s="4">
        <v>140941</v>
      </c>
      <c r="AM103" s="5">
        <v>573192.4</v>
      </c>
      <c r="AN103" s="4" t="s">
        <v>31</v>
      </c>
      <c r="AO103" s="4">
        <v>99</v>
      </c>
    </row>
    <row r="104" spans="1:41" x14ac:dyDescent="0.25">
      <c r="A104" s="3">
        <v>4603395</v>
      </c>
      <c r="B104" s="3" t="s">
        <v>952</v>
      </c>
      <c r="C104" s="3" t="s">
        <v>797</v>
      </c>
      <c r="D104" s="3">
        <v>10003204</v>
      </c>
      <c r="E104" s="4">
        <v>4532746</v>
      </c>
      <c r="F104" s="3" t="s">
        <v>19</v>
      </c>
      <c r="G104" s="4" t="s">
        <v>655</v>
      </c>
      <c r="H104" s="4" t="s">
        <v>953</v>
      </c>
      <c r="I104" s="5">
        <v>440112.66</v>
      </c>
      <c r="J104" s="3" t="s">
        <v>954</v>
      </c>
      <c r="K104" s="3" t="s">
        <v>901</v>
      </c>
      <c r="M104" s="4" t="s">
        <v>953</v>
      </c>
      <c r="N104" s="3" t="s">
        <v>25</v>
      </c>
      <c r="Y104" s="4" t="s">
        <v>716</v>
      </c>
      <c r="Z104" s="4" t="s">
        <v>716</v>
      </c>
      <c r="AD104" s="3" t="s">
        <v>317</v>
      </c>
      <c r="AE104" s="3">
        <v>5000</v>
      </c>
      <c r="AI104" s="4" t="s">
        <v>719</v>
      </c>
      <c r="AJ104" s="4" t="s">
        <v>719</v>
      </c>
      <c r="AL104" s="4">
        <v>31060</v>
      </c>
      <c r="AM104" s="5">
        <v>440112.66</v>
      </c>
      <c r="AN104" s="4" t="s">
        <v>31</v>
      </c>
      <c r="AO104" s="4">
        <v>99</v>
      </c>
    </row>
    <row r="105" spans="1:41" x14ac:dyDescent="0.25">
      <c r="A105" s="3">
        <v>4603612</v>
      </c>
      <c r="B105" s="3" t="s">
        <v>955</v>
      </c>
      <c r="C105" s="3" t="s">
        <v>797</v>
      </c>
      <c r="D105" s="3">
        <v>10003437</v>
      </c>
      <c r="E105" s="4">
        <v>4532963</v>
      </c>
      <c r="F105" s="3" t="s">
        <v>19</v>
      </c>
      <c r="G105" s="4" t="s">
        <v>956</v>
      </c>
      <c r="H105" s="4" t="s">
        <v>957</v>
      </c>
      <c r="I105" s="5">
        <v>389388.78</v>
      </c>
      <c r="J105" s="3" t="s">
        <v>958</v>
      </c>
      <c r="K105" s="3" t="s">
        <v>901</v>
      </c>
      <c r="M105" s="4" t="s">
        <v>957</v>
      </c>
      <c r="N105" s="3" t="s">
        <v>25</v>
      </c>
      <c r="Y105" s="4" t="s">
        <v>716</v>
      </c>
      <c r="Z105" s="4" t="s">
        <v>716</v>
      </c>
      <c r="AD105" s="3" t="s">
        <v>955</v>
      </c>
      <c r="AE105" s="3">
        <v>5000</v>
      </c>
      <c r="AI105" s="4" t="s">
        <v>719</v>
      </c>
      <c r="AJ105" s="4" t="s">
        <v>719</v>
      </c>
      <c r="AL105" s="4">
        <v>141220</v>
      </c>
      <c r="AM105" s="5">
        <v>389388.78</v>
      </c>
      <c r="AN105" s="4" t="s">
        <v>31</v>
      </c>
      <c r="AO105" s="4">
        <v>99</v>
      </c>
    </row>
    <row r="106" spans="1:41" x14ac:dyDescent="0.25">
      <c r="A106" s="3">
        <v>4603650</v>
      </c>
      <c r="B106" s="3" t="s">
        <v>959</v>
      </c>
      <c r="C106" s="3" t="s">
        <v>797</v>
      </c>
      <c r="D106" s="3">
        <v>10003438</v>
      </c>
      <c r="E106" s="4">
        <v>4533001</v>
      </c>
      <c r="F106" s="3" t="s">
        <v>19</v>
      </c>
      <c r="G106" s="4" t="s">
        <v>960</v>
      </c>
      <c r="H106" s="4" t="s">
        <v>961</v>
      </c>
      <c r="I106" s="5">
        <v>383884.6</v>
      </c>
      <c r="J106" s="3" t="s">
        <v>958</v>
      </c>
      <c r="K106" s="3" t="s">
        <v>901</v>
      </c>
      <c r="M106" s="4" t="s">
        <v>961</v>
      </c>
      <c r="N106" s="3" t="s">
        <v>25</v>
      </c>
      <c r="Y106" s="4" t="s">
        <v>178</v>
      </c>
      <c r="Z106" s="4" t="s">
        <v>178</v>
      </c>
      <c r="AD106" s="3" t="s">
        <v>959</v>
      </c>
      <c r="AE106" s="3">
        <v>5000</v>
      </c>
      <c r="AI106" s="4" t="s">
        <v>181</v>
      </c>
      <c r="AJ106" s="4" t="s">
        <v>181</v>
      </c>
      <c r="AL106" s="4">
        <v>47621</v>
      </c>
      <c r="AM106" s="5">
        <v>383884.6</v>
      </c>
      <c r="AN106" s="4" t="s">
        <v>31</v>
      </c>
      <c r="AO106" s="4">
        <v>97</v>
      </c>
    </row>
    <row r="107" spans="1:41" x14ac:dyDescent="0.25">
      <c r="A107" s="3">
        <v>4603972</v>
      </c>
      <c r="B107" s="3" t="s">
        <v>150</v>
      </c>
      <c r="C107" s="3" t="s">
        <v>797</v>
      </c>
      <c r="D107" s="3">
        <v>10003711</v>
      </c>
      <c r="E107" s="4">
        <v>4533323</v>
      </c>
      <c r="F107" s="3" t="s">
        <v>19</v>
      </c>
      <c r="G107" s="4" t="s">
        <v>962</v>
      </c>
      <c r="H107" s="4" t="s">
        <v>963</v>
      </c>
      <c r="I107" s="5">
        <v>273350</v>
      </c>
      <c r="J107" s="3" t="s">
        <v>150</v>
      </c>
      <c r="K107" s="3" t="s">
        <v>498</v>
      </c>
      <c r="M107" s="4" t="s">
        <v>964</v>
      </c>
      <c r="N107" s="3" t="s">
        <v>25</v>
      </c>
      <c r="Y107" s="4" t="s">
        <v>846</v>
      </c>
      <c r="Z107" s="4" t="s">
        <v>846</v>
      </c>
      <c r="AD107" s="3" t="s">
        <v>965</v>
      </c>
      <c r="AE107" s="3">
        <v>5000</v>
      </c>
      <c r="AI107" s="4" t="s">
        <v>848</v>
      </c>
      <c r="AJ107" s="4" t="s">
        <v>848</v>
      </c>
      <c r="AL107" s="4">
        <v>141442</v>
      </c>
      <c r="AM107" s="5">
        <v>273350</v>
      </c>
      <c r="AN107" s="4" t="s">
        <v>31</v>
      </c>
      <c r="AO107" s="4">
        <v>99</v>
      </c>
    </row>
    <row r="108" spans="1:41" x14ac:dyDescent="0.25">
      <c r="A108" s="3">
        <v>4603973</v>
      </c>
      <c r="B108" s="3" t="s">
        <v>150</v>
      </c>
      <c r="C108" s="3" t="s">
        <v>797</v>
      </c>
      <c r="D108" s="3">
        <v>10003707</v>
      </c>
      <c r="E108" s="4">
        <v>4533324</v>
      </c>
      <c r="F108" s="3" t="s">
        <v>19</v>
      </c>
      <c r="G108" s="4" t="s">
        <v>966</v>
      </c>
      <c r="H108" s="4" t="s">
        <v>967</v>
      </c>
      <c r="I108" s="5">
        <v>313231.2</v>
      </c>
      <c r="J108" s="3" t="s">
        <v>150</v>
      </c>
      <c r="K108" s="3" t="s">
        <v>901</v>
      </c>
      <c r="M108" s="4" t="s">
        <v>968</v>
      </c>
      <c r="N108" s="3" t="s">
        <v>25</v>
      </c>
      <c r="Y108" s="4" t="s">
        <v>846</v>
      </c>
      <c r="Z108" s="4" t="s">
        <v>846</v>
      </c>
      <c r="AD108" s="3" t="s">
        <v>965</v>
      </c>
      <c r="AE108" s="3">
        <v>5000</v>
      </c>
      <c r="AI108" s="4" t="s">
        <v>848</v>
      </c>
      <c r="AJ108" s="4" t="s">
        <v>848</v>
      </c>
      <c r="AL108" s="4">
        <v>141444</v>
      </c>
      <c r="AM108" s="5">
        <v>313231.2</v>
      </c>
      <c r="AN108" s="4" t="s">
        <v>31</v>
      </c>
      <c r="AO108" s="4">
        <v>99</v>
      </c>
    </row>
    <row r="109" spans="1:41" x14ac:dyDescent="0.25">
      <c r="A109" s="3">
        <v>4603974</v>
      </c>
      <c r="B109" s="3" t="s">
        <v>150</v>
      </c>
      <c r="C109" s="3" t="s">
        <v>797</v>
      </c>
      <c r="D109" s="3">
        <v>10003706</v>
      </c>
      <c r="E109" s="4">
        <v>4533325</v>
      </c>
      <c r="F109" s="3" t="s">
        <v>19</v>
      </c>
      <c r="G109" s="4" t="s">
        <v>969</v>
      </c>
      <c r="H109" s="4" t="s">
        <v>970</v>
      </c>
      <c r="I109" s="5">
        <v>307726.76</v>
      </c>
      <c r="J109" s="3" t="s">
        <v>150</v>
      </c>
      <c r="K109" s="3" t="s">
        <v>901</v>
      </c>
      <c r="M109" s="4" t="s">
        <v>971</v>
      </c>
      <c r="N109" s="3" t="s">
        <v>25</v>
      </c>
      <c r="Y109" s="4" t="s">
        <v>846</v>
      </c>
      <c r="Z109" s="4" t="s">
        <v>846</v>
      </c>
      <c r="AD109" s="3" t="s">
        <v>965</v>
      </c>
      <c r="AE109" s="3">
        <v>5000</v>
      </c>
      <c r="AI109" s="4" t="s">
        <v>848</v>
      </c>
      <c r="AJ109" s="4" t="s">
        <v>848</v>
      </c>
      <c r="AL109" s="4">
        <v>141441</v>
      </c>
      <c r="AM109" s="5">
        <v>307726.76</v>
      </c>
      <c r="AN109" s="4" t="s">
        <v>31</v>
      </c>
      <c r="AO109" s="4">
        <v>99</v>
      </c>
    </row>
    <row r="110" spans="1:41" x14ac:dyDescent="0.25">
      <c r="A110" s="3">
        <v>4604053</v>
      </c>
      <c r="B110" s="3" t="s">
        <v>647</v>
      </c>
      <c r="C110" s="3" t="s">
        <v>797</v>
      </c>
      <c r="D110" s="3">
        <v>10003795</v>
      </c>
      <c r="E110" s="4">
        <v>4533404</v>
      </c>
      <c r="F110" s="3" t="s">
        <v>19</v>
      </c>
      <c r="G110" s="4" t="s">
        <v>972</v>
      </c>
      <c r="H110" s="4" t="s">
        <v>973</v>
      </c>
      <c r="I110" s="5">
        <v>313500</v>
      </c>
      <c r="J110" s="3" t="s">
        <v>645</v>
      </c>
      <c r="K110" s="3" t="s">
        <v>575</v>
      </c>
      <c r="M110" s="4" t="s">
        <v>973</v>
      </c>
      <c r="N110" s="3" t="s">
        <v>25</v>
      </c>
      <c r="Y110" s="4" t="s">
        <v>974</v>
      </c>
      <c r="Z110" s="4" t="s">
        <v>974</v>
      </c>
      <c r="AD110" s="3" t="s">
        <v>975</v>
      </c>
      <c r="AE110" s="3">
        <v>5000</v>
      </c>
      <c r="AI110" s="4" t="s">
        <v>976</v>
      </c>
      <c r="AJ110" s="4" t="s">
        <v>976</v>
      </c>
      <c r="AL110" s="4">
        <v>141527</v>
      </c>
      <c r="AM110" s="5">
        <v>313500</v>
      </c>
      <c r="AN110" s="4" t="s">
        <v>31</v>
      </c>
      <c r="AO110" s="4">
        <v>99</v>
      </c>
    </row>
    <row r="111" spans="1:41" x14ac:dyDescent="0.25">
      <c r="A111" s="3">
        <v>4604054</v>
      </c>
      <c r="B111" s="3" t="s">
        <v>647</v>
      </c>
      <c r="C111" s="3" t="s">
        <v>797</v>
      </c>
      <c r="D111" s="3">
        <v>10003789</v>
      </c>
      <c r="E111" s="4">
        <v>4533405</v>
      </c>
      <c r="F111" s="3" t="s">
        <v>19</v>
      </c>
      <c r="G111" s="4" t="s">
        <v>977</v>
      </c>
      <c r="H111" s="4" t="s">
        <v>978</v>
      </c>
      <c r="I111" s="5">
        <v>275000</v>
      </c>
      <c r="J111" s="3" t="s">
        <v>645</v>
      </c>
      <c r="K111" s="3" t="s">
        <v>575</v>
      </c>
      <c r="M111" s="4" t="s">
        <v>978</v>
      </c>
      <c r="N111" s="3" t="s">
        <v>25</v>
      </c>
      <c r="Y111" s="4" t="s">
        <v>974</v>
      </c>
      <c r="Z111" s="4" t="s">
        <v>974</v>
      </c>
      <c r="AD111" s="3" t="s">
        <v>975</v>
      </c>
      <c r="AE111" s="3">
        <v>5000</v>
      </c>
      <c r="AI111" s="4" t="s">
        <v>976</v>
      </c>
      <c r="AJ111" s="4" t="s">
        <v>976</v>
      </c>
      <c r="AL111" s="4">
        <v>31076</v>
      </c>
      <c r="AM111" s="5">
        <v>275000</v>
      </c>
      <c r="AN111" s="4" t="s">
        <v>31</v>
      </c>
      <c r="AO111" s="4">
        <v>99</v>
      </c>
    </row>
    <row r="112" spans="1:41" x14ac:dyDescent="0.25">
      <c r="A112" s="3">
        <v>4604055</v>
      </c>
      <c r="B112" s="3" t="s">
        <v>647</v>
      </c>
      <c r="C112" s="3" t="s">
        <v>797</v>
      </c>
      <c r="D112" s="3">
        <v>10003798</v>
      </c>
      <c r="E112" s="4">
        <v>4533406</v>
      </c>
      <c r="F112" s="3" t="s">
        <v>19</v>
      </c>
      <c r="G112" s="4" t="s">
        <v>979</v>
      </c>
      <c r="H112" s="4" t="s">
        <v>980</v>
      </c>
      <c r="I112" s="5">
        <v>313496.7</v>
      </c>
      <c r="J112" s="3" t="s">
        <v>647</v>
      </c>
      <c r="K112" s="3" t="s">
        <v>575</v>
      </c>
      <c r="M112" s="4" t="s">
        <v>980</v>
      </c>
      <c r="N112" s="3" t="s">
        <v>25</v>
      </c>
      <c r="Y112" s="4" t="s">
        <v>974</v>
      </c>
      <c r="Z112" s="4" t="s">
        <v>974</v>
      </c>
      <c r="AD112" s="3" t="s">
        <v>975</v>
      </c>
      <c r="AE112" s="3">
        <v>5000</v>
      </c>
      <c r="AI112" s="4" t="s">
        <v>976</v>
      </c>
      <c r="AJ112" s="4" t="s">
        <v>976</v>
      </c>
      <c r="AL112" s="4">
        <v>141528</v>
      </c>
      <c r="AM112" s="5">
        <v>313496.7</v>
      </c>
      <c r="AN112" s="4" t="s">
        <v>31</v>
      </c>
      <c r="AO112" s="4">
        <v>99</v>
      </c>
    </row>
    <row r="113" spans="1:41" x14ac:dyDescent="0.25">
      <c r="A113" s="3">
        <v>4604056</v>
      </c>
      <c r="B113" s="3" t="s">
        <v>647</v>
      </c>
      <c r="C113" s="3" t="s">
        <v>797</v>
      </c>
      <c r="D113" s="3">
        <v>10003796</v>
      </c>
      <c r="E113" s="4">
        <v>4533407</v>
      </c>
      <c r="F113" s="3" t="s">
        <v>19</v>
      </c>
      <c r="G113" s="4" t="s">
        <v>812</v>
      </c>
      <c r="H113" s="4" t="s">
        <v>981</v>
      </c>
      <c r="I113" s="5">
        <v>703450</v>
      </c>
      <c r="J113" s="3" t="s">
        <v>645</v>
      </c>
      <c r="K113" s="3" t="s">
        <v>575</v>
      </c>
      <c r="M113" s="4" t="s">
        <v>981</v>
      </c>
      <c r="N113" s="3" t="s">
        <v>25</v>
      </c>
      <c r="Y113" s="4" t="s">
        <v>974</v>
      </c>
      <c r="Z113" s="4" t="s">
        <v>974</v>
      </c>
      <c r="AD113" s="3" t="s">
        <v>975</v>
      </c>
      <c r="AE113" s="3">
        <v>5000</v>
      </c>
      <c r="AI113" s="4" t="s">
        <v>976</v>
      </c>
      <c r="AJ113" s="4" t="s">
        <v>976</v>
      </c>
      <c r="AL113" s="4">
        <v>140786</v>
      </c>
      <c r="AM113" s="5">
        <v>703450</v>
      </c>
      <c r="AN113" s="4" t="s">
        <v>31</v>
      </c>
      <c r="AO113" s="4">
        <v>99</v>
      </c>
    </row>
    <row r="114" spans="1:41" x14ac:dyDescent="0.25">
      <c r="A114" s="3">
        <v>4604057</v>
      </c>
      <c r="B114" s="3" t="s">
        <v>645</v>
      </c>
      <c r="C114" s="3" t="s">
        <v>797</v>
      </c>
      <c r="D114" s="3">
        <v>10003794</v>
      </c>
      <c r="E114" s="4">
        <v>4533408</v>
      </c>
      <c r="F114" s="3" t="s">
        <v>19</v>
      </c>
      <c r="G114" s="4" t="s">
        <v>982</v>
      </c>
      <c r="H114" s="4" t="s">
        <v>983</v>
      </c>
      <c r="I114" s="5">
        <v>721168.8</v>
      </c>
      <c r="J114" s="3" t="s">
        <v>645</v>
      </c>
      <c r="K114" s="3" t="s">
        <v>575</v>
      </c>
      <c r="M114" s="4" t="s">
        <v>983</v>
      </c>
      <c r="N114" s="3" t="s">
        <v>25</v>
      </c>
      <c r="Y114" s="4" t="s">
        <v>974</v>
      </c>
      <c r="Z114" s="4" t="s">
        <v>974</v>
      </c>
      <c r="AD114" s="3" t="s">
        <v>975</v>
      </c>
      <c r="AE114" s="3">
        <v>5000</v>
      </c>
      <c r="AI114" s="4" t="s">
        <v>976</v>
      </c>
      <c r="AJ114" s="4" t="s">
        <v>976</v>
      </c>
      <c r="AL114" s="4">
        <v>141533</v>
      </c>
      <c r="AM114" s="5">
        <v>721168.8</v>
      </c>
      <c r="AN114" s="4" t="s">
        <v>31</v>
      </c>
      <c r="AO114" s="4">
        <v>99</v>
      </c>
    </row>
    <row r="115" spans="1:41" x14ac:dyDescent="0.25">
      <c r="A115" s="3">
        <v>4604062</v>
      </c>
      <c r="B115" s="3" t="s">
        <v>647</v>
      </c>
      <c r="C115" s="3" t="s">
        <v>797</v>
      </c>
      <c r="D115" s="3">
        <v>10003803</v>
      </c>
      <c r="E115" s="4">
        <v>4533413</v>
      </c>
      <c r="F115" s="3" t="s">
        <v>19</v>
      </c>
      <c r="G115" s="4" t="s">
        <v>984</v>
      </c>
      <c r="H115" s="4" t="s">
        <v>985</v>
      </c>
      <c r="I115" s="5">
        <v>615890</v>
      </c>
      <c r="J115" s="3" t="s">
        <v>645</v>
      </c>
      <c r="K115" s="3" t="s">
        <v>575</v>
      </c>
      <c r="M115" s="4" t="s">
        <v>985</v>
      </c>
      <c r="N115" s="3" t="s">
        <v>25</v>
      </c>
      <c r="Y115" s="4" t="s">
        <v>907</v>
      </c>
      <c r="Z115" s="4" t="s">
        <v>974</v>
      </c>
      <c r="AD115" s="3" t="s">
        <v>543</v>
      </c>
      <c r="AE115" s="3">
        <v>5000</v>
      </c>
      <c r="AI115" s="4" t="s">
        <v>908</v>
      </c>
      <c r="AJ115" s="4" t="s">
        <v>976</v>
      </c>
      <c r="AL115" s="4">
        <v>141526</v>
      </c>
      <c r="AM115" s="5">
        <v>615890</v>
      </c>
      <c r="AN115" s="4" t="s">
        <v>31</v>
      </c>
      <c r="AO115" s="4">
        <v>98</v>
      </c>
    </row>
    <row r="116" spans="1:41" x14ac:dyDescent="0.25">
      <c r="A116" s="3">
        <v>4604063</v>
      </c>
      <c r="B116" s="3" t="s">
        <v>647</v>
      </c>
      <c r="C116" s="3" t="s">
        <v>797</v>
      </c>
      <c r="D116" s="3">
        <v>10003793</v>
      </c>
      <c r="E116" s="4">
        <v>4533414</v>
      </c>
      <c r="F116" s="3" t="s">
        <v>19</v>
      </c>
      <c r="G116" s="4" t="s">
        <v>948</v>
      </c>
      <c r="H116" s="4" t="s">
        <v>986</v>
      </c>
      <c r="I116" s="5">
        <v>313500</v>
      </c>
      <c r="J116" s="3" t="s">
        <v>645</v>
      </c>
      <c r="K116" s="3" t="s">
        <v>575</v>
      </c>
      <c r="M116" s="4" t="s">
        <v>986</v>
      </c>
      <c r="N116" s="3" t="s">
        <v>25</v>
      </c>
      <c r="Y116" s="4" t="s">
        <v>974</v>
      </c>
      <c r="Z116" s="4" t="s">
        <v>974</v>
      </c>
      <c r="AD116" s="3" t="s">
        <v>652</v>
      </c>
      <c r="AE116" s="3">
        <v>5000</v>
      </c>
      <c r="AI116" s="4" t="s">
        <v>976</v>
      </c>
      <c r="AJ116" s="4" t="s">
        <v>976</v>
      </c>
      <c r="AL116" s="4">
        <v>140941</v>
      </c>
      <c r="AM116" s="5">
        <v>313500</v>
      </c>
      <c r="AN116" s="4" t="s">
        <v>31</v>
      </c>
      <c r="AO116" s="4">
        <v>99</v>
      </c>
    </row>
    <row r="117" spans="1:41" x14ac:dyDescent="0.25">
      <c r="A117" s="3">
        <v>4604064</v>
      </c>
      <c r="B117" s="3" t="s">
        <v>647</v>
      </c>
      <c r="C117" s="3" t="s">
        <v>797</v>
      </c>
      <c r="D117" s="3">
        <v>10003791</v>
      </c>
      <c r="E117" s="4">
        <v>4533415</v>
      </c>
      <c r="F117" s="3" t="s">
        <v>19</v>
      </c>
      <c r="G117" s="4" t="s">
        <v>987</v>
      </c>
      <c r="H117" s="4" t="s">
        <v>988</v>
      </c>
      <c r="I117" s="5">
        <v>1218726.6599999999</v>
      </c>
      <c r="J117" s="3" t="s">
        <v>645</v>
      </c>
      <c r="K117" s="3" t="s">
        <v>575</v>
      </c>
      <c r="M117" s="4" t="s">
        <v>988</v>
      </c>
      <c r="N117" s="3" t="s">
        <v>25</v>
      </c>
      <c r="Y117" s="4" t="s">
        <v>974</v>
      </c>
      <c r="Z117" s="4" t="s">
        <v>974</v>
      </c>
      <c r="AD117" s="3" t="s">
        <v>652</v>
      </c>
      <c r="AE117" s="3">
        <v>5000</v>
      </c>
      <c r="AI117" s="4" t="s">
        <v>976</v>
      </c>
      <c r="AJ117" s="4" t="s">
        <v>976</v>
      </c>
      <c r="AL117" s="4">
        <v>141530</v>
      </c>
      <c r="AM117" s="5">
        <v>1218726.6599999999</v>
      </c>
      <c r="AN117" s="4" t="s">
        <v>31</v>
      </c>
      <c r="AO117" s="4">
        <v>99</v>
      </c>
    </row>
    <row r="118" spans="1:41" x14ac:dyDescent="0.25">
      <c r="A118" s="3">
        <v>4604065</v>
      </c>
      <c r="B118" s="3" t="s">
        <v>647</v>
      </c>
      <c r="C118" s="3" t="s">
        <v>797</v>
      </c>
      <c r="D118" s="3">
        <v>10003804</v>
      </c>
      <c r="E118" s="4">
        <v>4533416</v>
      </c>
      <c r="F118" s="3" t="s">
        <v>19</v>
      </c>
      <c r="G118" s="4" t="s">
        <v>989</v>
      </c>
      <c r="H118" s="4" t="s">
        <v>990</v>
      </c>
      <c r="I118" s="5">
        <v>118800</v>
      </c>
      <c r="J118" s="3" t="s">
        <v>645</v>
      </c>
      <c r="K118" s="3" t="s">
        <v>807</v>
      </c>
      <c r="M118" s="4" t="s">
        <v>990</v>
      </c>
      <c r="N118" s="3" t="s">
        <v>25</v>
      </c>
      <c r="Y118" s="4" t="s">
        <v>298</v>
      </c>
      <c r="Z118" s="4" t="s">
        <v>974</v>
      </c>
      <c r="AD118" s="3" t="s">
        <v>905</v>
      </c>
      <c r="AE118" s="3">
        <v>5000</v>
      </c>
      <c r="AI118" s="4" t="s">
        <v>300</v>
      </c>
      <c r="AJ118" s="4" t="s">
        <v>976</v>
      </c>
      <c r="AL118" s="4">
        <v>141531</v>
      </c>
      <c r="AM118" s="5">
        <v>118800</v>
      </c>
      <c r="AN118" s="4" t="s">
        <v>31</v>
      </c>
      <c r="AO118" s="4">
        <v>99</v>
      </c>
    </row>
    <row r="119" spans="1:41" x14ac:dyDescent="0.25">
      <c r="A119" s="3">
        <v>4604066</v>
      </c>
      <c r="B119" s="3" t="s">
        <v>647</v>
      </c>
      <c r="C119" s="3" t="s">
        <v>797</v>
      </c>
      <c r="D119" s="3">
        <v>10003801</v>
      </c>
      <c r="E119" s="4">
        <v>4533417</v>
      </c>
      <c r="F119" s="3" t="s">
        <v>19</v>
      </c>
      <c r="G119" s="4" t="s">
        <v>991</v>
      </c>
      <c r="H119" s="4" t="s">
        <v>992</v>
      </c>
      <c r="I119" s="5">
        <v>627000</v>
      </c>
      <c r="J119" s="3" t="s">
        <v>645</v>
      </c>
      <c r="K119" s="3" t="s">
        <v>575</v>
      </c>
      <c r="M119" s="4" t="s">
        <v>992</v>
      </c>
      <c r="N119" s="3" t="s">
        <v>25</v>
      </c>
      <c r="Y119" s="4" t="s">
        <v>974</v>
      </c>
      <c r="Z119" s="4" t="s">
        <v>974</v>
      </c>
      <c r="AD119" s="3" t="s">
        <v>652</v>
      </c>
      <c r="AE119" s="3">
        <v>5000</v>
      </c>
      <c r="AI119" s="4" t="s">
        <v>976</v>
      </c>
      <c r="AJ119" s="4" t="s">
        <v>976</v>
      </c>
      <c r="AL119" s="4">
        <v>141532</v>
      </c>
      <c r="AM119" s="5">
        <v>627000</v>
      </c>
      <c r="AN119" s="4" t="s">
        <v>31</v>
      </c>
      <c r="AO119" s="4">
        <v>99</v>
      </c>
    </row>
    <row r="120" spans="1:41" x14ac:dyDescent="0.25">
      <c r="A120" s="3">
        <v>4604067</v>
      </c>
      <c r="B120" s="3" t="s">
        <v>647</v>
      </c>
      <c r="C120" s="3" t="s">
        <v>797</v>
      </c>
      <c r="D120" s="3">
        <v>10003797</v>
      </c>
      <c r="E120" s="4">
        <v>4533418</v>
      </c>
      <c r="F120" s="3" t="s">
        <v>19</v>
      </c>
      <c r="G120" s="4" t="s">
        <v>993</v>
      </c>
      <c r="H120" s="4" t="s">
        <v>994</v>
      </c>
      <c r="I120" s="5">
        <v>298620.3</v>
      </c>
      <c r="J120" s="3" t="s">
        <v>645</v>
      </c>
      <c r="K120" s="3" t="s">
        <v>575</v>
      </c>
      <c r="M120" s="4" t="s">
        <v>994</v>
      </c>
      <c r="N120" s="3" t="s">
        <v>25</v>
      </c>
      <c r="Y120" s="4" t="s">
        <v>974</v>
      </c>
      <c r="Z120" s="4" t="s">
        <v>974</v>
      </c>
      <c r="AD120" s="3" t="s">
        <v>652</v>
      </c>
      <c r="AE120" s="3">
        <v>5000</v>
      </c>
      <c r="AI120" s="4" t="s">
        <v>976</v>
      </c>
      <c r="AJ120" s="4" t="s">
        <v>976</v>
      </c>
      <c r="AL120" s="4">
        <v>141529</v>
      </c>
      <c r="AM120" s="5">
        <v>298620.3</v>
      </c>
      <c r="AN120" s="4" t="s">
        <v>31</v>
      </c>
      <c r="AO120" s="4">
        <v>99</v>
      </c>
    </row>
    <row r="121" spans="1:41" x14ac:dyDescent="0.25">
      <c r="A121" s="3">
        <v>4604097</v>
      </c>
      <c r="B121" s="3" t="s">
        <v>647</v>
      </c>
      <c r="C121" s="3" t="s">
        <v>797</v>
      </c>
      <c r="D121" s="3">
        <v>10003792</v>
      </c>
      <c r="E121" s="4">
        <v>4533448</v>
      </c>
      <c r="F121" s="3" t="s">
        <v>19</v>
      </c>
      <c r="G121" s="4" t="s">
        <v>999</v>
      </c>
      <c r="H121" s="4" t="s">
        <v>1000</v>
      </c>
      <c r="I121" s="5">
        <v>313818.78000000003</v>
      </c>
      <c r="J121" s="3" t="s">
        <v>645</v>
      </c>
      <c r="K121" s="3" t="s">
        <v>575</v>
      </c>
      <c r="M121" s="4" t="s">
        <v>1001</v>
      </c>
      <c r="N121" s="3" t="s">
        <v>25</v>
      </c>
      <c r="Y121" s="4" t="s">
        <v>974</v>
      </c>
      <c r="Z121" s="4" t="s">
        <v>933</v>
      </c>
      <c r="AD121" s="3" t="s">
        <v>1002</v>
      </c>
      <c r="AE121" s="3">
        <v>5000</v>
      </c>
      <c r="AI121" s="4" t="s">
        <v>976</v>
      </c>
      <c r="AJ121" s="4" t="s">
        <v>934</v>
      </c>
      <c r="AL121" s="4">
        <v>30880</v>
      </c>
      <c r="AM121" s="5">
        <v>313818.78000000003</v>
      </c>
      <c r="AN121" s="4" t="s">
        <v>31</v>
      </c>
      <c r="AO121" s="4">
        <v>99</v>
      </c>
    </row>
    <row r="122" spans="1:41" x14ac:dyDescent="0.25">
      <c r="A122" s="3">
        <v>4604098</v>
      </c>
      <c r="B122" s="3" t="s">
        <v>1003</v>
      </c>
      <c r="C122" s="3" t="s">
        <v>797</v>
      </c>
      <c r="D122" s="3">
        <v>10003790</v>
      </c>
      <c r="E122" s="4">
        <v>4533449</v>
      </c>
      <c r="F122" s="3" t="s">
        <v>19</v>
      </c>
      <c r="G122" s="4" t="s">
        <v>1004</v>
      </c>
      <c r="H122" s="4" t="s">
        <v>1005</v>
      </c>
      <c r="I122" s="5">
        <v>317063.76</v>
      </c>
      <c r="J122" s="3" t="s">
        <v>645</v>
      </c>
      <c r="K122" s="3" t="s">
        <v>575</v>
      </c>
      <c r="M122" s="4" t="s">
        <v>1005</v>
      </c>
      <c r="N122" s="3" t="s">
        <v>25</v>
      </c>
      <c r="Y122" s="4" t="s">
        <v>974</v>
      </c>
      <c r="Z122" s="4" t="s">
        <v>933</v>
      </c>
      <c r="AD122" s="3" t="s">
        <v>1002</v>
      </c>
      <c r="AE122" s="3">
        <v>5000</v>
      </c>
      <c r="AI122" s="4" t="s">
        <v>976</v>
      </c>
      <c r="AJ122" s="4" t="s">
        <v>934</v>
      </c>
      <c r="AL122" s="4">
        <v>31075</v>
      </c>
      <c r="AM122" s="5">
        <v>317063.76</v>
      </c>
      <c r="AN122" s="4" t="s">
        <v>31</v>
      </c>
      <c r="AO122" s="4">
        <v>99</v>
      </c>
    </row>
    <row r="123" spans="1:41" x14ac:dyDescent="0.25">
      <c r="A123" s="3">
        <v>4604099</v>
      </c>
      <c r="B123" s="3" t="s">
        <v>647</v>
      </c>
      <c r="C123" s="3" t="s">
        <v>797</v>
      </c>
      <c r="D123" s="3">
        <v>10003802</v>
      </c>
      <c r="E123" s="4">
        <v>4533450</v>
      </c>
      <c r="F123" s="3" t="s">
        <v>19</v>
      </c>
      <c r="G123" s="4" t="s">
        <v>1006</v>
      </c>
      <c r="H123" s="4" t="s">
        <v>1007</v>
      </c>
      <c r="I123" s="5">
        <v>313624.08</v>
      </c>
      <c r="J123" s="3" t="s">
        <v>645</v>
      </c>
      <c r="K123" s="3" t="s">
        <v>575</v>
      </c>
      <c r="M123" s="4" t="s">
        <v>1008</v>
      </c>
      <c r="N123" s="3" t="s">
        <v>25</v>
      </c>
      <c r="Y123" s="4" t="s">
        <v>974</v>
      </c>
      <c r="Z123" s="4" t="s">
        <v>933</v>
      </c>
      <c r="AD123" s="3" t="s">
        <v>1002</v>
      </c>
      <c r="AE123" s="3">
        <v>5000</v>
      </c>
      <c r="AI123" s="4" t="s">
        <v>976</v>
      </c>
      <c r="AJ123" s="4" t="s">
        <v>934</v>
      </c>
      <c r="AL123" s="4">
        <v>50103</v>
      </c>
      <c r="AM123" s="5">
        <v>313624.08</v>
      </c>
      <c r="AN123" s="4" t="s">
        <v>31</v>
      </c>
      <c r="AO123" s="4">
        <v>99</v>
      </c>
    </row>
    <row r="124" spans="1:41" x14ac:dyDescent="0.25">
      <c r="A124" s="3">
        <v>4604152</v>
      </c>
      <c r="B124" s="3" t="s">
        <v>1009</v>
      </c>
      <c r="C124" s="3" t="s">
        <v>797</v>
      </c>
      <c r="D124" s="3">
        <v>10003921</v>
      </c>
      <c r="E124" s="4">
        <v>4533503</v>
      </c>
      <c r="F124" s="3" t="s">
        <v>19</v>
      </c>
      <c r="G124" s="4" t="s">
        <v>1010</v>
      </c>
      <c r="H124" s="4" t="s">
        <v>1011</v>
      </c>
      <c r="I124" s="5">
        <v>550000</v>
      </c>
      <c r="J124" s="3" t="s">
        <v>1009</v>
      </c>
      <c r="K124" s="3" t="s">
        <v>294</v>
      </c>
      <c r="M124" s="4" t="s">
        <v>1012</v>
      </c>
      <c r="N124" s="3" t="s">
        <v>25</v>
      </c>
      <c r="Y124" s="4" t="s">
        <v>753</v>
      </c>
      <c r="Z124" s="4" t="s">
        <v>753</v>
      </c>
      <c r="AD124" s="3" t="s">
        <v>671</v>
      </c>
      <c r="AE124" s="3">
        <v>5000</v>
      </c>
      <c r="AI124" s="4" t="s">
        <v>758</v>
      </c>
      <c r="AJ124" s="4" t="s">
        <v>758</v>
      </c>
      <c r="AL124" s="4">
        <v>141542</v>
      </c>
      <c r="AM124" s="5">
        <v>550000</v>
      </c>
      <c r="AN124" s="4" t="s">
        <v>31</v>
      </c>
      <c r="AO124" s="4">
        <v>99</v>
      </c>
    </row>
    <row r="125" spans="1:41" x14ac:dyDescent="0.25">
      <c r="A125" s="3">
        <v>4604153</v>
      </c>
      <c r="B125" s="3" t="s">
        <v>1009</v>
      </c>
      <c r="C125" s="3" t="s">
        <v>797</v>
      </c>
      <c r="D125" s="3">
        <v>10003921</v>
      </c>
      <c r="E125" s="4">
        <v>4533504</v>
      </c>
      <c r="F125" s="3" t="s">
        <v>19</v>
      </c>
      <c r="G125" s="4" t="s">
        <v>1013</v>
      </c>
      <c r="H125" s="4" t="s">
        <v>1014</v>
      </c>
      <c r="I125" s="5">
        <v>550000</v>
      </c>
      <c r="J125" s="3" t="s">
        <v>1009</v>
      </c>
      <c r="K125" s="3" t="s">
        <v>294</v>
      </c>
      <c r="M125" s="4" t="s">
        <v>1015</v>
      </c>
      <c r="N125" s="3" t="s">
        <v>25</v>
      </c>
      <c r="Y125" s="4" t="s">
        <v>753</v>
      </c>
      <c r="Z125" s="4" t="s">
        <v>753</v>
      </c>
      <c r="AD125" s="3" t="s">
        <v>671</v>
      </c>
      <c r="AE125" s="3">
        <v>5000</v>
      </c>
      <c r="AI125" s="4" t="s">
        <v>758</v>
      </c>
      <c r="AJ125" s="4" t="s">
        <v>758</v>
      </c>
      <c r="AL125" s="4">
        <v>141537</v>
      </c>
      <c r="AM125" s="5">
        <v>550000</v>
      </c>
      <c r="AN125" s="4" t="s">
        <v>31</v>
      </c>
      <c r="AO125" s="4">
        <v>99</v>
      </c>
    </row>
    <row r="126" spans="1:41" x14ac:dyDescent="0.25">
      <c r="A126" s="3">
        <v>4604154</v>
      </c>
      <c r="B126" s="3" t="s">
        <v>1009</v>
      </c>
      <c r="C126" s="3" t="s">
        <v>797</v>
      </c>
      <c r="D126" s="3">
        <v>10003921</v>
      </c>
      <c r="E126" s="4">
        <v>4533505</v>
      </c>
      <c r="F126" s="3" t="s">
        <v>19</v>
      </c>
      <c r="G126" s="4" t="s">
        <v>1016</v>
      </c>
      <c r="H126" s="4" t="s">
        <v>1017</v>
      </c>
      <c r="I126" s="5">
        <v>550000</v>
      </c>
      <c r="J126" s="3" t="s">
        <v>1009</v>
      </c>
      <c r="K126" s="3" t="s">
        <v>294</v>
      </c>
      <c r="M126" s="4" t="s">
        <v>1012</v>
      </c>
      <c r="N126" s="3" t="s">
        <v>25</v>
      </c>
      <c r="Y126" s="4" t="s">
        <v>753</v>
      </c>
      <c r="Z126" s="4" t="s">
        <v>753</v>
      </c>
      <c r="AD126" s="3" t="s">
        <v>671</v>
      </c>
      <c r="AE126" s="3">
        <v>5000</v>
      </c>
      <c r="AI126" s="4" t="s">
        <v>758</v>
      </c>
      <c r="AJ126" s="4" t="s">
        <v>758</v>
      </c>
      <c r="AL126" s="4">
        <v>48219</v>
      </c>
      <c r="AM126" s="5">
        <v>550000</v>
      </c>
      <c r="AN126" s="4" t="s">
        <v>31</v>
      </c>
      <c r="AO126" s="4">
        <v>99</v>
      </c>
    </row>
    <row r="127" spans="1:41" x14ac:dyDescent="0.25">
      <c r="A127" s="3">
        <v>4604155</v>
      </c>
      <c r="B127" s="3" t="s">
        <v>1009</v>
      </c>
      <c r="C127" s="3" t="s">
        <v>797</v>
      </c>
      <c r="D127" s="3">
        <v>10003921</v>
      </c>
      <c r="E127" s="4">
        <v>4533506</v>
      </c>
      <c r="F127" s="3" t="s">
        <v>19</v>
      </c>
      <c r="G127" s="4" t="s">
        <v>1018</v>
      </c>
      <c r="H127" s="4" t="s">
        <v>1019</v>
      </c>
      <c r="I127" s="5">
        <v>550000</v>
      </c>
      <c r="J127" s="3" t="s">
        <v>1009</v>
      </c>
      <c r="K127" s="3" t="s">
        <v>294</v>
      </c>
      <c r="M127" s="4" t="s">
        <v>1012</v>
      </c>
      <c r="N127" s="3" t="s">
        <v>25</v>
      </c>
      <c r="Y127" s="4" t="s">
        <v>753</v>
      </c>
      <c r="Z127" s="4" t="s">
        <v>753</v>
      </c>
      <c r="AD127" s="3" t="s">
        <v>671</v>
      </c>
      <c r="AE127" s="3">
        <v>5000</v>
      </c>
      <c r="AI127" s="4" t="s">
        <v>758</v>
      </c>
      <c r="AJ127" s="4" t="s">
        <v>758</v>
      </c>
      <c r="AL127" s="4">
        <v>141541</v>
      </c>
      <c r="AM127" s="5">
        <v>550000</v>
      </c>
      <c r="AN127" s="4" t="s">
        <v>31</v>
      </c>
      <c r="AO127" s="4">
        <v>99</v>
      </c>
    </row>
    <row r="128" spans="1:41" x14ac:dyDescent="0.25">
      <c r="A128" s="3">
        <v>4604156</v>
      </c>
      <c r="B128" s="3" t="s">
        <v>1009</v>
      </c>
      <c r="C128" s="3" t="s">
        <v>797</v>
      </c>
      <c r="D128" s="3">
        <v>10003921</v>
      </c>
      <c r="E128" s="4">
        <v>4533507</v>
      </c>
      <c r="F128" s="3" t="s">
        <v>19</v>
      </c>
      <c r="G128" s="4" t="s">
        <v>1020</v>
      </c>
      <c r="H128" s="4" t="s">
        <v>1021</v>
      </c>
      <c r="I128" s="5">
        <v>550000</v>
      </c>
      <c r="J128" s="3" t="s">
        <v>1009</v>
      </c>
      <c r="K128" s="3" t="s">
        <v>294</v>
      </c>
      <c r="M128" s="4" t="s">
        <v>1012</v>
      </c>
      <c r="N128" s="3" t="s">
        <v>25</v>
      </c>
      <c r="Y128" s="4" t="s">
        <v>753</v>
      </c>
      <c r="Z128" s="4" t="s">
        <v>753</v>
      </c>
      <c r="AD128" s="3" t="s">
        <v>1009</v>
      </c>
      <c r="AE128" s="3">
        <v>5000</v>
      </c>
      <c r="AI128" s="4" t="s">
        <v>758</v>
      </c>
      <c r="AJ128" s="4" t="s">
        <v>758</v>
      </c>
      <c r="AL128" s="4">
        <v>141536</v>
      </c>
      <c r="AM128" s="5">
        <v>550000</v>
      </c>
      <c r="AN128" s="4" t="s">
        <v>31</v>
      </c>
      <c r="AO128" s="4">
        <v>99</v>
      </c>
    </row>
    <row r="129" spans="1:42" x14ac:dyDescent="0.25">
      <c r="A129" s="3">
        <v>4604171</v>
      </c>
      <c r="B129" s="3" t="s">
        <v>1022</v>
      </c>
      <c r="C129" s="3" t="s">
        <v>797</v>
      </c>
      <c r="D129" s="3">
        <v>10003921</v>
      </c>
      <c r="E129" s="4">
        <v>4533522</v>
      </c>
      <c r="F129" s="3" t="s">
        <v>19</v>
      </c>
      <c r="G129" s="4" t="s">
        <v>1023</v>
      </c>
      <c r="H129" s="4" t="s">
        <v>1024</v>
      </c>
      <c r="I129" s="5">
        <v>550000</v>
      </c>
      <c r="J129" s="3" t="s">
        <v>1022</v>
      </c>
      <c r="K129" s="3" t="s">
        <v>294</v>
      </c>
      <c r="M129" s="4" t="s">
        <v>1012</v>
      </c>
      <c r="N129" s="3" t="s">
        <v>25</v>
      </c>
      <c r="Y129" s="4" t="s">
        <v>753</v>
      </c>
      <c r="Z129" s="4" t="s">
        <v>753</v>
      </c>
      <c r="AD129" s="3" t="s">
        <v>1022</v>
      </c>
      <c r="AE129" s="3">
        <v>5000</v>
      </c>
      <c r="AI129" s="4" t="s">
        <v>758</v>
      </c>
      <c r="AJ129" s="4" t="s">
        <v>758</v>
      </c>
      <c r="AL129" s="4">
        <v>141540</v>
      </c>
      <c r="AM129" s="5">
        <v>550000</v>
      </c>
      <c r="AN129" s="4" t="s">
        <v>31</v>
      </c>
      <c r="AO129" s="4">
        <v>99</v>
      </c>
    </row>
    <row r="130" spans="1:42" x14ac:dyDescent="0.25">
      <c r="A130" s="3">
        <v>4604172</v>
      </c>
      <c r="B130" s="3" t="s">
        <v>1022</v>
      </c>
      <c r="C130" s="3" t="s">
        <v>797</v>
      </c>
      <c r="D130" s="3">
        <v>10003921</v>
      </c>
      <c r="E130" s="4">
        <v>4533523</v>
      </c>
      <c r="F130" s="3" t="s">
        <v>19</v>
      </c>
      <c r="G130" s="4" t="s">
        <v>1025</v>
      </c>
      <c r="H130" s="4" t="s">
        <v>1026</v>
      </c>
      <c r="I130" s="5">
        <v>550000</v>
      </c>
      <c r="J130" s="3" t="s">
        <v>1022</v>
      </c>
      <c r="K130" s="3" t="s">
        <v>294</v>
      </c>
      <c r="M130" s="4" t="s">
        <v>1012</v>
      </c>
      <c r="N130" s="3" t="s">
        <v>25</v>
      </c>
      <c r="Y130" s="4" t="s">
        <v>753</v>
      </c>
      <c r="Z130" s="4" t="s">
        <v>1027</v>
      </c>
      <c r="AD130" s="3" t="s">
        <v>1022</v>
      </c>
      <c r="AE130" s="3">
        <v>5000</v>
      </c>
      <c r="AI130" s="4" t="s">
        <v>758</v>
      </c>
      <c r="AJ130" s="4" t="s">
        <v>1028</v>
      </c>
      <c r="AL130" s="4">
        <v>40001</v>
      </c>
      <c r="AM130" s="5">
        <v>550000</v>
      </c>
      <c r="AN130" s="4" t="s">
        <v>31</v>
      </c>
      <c r="AO130" s="4">
        <v>99</v>
      </c>
    </row>
    <row r="131" spans="1:42" x14ac:dyDescent="0.25">
      <c r="A131" s="3">
        <v>4604176</v>
      </c>
      <c r="B131" s="3" t="s">
        <v>1022</v>
      </c>
      <c r="C131" s="3" t="s">
        <v>797</v>
      </c>
      <c r="D131" s="3">
        <v>10003921</v>
      </c>
      <c r="E131" s="4">
        <v>4533527</v>
      </c>
      <c r="F131" s="3" t="s">
        <v>19</v>
      </c>
      <c r="G131" s="4" t="s">
        <v>1029</v>
      </c>
      <c r="H131" s="4" t="s">
        <v>1030</v>
      </c>
      <c r="I131" s="5">
        <v>550000</v>
      </c>
      <c r="J131" s="3" t="s">
        <v>671</v>
      </c>
      <c r="K131" s="3" t="s">
        <v>1031</v>
      </c>
      <c r="M131" s="4" t="s">
        <v>1012</v>
      </c>
      <c r="N131" s="3" t="s">
        <v>25</v>
      </c>
      <c r="Y131" s="4" t="s">
        <v>753</v>
      </c>
      <c r="Z131" s="4" t="s">
        <v>1027</v>
      </c>
      <c r="AD131" s="3" t="s">
        <v>1022</v>
      </c>
      <c r="AE131" s="3">
        <v>5000</v>
      </c>
      <c r="AI131" s="4" t="s">
        <v>758</v>
      </c>
      <c r="AJ131" s="4" t="s">
        <v>1028</v>
      </c>
      <c r="AL131" s="4">
        <v>141578</v>
      </c>
      <c r="AM131" s="5">
        <v>550000</v>
      </c>
      <c r="AN131" s="4" t="s">
        <v>31</v>
      </c>
      <c r="AO131" s="4">
        <v>99</v>
      </c>
    </row>
    <row r="132" spans="1:42" x14ac:dyDescent="0.25">
      <c r="A132" s="3">
        <v>4604177</v>
      </c>
      <c r="B132" s="3" t="s">
        <v>1022</v>
      </c>
      <c r="C132" s="3" t="s">
        <v>797</v>
      </c>
      <c r="D132" s="3">
        <v>10003921</v>
      </c>
      <c r="E132" s="4">
        <v>4533528</v>
      </c>
      <c r="F132" s="3" t="s">
        <v>19</v>
      </c>
      <c r="G132" s="4" t="s">
        <v>1032</v>
      </c>
      <c r="H132" s="4" t="s">
        <v>1033</v>
      </c>
      <c r="I132" s="5">
        <v>550000</v>
      </c>
      <c r="J132" s="3" t="s">
        <v>671</v>
      </c>
      <c r="K132" s="3" t="s">
        <v>294</v>
      </c>
      <c r="M132" s="4" t="s">
        <v>1012</v>
      </c>
      <c r="N132" s="3" t="s">
        <v>25</v>
      </c>
      <c r="Y132" s="4" t="s">
        <v>753</v>
      </c>
      <c r="Z132" s="4" t="s">
        <v>1027</v>
      </c>
      <c r="AD132" s="3" t="s">
        <v>1022</v>
      </c>
      <c r="AE132" s="3">
        <v>5000</v>
      </c>
      <c r="AI132" s="4" t="s">
        <v>758</v>
      </c>
      <c r="AJ132" s="4" t="s">
        <v>1028</v>
      </c>
      <c r="AL132" s="4">
        <v>141538</v>
      </c>
      <c r="AM132" s="5">
        <v>550000</v>
      </c>
      <c r="AN132" s="4" t="s">
        <v>31</v>
      </c>
      <c r="AO132" s="4">
        <v>99</v>
      </c>
    </row>
    <row r="133" spans="1:42" x14ac:dyDescent="0.25">
      <c r="A133" s="3">
        <v>4604488</v>
      </c>
      <c r="B133" s="3" t="s">
        <v>1034</v>
      </c>
      <c r="C133" s="3" t="s">
        <v>797</v>
      </c>
      <c r="D133" s="3">
        <v>10002684</v>
      </c>
      <c r="E133" s="4">
        <v>4533839</v>
      </c>
      <c r="F133" s="3" t="s">
        <v>19</v>
      </c>
      <c r="G133" s="4" t="s">
        <v>1035</v>
      </c>
      <c r="H133" s="4" t="s">
        <v>1036</v>
      </c>
      <c r="I133" s="5">
        <v>84865</v>
      </c>
      <c r="J133" s="3" t="s">
        <v>1034</v>
      </c>
      <c r="K133" s="3" t="s">
        <v>1037</v>
      </c>
      <c r="M133" s="4" t="s">
        <v>1036</v>
      </c>
      <c r="N133" s="3" t="s">
        <v>25</v>
      </c>
      <c r="Y133" s="4" t="s">
        <v>933</v>
      </c>
      <c r="Z133" s="4" t="s">
        <v>933</v>
      </c>
      <c r="AD133" s="3" t="s">
        <v>896</v>
      </c>
      <c r="AE133" s="3">
        <v>5000</v>
      </c>
      <c r="AI133" s="4" t="s">
        <v>934</v>
      </c>
      <c r="AJ133" s="4" t="s">
        <v>934</v>
      </c>
      <c r="AL133" s="4">
        <v>141730</v>
      </c>
      <c r="AM133" s="5">
        <v>84865</v>
      </c>
      <c r="AN133" s="4" t="s">
        <v>31</v>
      </c>
      <c r="AO133" s="4">
        <v>99</v>
      </c>
    </row>
    <row r="134" spans="1:42" x14ac:dyDescent="0.25">
      <c r="A134" s="3">
        <v>4604785</v>
      </c>
      <c r="B134" s="3" t="s">
        <v>905</v>
      </c>
      <c r="C134" s="3" t="s">
        <v>797</v>
      </c>
      <c r="D134" s="3">
        <v>10003804</v>
      </c>
      <c r="E134" s="4">
        <v>4534136</v>
      </c>
      <c r="F134" s="3" t="s">
        <v>19</v>
      </c>
      <c r="G134" s="4" t="s">
        <v>1038</v>
      </c>
      <c r="H134" s="4" t="s">
        <v>990</v>
      </c>
      <c r="I134" s="5">
        <v>178200</v>
      </c>
      <c r="J134" s="3" t="s">
        <v>1039</v>
      </c>
      <c r="K134" s="3" t="s">
        <v>575</v>
      </c>
      <c r="M134" s="4" t="s">
        <v>990</v>
      </c>
      <c r="N134" s="3" t="s">
        <v>25</v>
      </c>
      <c r="Y134" s="4" t="s">
        <v>907</v>
      </c>
      <c r="Z134" s="4" t="s">
        <v>907</v>
      </c>
      <c r="AD134" s="3" t="s">
        <v>1040</v>
      </c>
      <c r="AE134" s="3">
        <v>5000</v>
      </c>
      <c r="AI134" s="4" t="s">
        <v>908</v>
      </c>
      <c r="AJ134" s="4" t="s">
        <v>908</v>
      </c>
      <c r="AL134" s="4">
        <v>31120</v>
      </c>
      <c r="AM134" s="5">
        <v>178200</v>
      </c>
      <c r="AN134" s="4" t="s">
        <v>31</v>
      </c>
      <c r="AO134" s="4">
        <v>99</v>
      </c>
    </row>
    <row r="135" spans="1:42" x14ac:dyDescent="0.25">
      <c r="A135" s="3">
        <v>4604617</v>
      </c>
      <c r="B135" s="3" t="s">
        <v>1052</v>
      </c>
      <c r="C135" s="3" t="s">
        <v>1278</v>
      </c>
      <c r="D135" s="3">
        <v>10004393</v>
      </c>
      <c r="E135" s="4">
        <v>4533968</v>
      </c>
      <c r="F135" s="3" t="s">
        <v>217</v>
      </c>
      <c r="G135" s="4" t="s">
        <v>1513</v>
      </c>
      <c r="H135" s="4" t="s">
        <v>1514</v>
      </c>
      <c r="I135" s="5">
        <v>1352843</v>
      </c>
      <c r="J135" s="3" t="s">
        <v>76</v>
      </c>
      <c r="K135" s="3" t="s">
        <v>77</v>
      </c>
      <c r="M135" s="4" t="s">
        <v>1514</v>
      </c>
      <c r="N135" s="3" t="s">
        <v>25</v>
      </c>
      <c r="Y135" s="4" t="s">
        <v>1515</v>
      </c>
      <c r="Z135" s="4" t="s">
        <v>1515</v>
      </c>
      <c r="AD135" s="3" t="s">
        <v>77</v>
      </c>
      <c r="AE135" s="3">
        <v>1000</v>
      </c>
      <c r="AI135" s="4" t="s">
        <v>1516</v>
      </c>
      <c r="AJ135" s="4" t="s">
        <v>1516</v>
      </c>
      <c r="AL135" s="4">
        <v>30091</v>
      </c>
      <c r="AM135" s="5">
        <v>1352843</v>
      </c>
      <c r="AN135" s="4" t="s">
        <v>124</v>
      </c>
      <c r="AO135" s="4">
        <v>98</v>
      </c>
      <c r="AP135" s="4">
        <v>93151510</v>
      </c>
    </row>
    <row r="136" spans="1:42" x14ac:dyDescent="0.25">
      <c r="A136" s="3">
        <v>4604623</v>
      </c>
      <c r="B136" s="3" t="s">
        <v>77</v>
      </c>
      <c r="C136" s="3" t="s">
        <v>1278</v>
      </c>
      <c r="D136" s="3">
        <v>10004343</v>
      </c>
      <c r="E136" s="4">
        <v>4533974</v>
      </c>
      <c r="F136" s="3" t="s">
        <v>217</v>
      </c>
      <c r="G136" s="4" t="s">
        <v>1521</v>
      </c>
      <c r="H136" s="4" t="s">
        <v>1522</v>
      </c>
      <c r="I136" s="5">
        <v>202884.01</v>
      </c>
      <c r="J136" s="3" t="s">
        <v>1052</v>
      </c>
      <c r="K136" s="3" t="s">
        <v>77</v>
      </c>
      <c r="M136" s="4" t="s">
        <v>1522</v>
      </c>
      <c r="N136" s="3" t="s">
        <v>25</v>
      </c>
      <c r="Y136" s="4" t="s">
        <v>1523</v>
      </c>
      <c r="Z136" s="4" t="s">
        <v>1524</v>
      </c>
      <c r="AD136" s="3" t="s">
        <v>77</v>
      </c>
      <c r="AE136" s="3">
        <v>1000</v>
      </c>
      <c r="AI136" s="4" t="s">
        <v>1525</v>
      </c>
      <c r="AJ136" s="4" t="s">
        <v>1526</v>
      </c>
      <c r="AL136" s="4">
        <v>31105</v>
      </c>
      <c r="AM136" s="5">
        <v>202884.01</v>
      </c>
      <c r="AN136" s="4" t="s">
        <v>124</v>
      </c>
      <c r="AO136" s="4">
        <v>98</v>
      </c>
    </row>
    <row r="137" spans="1:42" x14ac:dyDescent="0.25">
      <c r="A137" s="3">
        <v>4604636</v>
      </c>
      <c r="B137" s="3" t="s">
        <v>736</v>
      </c>
      <c r="C137" s="3" t="s">
        <v>1278</v>
      </c>
      <c r="D137" s="3">
        <v>10004420</v>
      </c>
      <c r="E137" s="4">
        <v>4533987</v>
      </c>
      <c r="F137" s="3" t="s">
        <v>217</v>
      </c>
      <c r="G137" s="4" t="s">
        <v>1513</v>
      </c>
      <c r="H137" s="4" t="s">
        <v>1549</v>
      </c>
      <c r="I137" s="5">
        <v>30187</v>
      </c>
      <c r="J137" s="3" t="s">
        <v>76</v>
      </c>
      <c r="K137" s="3" t="s">
        <v>77</v>
      </c>
      <c r="M137" s="4" t="s">
        <v>1549</v>
      </c>
      <c r="N137" s="3" t="s">
        <v>25</v>
      </c>
      <c r="Y137" s="4" t="s">
        <v>1515</v>
      </c>
      <c r="Z137" s="4" t="s">
        <v>1515</v>
      </c>
      <c r="AD137" s="3" t="s">
        <v>1550</v>
      </c>
      <c r="AE137" s="3">
        <v>1000</v>
      </c>
      <c r="AI137" s="4" t="s">
        <v>1516</v>
      </c>
      <c r="AJ137" s="4" t="s">
        <v>1516</v>
      </c>
      <c r="AL137" s="4">
        <v>30091</v>
      </c>
      <c r="AM137" s="5">
        <v>30187</v>
      </c>
      <c r="AN137" s="4" t="s">
        <v>124</v>
      </c>
      <c r="AO137" s="4">
        <v>99</v>
      </c>
    </row>
    <row r="138" spans="1:42" x14ac:dyDescent="0.25">
      <c r="A138" s="3">
        <v>4604800</v>
      </c>
      <c r="B138" s="3" t="s">
        <v>436</v>
      </c>
      <c r="C138" s="3" t="s">
        <v>1278</v>
      </c>
      <c r="D138" s="3">
        <v>10004601</v>
      </c>
      <c r="E138" s="4">
        <v>4534151</v>
      </c>
      <c r="F138" s="3" t="s">
        <v>217</v>
      </c>
      <c r="G138" s="4" t="s">
        <v>1513</v>
      </c>
      <c r="H138" s="4" t="s">
        <v>1750</v>
      </c>
      <c r="I138" s="5">
        <v>106655</v>
      </c>
      <c r="J138" s="3" t="s">
        <v>1747</v>
      </c>
      <c r="K138" s="3" t="s">
        <v>77</v>
      </c>
      <c r="M138" s="4" t="s">
        <v>1750</v>
      </c>
      <c r="N138" s="3" t="s">
        <v>25</v>
      </c>
      <c r="Y138" s="4" t="s">
        <v>1751</v>
      </c>
      <c r="Z138" s="4" t="s">
        <v>1751</v>
      </c>
      <c r="AD138" s="3" t="s">
        <v>323</v>
      </c>
      <c r="AE138" s="3">
        <v>1000</v>
      </c>
      <c r="AI138" s="4" t="s">
        <v>1752</v>
      </c>
      <c r="AJ138" s="4" t="s">
        <v>1752</v>
      </c>
      <c r="AL138" s="4">
        <v>30091</v>
      </c>
      <c r="AM138" s="5">
        <v>106655</v>
      </c>
      <c r="AN138" s="4" t="s">
        <v>124</v>
      </c>
      <c r="AO138" s="4">
        <v>99</v>
      </c>
    </row>
    <row r="139" spans="1:42" x14ac:dyDescent="0.25">
      <c r="A139" s="3">
        <v>4604334</v>
      </c>
      <c r="B139" s="3" t="s">
        <v>2168</v>
      </c>
      <c r="C139" s="3" t="s">
        <v>2158</v>
      </c>
      <c r="D139" s="3">
        <v>10004113</v>
      </c>
      <c r="E139" s="4">
        <v>4533685</v>
      </c>
      <c r="F139" s="3" t="s">
        <v>217</v>
      </c>
      <c r="G139" s="4" t="s">
        <v>2169</v>
      </c>
      <c r="H139" s="4" t="s">
        <v>2170</v>
      </c>
      <c r="I139" s="5">
        <v>162500</v>
      </c>
      <c r="J139" s="3" t="s">
        <v>2168</v>
      </c>
      <c r="K139" s="3" t="s">
        <v>997</v>
      </c>
      <c r="M139" s="4" t="s">
        <v>2171</v>
      </c>
      <c r="N139" s="3" t="s">
        <v>25</v>
      </c>
      <c r="Y139" s="4" t="s">
        <v>307</v>
      </c>
      <c r="Z139" s="4" t="s">
        <v>307</v>
      </c>
      <c r="AD139" s="3" t="s">
        <v>1169</v>
      </c>
      <c r="AE139" s="3">
        <v>1000</v>
      </c>
      <c r="AI139" s="4" t="s">
        <v>309</v>
      </c>
      <c r="AJ139" s="4" t="s">
        <v>309</v>
      </c>
      <c r="AL139" s="4">
        <v>141637</v>
      </c>
      <c r="AM139" s="5">
        <v>162500</v>
      </c>
      <c r="AN139" s="4" t="s">
        <v>124</v>
      </c>
      <c r="AO139" s="4">
        <v>98</v>
      </c>
    </row>
    <row r="140" spans="1:42" x14ac:dyDescent="0.25">
      <c r="A140" s="3">
        <v>4604335</v>
      </c>
      <c r="B140" s="3" t="s">
        <v>2168</v>
      </c>
      <c r="C140" s="3" t="s">
        <v>2158</v>
      </c>
      <c r="D140" s="3">
        <v>10004113</v>
      </c>
      <c r="E140" s="4">
        <v>4533686</v>
      </c>
      <c r="F140" s="3" t="s">
        <v>217</v>
      </c>
      <c r="G140" s="4" t="s">
        <v>2172</v>
      </c>
      <c r="H140" s="4" t="s">
        <v>2173</v>
      </c>
      <c r="I140" s="5">
        <v>112500</v>
      </c>
      <c r="J140" s="3" t="s">
        <v>2168</v>
      </c>
      <c r="K140" s="3" t="s">
        <v>223</v>
      </c>
      <c r="M140" s="4" t="s">
        <v>2171</v>
      </c>
      <c r="N140" s="3" t="s">
        <v>25</v>
      </c>
      <c r="Y140" s="4" t="s">
        <v>307</v>
      </c>
      <c r="Z140" s="4" t="s">
        <v>307</v>
      </c>
      <c r="AD140" s="3" t="s">
        <v>1384</v>
      </c>
      <c r="AE140" s="3">
        <v>1000</v>
      </c>
      <c r="AI140" s="4" t="s">
        <v>309</v>
      </c>
      <c r="AJ140" s="4" t="s">
        <v>309</v>
      </c>
      <c r="AL140" s="4">
        <v>141635</v>
      </c>
      <c r="AM140" s="5">
        <v>112500</v>
      </c>
      <c r="AN140" s="4" t="s">
        <v>124</v>
      </c>
      <c r="AO140" s="4">
        <v>99</v>
      </c>
    </row>
    <row r="141" spans="1:42" x14ac:dyDescent="0.25">
      <c r="A141" s="3">
        <v>4604336</v>
      </c>
      <c r="B141" s="3" t="s">
        <v>2168</v>
      </c>
      <c r="C141" s="3" t="s">
        <v>2158</v>
      </c>
      <c r="D141" s="3">
        <v>10004113</v>
      </c>
      <c r="E141" s="4">
        <v>4533687</v>
      </c>
      <c r="F141" s="3" t="s">
        <v>217</v>
      </c>
      <c r="G141" s="4" t="s">
        <v>2174</v>
      </c>
      <c r="H141" s="4" t="s">
        <v>2175</v>
      </c>
      <c r="I141" s="5">
        <v>162500</v>
      </c>
      <c r="J141" s="3" t="s">
        <v>2168</v>
      </c>
      <c r="K141" s="3" t="s">
        <v>997</v>
      </c>
      <c r="M141" s="4" t="s">
        <v>2171</v>
      </c>
      <c r="N141" s="3" t="s">
        <v>25</v>
      </c>
      <c r="Y141" s="4" t="s">
        <v>307</v>
      </c>
      <c r="Z141" s="4" t="s">
        <v>307</v>
      </c>
      <c r="AD141" s="3" t="s">
        <v>1169</v>
      </c>
      <c r="AE141" s="3">
        <v>1000</v>
      </c>
      <c r="AI141" s="4" t="s">
        <v>309</v>
      </c>
      <c r="AJ141" s="4" t="s">
        <v>309</v>
      </c>
      <c r="AL141" s="4">
        <v>141663</v>
      </c>
      <c r="AM141" s="5">
        <v>162500</v>
      </c>
      <c r="AN141" s="4" t="s">
        <v>124</v>
      </c>
      <c r="AO141" s="4">
        <v>98</v>
      </c>
    </row>
    <row r="142" spans="1:42" x14ac:dyDescent="0.25">
      <c r="A142" s="3">
        <v>4604337</v>
      </c>
      <c r="B142" s="3" t="s">
        <v>2168</v>
      </c>
      <c r="C142" s="3" t="s">
        <v>2158</v>
      </c>
      <c r="D142" s="3">
        <v>10004113</v>
      </c>
      <c r="E142" s="4">
        <v>4533688</v>
      </c>
      <c r="F142" s="3" t="s">
        <v>217</v>
      </c>
      <c r="G142" s="4" t="s">
        <v>2176</v>
      </c>
      <c r="H142" s="4" t="s">
        <v>2173</v>
      </c>
      <c r="I142" s="5">
        <v>162500</v>
      </c>
      <c r="J142" s="3" t="s">
        <v>2168</v>
      </c>
      <c r="K142" s="3" t="s">
        <v>997</v>
      </c>
      <c r="M142" s="4" t="s">
        <v>2171</v>
      </c>
      <c r="N142" s="3" t="s">
        <v>25</v>
      </c>
      <c r="Y142" s="4" t="s">
        <v>307</v>
      </c>
      <c r="Z142" s="4" t="s">
        <v>307</v>
      </c>
      <c r="AD142" s="3" t="s">
        <v>1169</v>
      </c>
      <c r="AE142" s="3">
        <v>1000</v>
      </c>
      <c r="AI142" s="4" t="s">
        <v>309</v>
      </c>
      <c r="AJ142" s="4" t="s">
        <v>309</v>
      </c>
      <c r="AL142" s="4">
        <v>47317</v>
      </c>
      <c r="AM142" s="5">
        <v>162500</v>
      </c>
      <c r="AN142" s="4" t="s">
        <v>124</v>
      </c>
      <c r="AO142" s="4">
        <v>98</v>
      </c>
    </row>
    <row r="143" spans="1:42" x14ac:dyDescent="0.25">
      <c r="A143" s="3">
        <v>4604354</v>
      </c>
      <c r="B143" s="3" t="s">
        <v>1247</v>
      </c>
      <c r="C143" s="3" t="s">
        <v>2158</v>
      </c>
      <c r="D143" s="3">
        <v>10004136</v>
      </c>
      <c r="E143" s="4">
        <v>4533705</v>
      </c>
      <c r="F143" s="3" t="s">
        <v>217</v>
      </c>
      <c r="G143" s="4" t="s">
        <v>1561</v>
      </c>
      <c r="H143" s="4" t="s">
        <v>2177</v>
      </c>
      <c r="I143" s="5">
        <v>120000</v>
      </c>
      <c r="J143" s="3" t="s">
        <v>1247</v>
      </c>
      <c r="K143" s="3" t="s">
        <v>997</v>
      </c>
      <c r="M143" s="4" t="s">
        <v>2177</v>
      </c>
      <c r="N143" s="3" t="s">
        <v>25</v>
      </c>
      <c r="Y143" s="4" t="s">
        <v>307</v>
      </c>
      <c r="Z143" s="4" t="s">
        <v>1430</v>
      </c>
      <c r="AD143" s="3" t="s">
        <v>1601</v>
      </c>
      <c r="AE143" s="3">
        <v>1000</v>
      </c>
      <c r="AI143" s="4" t="s">
        <v>309</v>
      </c>
      <c r="AJ143" s="4" t="s">
        <v>1432</v>
      </c>
      <c r="AL143" s="4">
        <v>30955</v>
      </c>
      <c r="AM143" s="5">
        <v>120000</v>
      </c>
      <c r="AN143" s="4" t="s">
        <v>124</v>
      </c>
      <c r="AO143" s="4">
        <v>97</v>
      </c>
    </row>
    <row r="144" spans="1:42" x14ac:dyDescent="0.25">
      <c r="A144" s="3">
        <v>4604355</v>
      </c>
      <c r="B144" s="3" t="s">
        <v>1247</v>
      </c>
      <c r="C144" s="3" t="s">
        <v>2158</v>
      </c>
      <c r="D144" s="3">
        <v>10004136</v>
      </c>
      <c r="E144" s="4">
        <v>4533706</v>
      </c>
      <c r="F144" s="3" t="s">
        <v>217</v>
      </c>
      <c r="G144" s="4" t="s">
        <v>2178</v>
      </c>
      <c r="H144" s="4" t="s">
        <v>2177</v>
      </c>
      <c r="I144" s="5">
        <v>150000</v>
      </c>
      <c r="J144" s="3" t="s">
        <v>1247</v>
      </c>
      <c r="K144" s="3" t="s">
        <v>187</v>
      </c>
      <c r="M144" s="4" t="s">
        <v>2177</v>
      </c>
      <c r="N144" s="3" t="s">
        <v>25</v>
      </c>
      <c r="Y144" s="4" t="s">
        <v>307</v>
      </c>
      <c r="Z144" s="4" t="s">
        <v>1430</v>
      </c>
      <c r="AD144" s="3" t="s">
        <v>1608</v>
      </c>
      <c r="AE144" s="3">
        <v>1000</v>
      </c>
      <c r="AI144" s="4" t="s">
        <v>309</v>
      </c>
      <c r="AJ144" s="4" t="s">
        <v>1432</v>
      </c>
      <c r="AL144" s="4">
        <v>30104</v>
      </c>
      <c r="AM144" s="5">
        <v>150000</v>
      </c>
      <c r="AN144" s="4" t="s">
        <v>124</v>
      </c>
      <c r="AO144" s="4">
        <v>96</v>
      </c>
    </row>
    <row r="145" spans="1:42" x14ac:dyDescent="0.25">
      <c r="A145" s="3">
        <v>4604425</v>
      </c>
      <c r="B145" s="3" t="s">
        <v>2189</v>
      </c>
      <c r="C145" s="3" t="s">
        <v>2158</v>
      </c>
      <c r="D145" s="3">
        <v>10004185</v>
      </c>
      <c r="E145" s="4">
        <v>4533776</v>
      </c>
      <c r="F145" s="3" t="s">
        <v>217</v>
      </c>
      <c r="G145" s="4" t="s">
        <v>2190</v>
      </c>
      <c r="H145" s="4" t="s">
        <v>2191</v>
      </c>
      <c r="I145" s="5">
        <v>116000</v>
      </c>
      <c r="J145" s="3" t="s">
        <v>2189</v>
      </c>
      <c r="K145" s="3" t="s">
        <v>223</v>
      </c>
      <c r="M145" s="4" t="s">
        <v>2191</v>
      </c>
      <c r="N145" s="3" t="s">
        <v>25</v>
      </c>
      <c r="Y145" s="4" t="s">
        <v>307</v>
      </c>
      <c r="Z145" s="4" t="s">
        <v>307</v>
      </c>
      <c r="AD145" s="3" t="s">
        <v>577</v>
      </c>
      <c r="AE145" s="3">
        <v>1000</v>
      </c>
      <c r="AI145" s="4" t="s">
        <v>309</v>
      </c>
      <c r="AJ145" s="4" t="s">
        <v>309</v>
      </c>
      <c r="AL145" s="4">
        <v>141713</v>
      </c>
      <c r="AM145" s="5">
        <v>116000</v>
      </c>
      <c r="AN145" s="4" t="s">
        <v>124</v>
      </c>
      <c r="AO145" s="4">
        <v>99</v>
      </c>
    </row>
    <row r="146" spans="1:42" x14ac:dyDescent="0.25">
      <c r="A146" s="3">
        <v>4604427</v>
      </c>
      <c r="B146" s="3" t="s">
        <v>1318</v>
      </c>
      <c r="C146" s="3" t="s">
        <v>2158</v>
      </c>
      <c r="D146" s="3">
        <v>10004218</v>
      </c>
      <c r="E146" s="4">
        <v>4533778</v>
      </c>
      <c r="F146" s="3" t="s">
        <v>217</v>
      </c>
      <c r="G146" s="4" t="s">
        <v>2192</v>
      </c>
      <c r="H146" s="4" t="s">
        <v>2193</v>
      </c>
      <c r="I146" s="5">
        <v>109000</v>
      </c>
      <c r="J146" s="3" t="s">
        <v>1318</v>
      </c>
      <c r="K146" s="3" t="s">
        <v>223</v>
      </c>
      <c r="M146" s="4" t="s">
        <v>2193</v>
      </c>
      <c r="N146" s="3" t="s">
        <v>25</v>
      </c>
      <c r="Y146" s="4" t="s">
        <v>307</v>
      </c>
      <c r="Z146" s="4" t="s">
        <v>307</v>
      </c>
      <c r="AA146" s="4" t="s">
        <v>2194</v>
      </c>
      <c r="AD146" s="3" t="s">
        <v>211</v>
      </c>
      <c r="AE146" s="3">
        <v>1000</v>
      </c>
      <c r="AI146" s="4" t="s">
        <v>309</v>
      </c>
      <c r="AJ146" s="4" t="s">
        <v>309</v>
      </c>
      <c r="AL146" s="4">
        <v>141712</v>
      </c>
      <c r="AM146" s="5">
        <v>109000</v>
      </c>
      <c r="AN146" s="4" t="s">
        <v>124</v>
      </c>
      <c r="AO146" s="4">
        <v>98</v>
      </c>
      <c r="AP146" s="4">
        <v>80161500</v>
      </c>
    </row>
    <row r="147" spans="1:42" x14ac:dyDescent="0.25">
      <c r="A147" s="3">
        <v>4602568</v>
      </c>
      <c r="B147" s="3" t="s">
        <v>48</v>
      </c>
      <c r="C147" s="3" t="s">
        <v>18</v>
      </c>
      <c r="D147" s="3">
        <v>10002504</v>
      </c>
      <c r="E147" s="4">
        <v>4531919</v>
      </c>
      <c r="F147" s="3" t="s">
        <v>49</v>
      </c>
      <c r="G147" s="4" t="s">
        <v>50</v>
      </c>
      <c r="H147" s="4" t="s">
        <v>51</v>
      </c>
      <c r="I147" s="5">
        <v>751269</v>
      </c>
      <c r="J147" s="3" t="s">
        <v>52</v>
      </c>
      <c r="K147" s="3" t="s">
        <v>53</v>
      </c>
      <c r="L147" s="3" t="s">
        <v>54</v>
      </c>
      <c r="M147" s="4" t="s">
        <v>55</v>
      </c>
      <c r="N147" s="3" t="s">
        <v>56</v>
      </c>
      <c r="Y147" s="4" t="s">
        <v>57</v>
      </c>
      <c r="Z147" s="4" t="s">
        <v>58</v>
      </c>
      <c r="AA147" s="4" t="s">
        <v>59</v>
      </c>
      <c r="AB147" s="3" t="s">
        <v>60</v>
      </c>
      <c r="AC147" s="3" t="s">
        <v>61</v>
      </c>
      <c r="AD147" s="3" t="s">
        <v>62</v>
      </c>
      <c r="AE147" s="3">
        <v>5000</v>
      </c>
      <c r="AI147" s="4" t="s">
        <v>63</v>
      </c>
      <c r="AJ147" s="4" t="s">
        <v>64</v>
      </c>
      <c r="AL147" s="4">
        <v>140189</v>
      </c>
      <c r="AM147" s="5">
        <v>751269</v>
      </c>
      <c r="AN147" s="4" t="s">
        <v>31</v>
      </c>
      <c r="AO147" s="4">
        <v>99</v>
      </c>
      <c r="AP147" s="4">
        <v>80101604</v>
      </c>
    </row>
    <row r="148" spans="1:42" x14ac:dyDescent="0.25">
      <c r="A148" s="3">
        <v>4602736</v>
      </c>
      <c r="B148" s="3" t="s">
        <v>65</v>
      </c>
      <c r="C148" s="3" t="s">
        <v>18</v>
      </c>
      <c r="D148" s="3">
        <v>10002504</v>
      </c>
      <c r="E148" s="4">
        <v>4532087</v>
      </c>
      <c r="F148" s="3" t="s">
        <v>49</v>
      </c>
      <c r="G148" s="4" t="s">
        <v>66</v>
      </c>
      <c r="H148" s="4" t="s">
        <v>67</v>
      </c>
      <c r="I148" s="5">
        <v>611493.02</v>
      </c>
      <c r="J148" s="3" t="s">
        <v>68</v>
      </c>
      <c r="K148" s="3" t="s">
        <v>53</v>
      </c>
      <c r="L148" s="3" t="s">
        <v>54</v>
      </c>
      <c r="M148" s="4" t="s">
        <v>69</v>
      </c>
      <c r="N148" s="3" t="s">
        <v>56</v>
      </c>
      <c r="Y148" s="4" t="s">
        <v>57</v>
      </c>
      <c r="Z148" s="4" t="s">
        <v>58</v>
      </c>
      <c r="AA148" s="4" t="s">
        <v>59</v>
      </c>
      <c r="AB148" s="3" t="s">
        <v>70</v>
      </c>
      <c r="AC148" s="3" t="s">
        <v>71</v>
      </c>
      <c r="AD148" s="3" t="s">
        <v>72</v>
      </c>
      <c r="AE148" s="3">
        <v>5000</v>
      </c>
      <c r="AI148" s="4" t="s">
        <v>63</v>
      </c>
      <c r="AJ148" s="4" t="s">
        <v>64</v>
      </c>
      <c r="AL148" s="4">
        <v>140835</v>
      </c>
      <c r="AM148" s="5">
        <v>611493.02</v>
      </c>
      <c r="AN148" s="4" t="s">
        <v>31</v>
      </c>
      <c r="AO148" s="4">
        <v>97</v>
      </c>
      <c r="AP148" s="4">
        <v>80101604</v>
      </c>
    </row>
    <row r="149" spans="1:42" x14ac:dyDescent="0.25">
      <c r="A149" s="3">
        <v>4603367</v>
      </c>
      <c r="B149" s="3" t="s">
        <v>98</v>
      </c>
      <c r="C149" s="3" t="s">
        <v>18</v>
      </c>
      <c r="D149" s="3">
        <v>10002504</v>
      </c>
      <c r="E149" s="4">
        <v>4532718</v>
      </c>
      <c r="F149" s="3" t="s">
        <v>49</v>
      </c>
      <c r="G149" s="4" t="s">
        <v>50</v>
      </c>
      <c r="H149" s="4" t="s">
        <v>99</v>
      </c>
      <c r="I149" s="5">
        <v>5412237.9900000002</v>
      </c>
      <c r="J149" s="3" t="s">
        <v>52</v>
      </c>
      <c r="K149" s="3" t="s">
        <v>53</v>
      </c>
      <c r="L149" s="3" t="s">
        <v>54</v>
      </c>
      <c r="M149" s="4" t="s">
        <v>99</v>
      </c>
      <c r="N149" s="3" t="s">
        <v>56</v>
      </c>
      <c r="Y149" s="4" t="s">
        <v>100</v>
      </c>
      <c r="Z149" s="4" t="s">
        <v>100</v>
      </c>
      <c r="AA149" s="4" t="s">
        <v>59</v>
      </c>
      <c r="AB149" s="3" t="s">
        <v>60</v>
      </c>
      <c r="AC149" s="3" t="s">
        <v>61</v>
      </c>
      <c r="AD149" s="3" t="s">
        <v>101</v>
      </c>
      <c r="AE149" s="3">
        <v>5000</v>
      </c>
      <c r="AI149" s="4" t="s">
        <v>102</v>
      </c>
      <c r="AJ149" s="4" t="s">
        <v>102</v>
      </c>
      <c r="AL149" s="4">
        <v>140189</v>
      </c>
      <c r="AM149" s="5">
        <v>5412237.9900000002</v>
      </c>
      <c r="AN149" s="4" t="s">
        <v>31</v>
      </c>
      <c r="AO149" s="4">
        <v>99</v>
      </c>
      <c r="AP149" s="4">
        <v>80101604</v>
      </c>
    </row>
    <row r="150" spans="1:42" x14ac:dyDescent="0.25">
      <c r="A150" s="3">
        <v>4603646</v>
      </c>
      <c r="B150" s="3" t="s">
        <v>103</v>
      </c>
      <c r="C150" s="3" t="s">
        <v>18</v>
      </c>
      <c r="D150" s="3">
        <v>10002504</v>
      </c>
      <c r="E150" s="4">
        <v>4532997</v>
      </c>
      <c r="F150" s="3" t="s">
        <v>49</v>
      </c>
      <c r="G150" s="4" t="s">
        <v>50</v>
      </c>
      <c r="H150" s="4" t="s">
        <v>99</v>
      </c>
      <c r="I150" s="5">
        <v>725999</v>
      </c>
      <c r="J150" s="3" t="s">
        <v>52</v>
      </c>
      <c r="K150" s="3" t="s">
        <v>53</v>
      </c>
      <c r="L150" s="3" t="s">
        <v>54</v>
      </c>
      <c r="M150" s="4" t="s">
        <v>99</v>
      </c>
      <c r="N150" s="3" t="s">
        <v>56</v>
      </c>
      <c r="Y150" s="4" t="s">
        <v>104</v>
      </c>
      <c r="Z150" s="4" t="s">
        <v>104</v>
      </c>
      <c r="AA150" s="4" t="s">
        <v>59</v>
      </c>
      <c r="AB150" s="3" t="s">
        <v>60</v>
      </c>
      <c r="AC150" s="3" t="s">
        <v>61</v>
      </c>
      <c r="AD150" s="3" t="s">
        <v>103</v>
      </c>
      <c r="AE150" s="3">
        <v>5000</v>
      </c>
      <c r="AI150" s="4" t="s">
        <v>105</v>
      </c>
      <c r="AJ150" s="4" t="s">
        <v>105</v>
      </c>
      <c r="AL150" s="4">
        <v>140189</v>
      </c>
      <c r="AM150" s="5">
        <v>725999</v>
      </c>
      <c r="AN150" s="4" t="s">
        <v>31</v>
      </c>
      <c r="AO150" s="4">
        <v>99</v>
      </c>
      <c r="AP150" s="4">
        <v>80101604</v>
      </c>
    </row>
    <row r="151" spans="1:42" x14ac:dyDescent="0.25">
      <c r="A151" s="3">
        <v>4603298</v>
      </c>
      <c r="B151" s="3" t="s">
        <v>116</v>
      </c>
      <c r="C151" s="3" t="s">
        <v>107</v>
      </c>
      <c r="D151" s="3">
        <v>10003086</v>
      </c>
      <c r="E151" s="4">
        <v>4532649</v>
      </c>
      <c r="F151" s="3" t="s">
        <v>49</v>
      </c>
      <c r="G151" s="4" t="s">
        <v>117</v>
      </c>
      <c r="H151" s="4" t="s">
        <v>118</v>
      </c>
      <c r="I151" s="5">
        <v>665465.01</v>
      </c>
      <c r="J151" s="3" t="s">
        <v>116</v>
      </c>
      <c r="K151" s="3" t="s">
        <v>77</v>
      </c>
      <c r="L151" s="3" t="s">
        <v>119</v>
      </c>
      <c r="M151" s="4" t="s">
        <v>118</v>
      </c>
      <c r="N151" s="3" t="s">
        <v>25</v>
      </c>
      <c r="Y151" s="4" t="s">
        <v>120</v>
      </c>
      <c r="Z151" s="4" t="s">
        <v>112</v>
      </c>
      <c r="AA151" s="4" t="s">
        <v>121</v>
      </c>
      <c r="AD151" s="3" t="s">
        <v>122</v>
      </c>
      <c r="AE151" s="3">
        <v>1000</v>
      </c>
      <c r="AI151" s="4" t="s">
        <v>123</v>
      </c>
      <c r="AJ151" s="4" t="s">
        <v>115</v>
      </c>
      <c r="AL151" s="4">
        <v>44797</v>
      </c>
      <c r="AM151" s="5">
        <v>665465.01</v>
      </c>
      <c r="AN151" s="4" t="s">
        <v>124</v>
      </c>
      <c r="AO151" s="4">
        <v>99</v>
      </c>
      <c r="AP151" s="4">
        <v>80100000</v>
      </c>
    </row>
    <row r="152" spans="1:42" x14ac:dyDescent="0.25">
      <c r="A152" s="3">
        <v>4603546</v>
      </c>
      <c r="B152" s="3" t="s">
        <v>133</v>
      </c>
      <c r="C152" s="3" t="s">
        <v>107</v>
      </c>
      <c r="D152" s="3">
        <v>10003386</v>
      </c>
      <c r="E152" s="4">
        <v>4532897</v>
      </c>
      <c r="F152" s="3" t="s">
        <v>49</v>
      </c>
      <c r="G152" s="4" t="s">
        <v>134</v>
      </c>
      <c r="H152" s="4" t="s">
        <v>135</v>
      </c>
      <c r="I152" s="5">
        <v>707534.99</v>
      </c>
      <c r="J152" s="3" t="s">
        <v>136</v>
      </c>
      <c r="K152" s="3" t="s">
        <v>137</v>
      </c>
      <c r="L152" s="3" t="s">
        <v>119</v>
      </c>
      <c r="M152" s="4" t="s">
        <v>138</v>
      </c>
      <c r="N152" s="3" t="s">
        <v>56</v>
      </c>
      <c r="O152" s="3" t="s">
        <v>139</v>
      </c>
      <c r="P152" s="4" t="s">
        <v>140</v>
      </c>
      <c r="Y152" s="4" t="s">
        <v>120</v>
      </c>
      <c r="Z152" s="4" t="s">
        <v>141</v>
      </c>
      <c r="AD152" s="3" t="s">
        <v>122</v>
      </c>
      <c r="AE152" s="3">
        <v>1000</v>
      </c>
      <c r="AI152" s="4" t="s">
        <v>123</v>
      </c>
      <c r="AJ152" s="4" t="s">
        <v>142</v>
      </c>
      <c r="AK152" s="3" t="s">
        <v>143</v>
      </c>
      <c r="AL152" s="4">
        <v>41275</v>
      </c>
      <c r="AM152" s="5">
        <v>707534.99</v>
      </c>
      <c r="AN152" s="4" t="s">
        <v>124</v>
      </c>
      <c r="AO152" s="4">
        <v>99</v>
      </c>
    </row>
    <row r="153" spans="1:42" x14ac:dyDescent="0.25">
      <c r="A153" s="3">
        <v>4604450</v>
      </c>
      <c r="B153" s="3" t="s">
        <v>173</v>
      </c>
      <c r="C153" s="3" t="s">
        <v>107</v>
      </c>
      <c r="D153" s="3">
        <v>10004245</v>
      </c>
      <c r="E153" s="4">
        <v>4533801</v>
      </c>
      <c r="F153" s="3" t="s">
        <v>49</v>
      </c>
      <c r="G153" s="4" t="s">
        <v>174</v>
      </c>
      <c r="I153" s="5">
        <v>4400.0600000000004</v>
      </c>
      <c r="J153" s="3" t="s">
        <v>175</v>
      </c>
      <c r="K153" s="3" t="s">
        <v>176</v>
      </c>
      <c r="L153" s="3" t="s">
        <v>119</v>
      </c>
      <c r="M153" s="4" t="s">
        <v>177</v>
      </c>
      <c r="N153" s="3" t="s">
        <v>56</v>
      </c>
      <c r="Y153" s="4" t="s">
        <v>178</v>
      </c>
      <c r="Z153" s="4" t="s">
        <v>179</v>
      </c>
      <c r="AD153" s="3" t="s">
        <v>180</v>
      </c>
      <c r="AE153" s="3">
        <v>1000</v>
      </c>
      <c r="AI153" s="4" t="s">
        <v>181</v>
      </c>
      <c r="AJ153" s="4" t="s">
        <v>182</v>
      </c>
      <c r="AL153" s="4">
        <v>40476</v>
      </c>
      <c r="AM153" s="5">
        <v>4400.0600000000004</v>
      </c>
      <c r="AN153" s="4" t="s">
        <v>124</v>
      </c>
    </row>
    <row r="154" spans="1:42" x14ac:dyDescent="0.25">
      <c r="A154" s="3">
        <v>4604467</v>
      </c>
      <c r="B154" s="3" t="s">
        <v>183</v>
      </c>
      <c r="C154" s="3" t="s">
        <v>107</v>
      </c>
      <c r="D154" s="3">
        <v>10004263</v>
      </c>
      <c r="E154" s="4">
        <v>4533818</v>
      </c>
      <c r="F154" s="3" t="s">
        <v>49</v>
      </c>
      <c r="G154" s="4" t="s">
        <v>184</v>
      </c>
      <c r="H154" s="4" t="s">
        <v>185</v>
      </c>
      <c r="I154" s="5">
        <v>35000</v>
      </c>
      <c r="J154" s="3" t="s">
        <v>186</v>
      </c>
      <c r="K154" s="3" t="s">
        <v>187</v>
      </c>
      <c r="L154" s="3" t="s">
        <v>119</v>
      </c>
      <c r="M154" s="4" t="s">
        <v>185</v>
      </c>
      <c r="N154" s="3" t="s">
        <v>56</v>
      </c>
      <c r="Y154" s="4" t="s">
        <v>179</v>
      </c>
      <c r="Z154" s="4" t="s">
        <v>179</v>
      </c>
      <c r="AA154" s="4" t="s">
        <v>188</v>
      </c>
      <c r="AB154" s="3" t="s">
        <v>189</v>
      </c>
      <c r="AC154" s="3" t="s">
        <v>190</v>
      </c>
      <c r="AD154" s="3" t="s">
        <v>191</v>
      </c>
      <c r="AE154" s="3">
        <v>1000</v>
      </c>
      <c r="AI154" s="4" t="s">
        <v>182</v>
      </c>
      <c r="AJ154" s="4" t="s">
        <v>182</v>
      </c>
      <c r="AL154" s="4">
        <v>40619</v>
      </c>
      <c r="AM154" s="5">
        <v>35000</v>
      </c>
      <c r="AN154" s="4" t="s">
        <v>124</v>
      </c>
      <c r="AO154" s="4">
        <v>99</v>
      </c>
      <c r="AP154" s="4">
        <v>80111600</v>
      </c>
    </row>
    <row r="155" spans="1:42" x14ac:dyDescent="0.25">
      <c r="A155" s="3">
        <v>4604547</v>
      </c>
      <c r="B155" s="3" t="s">
        <v>192</v>
      </c>
      <c r="C155" s="3" t="s">
        <v>107</v>
      </c>
      <c r="D155" s="3">
        <v>10004332</v>
      </c>
      <c r="E155" s="4">
        <v>4533898</v>
      </c>
      <c r="F155" s="3" t="s">
        <v>49</v>
      </c>
      <c r="G155" s="4" t="s">
        <v>193</v>
      </c>
      <c r="H155" s="4" t="s">
        <v>194</v>
      </c>
      <c r="I155" s="5">
        <v>10120</v>
      </c>
      <c r="J155" s="3" t="s">
        <v>195</v>
      </c>
      <c r="K155" s="3" t="s">
        <v>77</v>
      </c>
      <c r="L155" s="3" t="s">
        <v>196</v>
      </c>
      <c r="M155" s="4" t="s">
        <v>197</v>
      </c>
      <c r="N155" s="3" t="s">
        <v>25</v>
      </c>
      <c r="Y155" s="4" t="s">
        <v>198</v>
      </c>
      <c r="Z155" s="4" t="s">
        <v>198</v>
      </c>
      <c r="AA155" s="4" t="s">
        <v>199</v>
      </c>
      <c r="AD155" s="3" t="s">
        <v>200</v>
      </c>
      <c r="AE155" s="3">
        <v>1000</v>
      </c>
      <c r="AI155" s="4" t="s">
        <v>201</v>
      </c>
      <c r="AJ155" s="4" t="s">
        <v>201</v>
      </c>
      <c r="AL155" s="4">
        <v>48568</v>
      </c>
      <c r="AM155" s="5">
        <v>10120</v>
      </c>
      <c r="AN155" s="4" t="s">
        <v>124</v>
      </c>
      <c r="AO155" s="4">
        <v>99</v>
      </c>
      <c r="AP155" s="4">
        <v>55110000</v>
      </c>
    </row>
    <row r="156" spans="1:42" x14ac:dyDescent="0.25">
      <c r="A156" s="3">
        <v>4604570</v>
      </c>
      <c r="B156" s="3" t="s">
        <v>202</v>
      </c>
      <c r="C156" s="3" t="s">
        <v>107</v>
      </c>
      <c r="D156" s="3">
        <v>10004346</v>
      </c>
      <c r="E156" s="4">
        <v>4533921</v>
      </c>
      <c r="F156" s="3" t="s">
        <v>49</v>
      </c>
      <c r="G156" s="4" t="s">
        <v>203</v>
      </c>
      <c r="H156" s="4" t="s">
        <v>204</v>
      </c>
      <c r="I156" s="5">
        <v>72803.5</v>
      </c>
      <c r="J156" s="3" t="s">
        <v>76</v>
      </c>
      <c r="K156" s="3" t="s">
        <v>77</v>
      </c>
      <c r="L156" s="3" t="s">
        <v>196</v>
      </c>
      <c r="M156" s="4" t="s">
        <v>205</v>
      </c>
      <c r="N156" s="3" t="s">
        <v>25</v>
      </c>
      <c r="Y156" s="4" t="s">
        <v>206</v>
      </c>
      <c r="Z156" s="4" t="s">
        <v>207</v>
      </c>
      <c r="AA156" s="4" t="s">
        <v>199</v>
      </c>
      <c r="AD156" s="3" t="s">
        <v>208</v>
      </c>
      <c r="AE156" s="3">
        <v>1000</v>
      </c>
      <c r="AI156" s="4" t="s">
        <v>209</v>
      </c>
      <c r="AJ156" s="4" t="s">
        <v>210</v>
      </c>
      <c r="AL156" s="4">
        <v>140367</v>
      </c>
      <c r="AM156" s="5">
        <v>72803.5</v>
      </c>
      <c r="AN156" s="4" t="s">
        <v>124</v>
      </c>
      <c r="AO156" s="4">
        <v>98</v>
      </c>
      <c r="AP156" s="4">
        <v>43211501</v>
      </c>
    </row>
    <row r="157" spans="1:42" x14ac:dyDescent="0.25">
      <c r="A157" s="3">
        <v>4604634</v>
      </c>
      <c r="B157" s="3" t="s">
        <v>211</v>
      </c>
      <c r="C157" s="3" t="s">
        <v>107</v>
      </c>
      <c r="D157" s="3">
        <v>10004430</v>
      </c>
      <c r="E157" s="4">
        <v>4533985</v>
      </c>
      <c r="F157" s="3" t="s">
        <v>49</v>
      </c>
      <c r="G157" s="4" t="s">
        <v>212</v>
      </c>
      <c r="H157" s="4" t="s">
        <v>213</v>
      </c>
      <c r="I157" s="5">
        <v>49390</v>
      </c>
      <c r="J157" s="3" t="s">
        <v>211</v>
      </c>
      <c r="K157" s="3" t="s">
        <v>214</v>
      </c>
      <c r="L157" s="3" t="s">
        <v>119</v>
      </c>
      <c r="M157" s="4" t="s">
        <v>213</v>
      </c>
      <c r="N157" s="3" t="s">
        <v>56</v>
      </c>
      <c r="Q157" s="3" t="s">
        <v>139</v>
      </c>
      <c r="R157" s="3" t="s">
        <v>215</v>
      </c>
      <c r="S157" s="4" t="s">
        <v>216</v>
      </c>
      <c r="U157" s="4" t="s">
        <v>139</v>
      </c>
      <c r="V157" s="4" t="s">
        <v>119</v>
      </c>
      <c r="W157" s="4" t="s">
        <v>217</v>
      </c>
      <c r="X157" s="4" t="s">
        <v>218</v>
      </c>
      <c r="Y157" s="4" t="s">
        <v>219</v>
      </c>
      <c r="Z157" s="4" t="s">
        <v>220</v>
      </c>
      <c r="AA157" s="4">
        <v>20000211</v>
      </c>
      <c r="AB157" s="3" t="s">
        <v>221</v>
      </c>
      <c r="AC157" s="3" t="s">
        <v>222</v>
      </c>
      <c r="AD157" s="3" t="s">
        <v>223</v>
      </c>
      <c r="AE157" s="3">
        <v>1000</v>
      </c>
      <c r="AI157" s="4" t="s">
        <v>224</v>
      </c>
      <c r="AJ157" s="4" t="s">
        <v>225</v>
      </c>
      <c r="AL157" s="4">
        <v>141651</v>
      </c>
      <c r="AM157" s="5">
        <v>49390</v>
      </c>
      <c r="AN157" s="4" t="s">
        <v>124</v>
      </c>
      <c r="AO157" s="4">
        <v>99</v>
      </c>
      <c r="AP157" s="4">
        <v>80101504</v>
      </c>
    </row>
    <row r="158" spans="1:42" x14ac:dyDescent="0.25">
      <c r="A158" s="3">
        <v>4604442</v>
      </c>
      <c r="B158" s="3" t="s">
        <v>254</v>
      </c>
      <c r="C158" s="3" t="s">
        <v>255</v>
      </c>
      <c r="D158" s="3">
        <v>10004234</v>
      </c>
      <c r="E158" s="4">
        <v>4533793</v>
      </c>
      <c r="F158" s="3" t="s">
        <v>49</v>
      </c>
      <c r="G158" s="4" t="s">
        <v>256</v>
      </c>
      <c r="H158" s="4" t="s">
        <v>257</v>
      </c>
      <c r="I158" s="5">
        <v>11196.63</v>
      </c>
      <c r="J158" s="3" t="s">
        <v>258</v>
      </c>
      <c r="K158" s="3" t="s">
        <v>259</v>
      </c>
      <c r="L158" s="3" t="s">
        <v>196</v>
      </c>
      <c r="M158" s="4" t="s">
        <v>257</v>
      </c>
      <c r="N158" s="3" t="s">
        <v>25</v>
      </c>
      <c r="Y158" s="4" t="s">
        <v>260</v>
      </c>
      <c r="Z158" s="4" t="s">
        <v>260</v>
      </c>
      <c r="AD158" s="3" t="s">
        <v>254</v>
      </c>
      <c r="AE158" s="3">
        <v>1000</v>
      </c>
      <c r="AI158" s="4" t="s">
        <v>261</v>
      </c>
      <c r="AJ158" s="4" t="s">
        <v>261</v>
      </c>
      <c r="AL158" s="4">
        <v>48397</v>
      </c>
      <c r="AM158" s="5">
        <v>11196.63</v>
      </c>
      <c r="AN158" s="4" t="s">
        <v>124</v>
      </c>
      <c r="AO158" s="4">
        <v>99</v>
      </c>
      <c r="AP158" s="4">
        <v>86000000</v>
      </c>
    </row>
    <row r="159" spans="1:42" x14ac:dyDescent="0.25">
      <c r="A159" s="3">
        <v>4604544</v>
      </c>
      <c r="B159" s="3" t="s">
        <v>262</v>
      </c>
      <c r="C159" s="3" t="s">
        <v>255</v>
      </c>
      <c r="D159" s="3">
        <v>10004329</v>
      </c>
      <c r="E159" s="4">
        <v>4533895</v>
      </c>
      <c r="F159" s="3" t="s">
        <v>49</v>
      </c>
      <c r="G159" s="4" t="s">
        <v>263</v>
      </c>
      <c r="H159" s="4" t="s">
        <v>264</v>
      </c>
      <c r="I159" s="5">
        <v>260000</v>
      </c>
      <c r="J159" s="3" t="s">
        <v>265</v>
      </c>
      <c r="K159" s="3" t="s">
        <v>187</v>
      </c>
      <c r="L159" s="3" t="s">
        <v>119</v>
      </c>
      <c r="M159" s="4" t="s">
        <v>266</v>
      </c>
      <c r="N159" s="3" t="s">
        <v>56</v>
      </c>
      <c r="Y159" s="4" t="s">
        <v>267</v>
      </c>
      <c r="Z159" s="4" t="s">
        <v>267</v>
      </c>
      <c r="AA159" s="4">
        <v>11.266999999999999</v>
      </c>
      <c r="AB159" s="3" t="s">
        <v>268</v>
      </c>
      <c r="AC159" s="3" t="s">
        <v>269</v>
      </c>
      <c r="AD159" s="3" t="s">
        <v>259</v>
      </c>
      <c r="AE159" s="3">
        <v>1000</v>
      </c>
      <c r="AI159" s="4" t="s">
        <v>270</v>
      </c>
      <c r="AJ159" s="4" t="s">
        <v>270</v>
      </c>
      <c r="AL159" s="4">
        <v>141722</v>
      </c>
      <c r="AM159" s="5">
        <v>260000</v>
      </c>
      <c r="AN159" s="4" t="s">
        <v>124</v>
      </c>
      <c r="AO159" s="4">
        <v>98</v>
      </c>
      <c r="AP159" s="4">
        <v>80111700</v>
      </c>
    </row>
    <row r="160" spans="1:42" x14ac:dyDescent="0.25">
      <c r="A160" s="3">
        <v>4604545</v>
      </c>
      <c r="B160" s="3" t="s">
        <v>192</v>
      </c>
      <c r="C160" s="3" t="s">
        <v>255</v>
      </c>
      <c r="D160" s="3">
        <v>10004330</v>
      </c>
      <c r="E160" s="4">
        <v>4533896</v>
      </c>
      <c r="F160" s="3" t="s">
        <v>49</v>
      </c>
      <c r="G160" s="4" t="s">
        <v>271</v>
      </c>
      <c r="H160" s="4" t="s">
        <v>264</v>
      </c>
      <c r="I160" s="5">
        <v>260000</v>
      </c>
      <c r="J160" s="3" t="s">
        <v>265</v>
      </c>
      <c r="K160" s="3" t="s">
        <v>272</v>
      </c>
      <c r="L160" s="3" t="s">
        <v>119</v>
      </c>
      <c r="M160" s="4" t="s">
        <v>273</v>
      </c>
      <c r="N160" s="3" t="s">
        <v>56</v>
      </c>
      <c r="Y160" s="4" t="s">
        <v>267</v>
      </c>
      <c r="Z160" s="4" t="s">
        <v>267</v>
      </c>
      <c r="AA160" s="4">
        <v>11.266999999999999</v>
      </c>
      <c r="AB160" s="3" t="s">
        <v>274</v>
      </c>
      <c r="AC160" s="3" t="s">
        <v>269</v>
      </c>
      <c r="AD160" s="3" t="s">
        <v>275</v>
      </c>
      <c r="AE160" s="3">
        <v>1000</v>
      </c>
      <c r="AI160" s="4" t="s">
        <v>270</v>
      </c>
      <c r="AJ160" s="4" t="s">
        <v>270</v>
      </c>
      <c r="AL160" s="4">
        <v>46721</v>
      </c>
      <c r="AM160" s="5">
        <v>260000</v>
      </c>
      <c r="AN160" s="4" t="s">
        <v>124</v>
      </c>
      <c r="AO160" s="4">
        <v>98</v>
      </c>
      <c r="AP160" s="4">
        <v>80111700</v>
      </c>
    </row>
    <row r="161" spans="1:42" x14ac:dyDescent="0.25">
      <c r="A161" s="3">
        <v>4604555</v>
      </c>
      <c r="B161" s="3" t="s">
        <v>195</v>
      </c>
      <c r="C161" s="3" t="s">
        <v>255</v>
      </c>
      <c r="D161" s="3">
        <v>10004338</v>
      </c>
      <c r="E161" s="4">
        <v>4533906</v>
      </c>
      <c r="F161" s="3" t="s">
        <v>49</v>
      </c>
      <c r="G161" s="4" t="s">
        <v>276</v>
      </c>
      <c r="H161" s="4" t="s">
        <v>277</v>
      </c>
      <c r="I161" s="5">
        <v>70000</v>
      </c>
      <c r="J161" s="3" t="s">
        <v>195</v>
      </c>
      <c r="K161" s="3" t="s">
        <v>223</v>
      </c>
      <c r="L161" s="3" t="s">
        <v>196</v>
      </c>
      <c r="M161" s="4" t="s">
        <v>277</v>
      </c>
      <c r="N161" s="3" t="s">
        <v>25</v>
      </c>
      <c r="Y161" s="4" t="s">
        <v>267</v>
      </c>
      <c r="Z161" s="4" t="s">
        <v>267</v>
      </c>
      <c r="AD161" s="3" t="s">
        <v>278</v>
      </c>
      <c r="AE161" s="3">
        <v>1000</v>
      </c>
      <c r="AI161" s="4" t="s">
        <v>270</v>
      </c>
      <c r="AJ161" s="4" t="s">
        <v>270</v>
      </c>
      <c r="AL161" s="4">
        <v>140400</v>
      </c>
      <c r="AM161" s="5">
        <v>70000</v>
      </c>
      <c r="AN161" s="4" t="s">
        <v>124</v>
      </c>
      <c r="AO161" s="4">
        <v>99</v>
      </c>
      <c r="AP161" s="4">
        <v>83100000</v>
      </c>
    </row>
    <row r="162" spans="1:42" x14ac:dyDescent="0.25">
      <c r="A162" s="3">
        <v>4604652</v>
      </c>
      <c r="B162" s="3" t="s">
        <v>214</v>
      </c>
      <c r="C162" s="3" t="s">
        <v>255</v>
      </c>
      <c r="D162" s="3">
        <v>10004434</v>
      </c>
      <c r="E162" s="4">
        <v>4534003</v>
      </c>
      <c r="F162" s="3" t="s">
        <v>49</v>
      </c>
      <c r="G162" s="4" t="s">
        <v>279</v>
      </c>
      <c r="H162" s="4" t="s">
        <v>280</v>
      </c>
      <c r="I162" s="5">
        <v>50000</v>
      </c>
      <c r="J162" s="3" t="s">
        <v>214</v>
      </c>
      <c r="K162" s="3" t="s">
        <v>187</v>
      </c>
      <c r="L162" s="3" t="s">
        <v>196</v>
      </c>
      <c r="M162" s="4" t="s">
        <v>281</v>
      </c>
      <c r="N162" s="3" t="s">
        <v>25</v>
      </c>
      <c r="O162" s="3" t="s">
        <v>139</v>
      </c>
      <c r="P162" s="4" t="s">
        <v>282</v>
      </c>
      <c r="Y162" s="4" t="s">
        <v>283</v>
      </c>
      <c r="Z162" s="4" t="s">
        <v>283</v>
      </c>
      <c r="AD162" s="3" t="s">
        <v>284</v>
      </c>
      <c r="AE162" s="3">
        <v>1000</v>
      </c>
      <c r="AI162" s="4" t="s">
        <v>285</v>
      </c>
      <c r="AJ162" s="4" t="s">
        <v>285</v>
      </c>
      <c r="AK162" s="3" t="s">
        <v>286</v>
      </c>
      <c r="AL162" s="4">
        <v>141759</v>
      </c>
      <c r="AM162" s="5">
        <v>50000</v>
      </c>
      <c r="AN162" s="4" t="s">
        <v>124</v>
      </c>
      <c r="AO162" s="4">
        <v>98</v>
      </c>
      <c r="AP162" s="4">
        <v>80101504</v>
      </c>
    </row>
    <row r="163" spans="1:42" x14ac:dyDescent="0.25">
      <c r="A163" s="3">
        <v>4604699</v>
      </c>
      <c r="B163" s="3" t="s">
        <v>287</v>
      </c>
      <c r="C163" s="3" t="s">
        <v>288</v>
      </c>
      <c r="D163" s="3">
        <v>10004501</v>
      </c>
      <c r="E163" s="4">
        <v>4534050</v>
      </c>
      <c r="F163" s="3" t="s">
        <v>49</v>
      </c>
      <c r="G163" s="4" t="s">
        <v>289</v>
      </c>
      <c r="H163" s="4" t="s">
        <v>290</v>
      </c>
      <c r="I163" s="5">
        <v>12948.74</v>
      </c>
      <c r="J163" s="3" t="s">
        <v>291</v>
      </c>
      <c r="K163" s="3" t="s">
        <v>292</v>
      </c>
      <c r="L163" s="3" t="s">
        <v>119</v>
      </c>
      <c r="M163" s="4" t="s">
        <v>290</v>
      </c>
      <c r="N163" s="3" t="s">
        <v>56</v>
      </c>
      <c r="Y163" s="4" t="s">
        <v>178</v>
      </c>
      <c r="Z163" s="4" t="s">
        <v>178</v>
      </c>
      <c r="AA163" s="4" t="s">
        <v>188</v>
      </c>
      <c r="AB163" s="3" t="s">
        <v>293</v>
      </c>
      <c r="AC163" s="3" t="s">
        <v>190</v>
      </c>
      <c r="AD163" s="3" t="s">
        <v>77</v>
      </c>
      <c r="AE163" s="3">
        <v>1000</v>
      </c>
      <c r="AI163" s="4" t="s">
        <v>181</v>
      </c>
      <c r="AJ163" s="4" t="s">
        <v>181</v>
      </c>
      <c r="AL163" s="4">
        <v>141467</v>
      </c>
      <c r="AM163" s="5">
        <v>12948.74</v>
      </c>
      <c r="AN163" s="4" t="s">
        <v>124</v>
      </c>
      <c r="AO163" s="4">
        <v>99</v>
      </c>
      <c r="AP163" s="4">
        <v>80111600</v>
      </c>
    </row>
    <row r="164" spans="1:42" x14ac:dyDescent="0.25">
      <c r="A164" s="3">
        <v>4604712</v>
      </c>
      <c r="B164" s="3" t="s">
        <v>301</v>
      </c>
      <c r="C164" s="3" t="s">
        <v>288</v>
      </c>
      <c r="D164" s="3">
        <v>10004511</v>
      </c>
      <c r="E164" s="4">
        <v>4534063</v>
      </c>
      <c r="F164" s="3" t="s">
        <v>49</v>
      </c>
      <c r="G164" s="4" t="s">
        <v>174</v>
      </c>
      <c r="I164" s="5">
        <v>2933.36</v>
      </c>
      <c r="J164" s="3" t="s">
        <v>301</v>
      </c>
      <c r="K164" s="3" t="s">
        <v>302</v>
      </c>
      <c r="L164" s="3" t="s">
        <v>119</v>
      </c>
      <c r="M164" s="4" t="s">
        <v>303</v>
      </c>
      <c r="N164" s="3" t="s">
        <v>56</v>
      </c>
      <c r="Y164" s="4" t="s">
        <v>178</v>
      </c>
      <c r="Z164" s="4" t="s">
        <v>178</v>
      </c>
      <c r="AD164" s="3" t="s">
        <v>304</v>
      </c>
      <c r="AE164" s="3">
        <v>1000</v>
      </c>
      <c r="AI164" s="4" t="s">
        <v>181</v>
      </c>
      <c r="AJ164" s="4" t="s">
        <v>181</v>
      </c>
      <c r="AL164" s="4">
        <v>40476</v>
      </c>
      <c r="AM164" s="5">
        <v>2933.36</v>
      </c>
      <c r="AN164" s="4" t="s">
        <v>124</v>
      </c>
    </row>
    <row r="165" spans="1:42" x14ac:dyDescent="0.25">
      <c r="A165" s="3">
        <v>4604721</v>
      </c>
      <c r="B165" s="3" t="s">
        <v>173</v>
      </c>
      <c r="C165" s="3" t="s">
        <v>288</v>
      </c>
      <c r="D165" s="3">
        <v>10004522</v>
      </c>
      <c r="E165" s="4">
        <v>4534072</v>
      </c>
      <c r="F165" s="3" t="s">
        <v>49</v>
      </c>
      <c r="G165" s="4" t="s">
        <v>305</v>
      </c>
      <c r="H165" s="4" t="s">
        <v>306</v>
      </c>
      <c r="I165" s="5">
        <v>56000</v>
      </c>
      <c r="J165" s="3" t="s">
        <v>173</v>
      </c>
      <c r="K165" s="3" t="s">
        <v>77</v>
      </c>
      <c r="L165" s="3" t="s">
        <v>196</v>
      </c>
      <c r="M165" s="4" t="s">
        <v>306</v>
      </c>
      <c r="N165" s="3" t="s">
        <v>25</v>
      </c>
      <c r="Y165" s="4" t="s">
        <v>307</v>
      </c>
      <c r="Z165" s="4" t="s">
        <v>307</v>
      </c>
      <c r="AA165" s="4" t="s">
        <v>308</v>
      </c>
      <c r="AD165" s="3" t="s">
        <v>284</v>
      </c>
      <c r="AE165" s="3">
        <v>1000</v>
      </c>
      <c r="AI165" s="4" t="s">
        <v>309</v>
      </c>
      <c r="AJ165" s="4" t="s">
        <v>309</v>
      </c>
      <c r="AL165" s="4">
        <v>141704</v>
      </c>
      <c r="AM165" s="5">
        <v>56000</v>
      </c>
      <c r="AN165" s="4" t="s">
        <v>124</v>
      </c>
      <c r="AO165" s="4">
        <v>99</v>
      </c>
      <c r="AP165" s="4">
        <v>80100000</v>
      </c>
    </row>
    <row r="166" spans="1:42" x14ac:dyDescent="0.25">
      <c r="A166" s="3">
        <v>4604745</v>
      </c>
      <c r="B166" s="3" t="s">
        <v>310</v>
      </c>
      <c r="C166" s="3" t="s">
        <v>288</v>
      </c>
      <c r="D166" s="3">
        <v>10004544</v>
      </c>
      <c r="E166" s="4">
        <v>4534096</v>
      </c>
      <c r="F166" s="3" t="s">
        <v>49</v>
      </c>
      <c r="G166" s="4" t="s">
        <v>311</v>
      </c>
      <c r="I166" s="5">
        <v>9393.66</v>
      </c>
      <c r="J166" s="3" t="s">
        <v>310</v>
      </c>
      <c r="K166" s="3" t="s">
        <v>77</v>
      </c>
      <c r="L166" s="3" t="s">
        <v>119</v>
      </c>
      <c r="M166" s="4" t="s">
        <v>312</v>
      </c>
      <c r="N166" s="3" t="s">
        <v>56</v>
      </c>
      <c r="Y166" s="4" t="s">
        <v>178</v>
      </c>
      <c r="Z166" s="4" t="s">
        <v>178</v>
      </c>
      <c r="AD166" s="3" t="s">
        <v>313</v>
      </c>
      <c r="AE166" s="3">
        <v>1000</v>
      </c>
      <c r="AI166" s="4" t="s">
        <v>181</v>
      </c>
      <c r="AJ166" s="4" t="s">
        <v>181</v>
      </c>
      <c r="AL166" s="4">
        <v>141807</v>
      </c>
      <c r="AM166" s="5">
        <v>9393.66</v>
      </c>
      <c r="AN166" s="4" t="s">
        <v>124</v>
      </c>
    </row>
    <row r="167" spans="1:42" x14ac:dyDescent="0.25">
      <c r="A167" s="3">
        <v>4604768</v>
      </c>
      <c r="B167" s="3" t="s">
        <v>76</v>
      </c>
      <c r="C167" s="3" t="s">
        <v>288</v>
      </c>
      <c r="D167" s="3">
        <v>10004558</v>
      </c>
      <c r="E167" s="4">
        <v>4534119</v>
      </c>
      <c r="F167" s="3" t="s">
        <v>49</v>
      </c>
      <c r="G167" s="4" t="s">
        <v>203</v>
      </c>
      <c r="H167" s="4" t="s">
        <v>314</v>
      </c>
      <c r="I167" s="5">
        <v>56555</v>
      </c>
      <c r="J167" s="3" t="s">
        <v>76</v>
      </c>
      <c r="K167" s="3" t="s">
        <v>77</v>
      </c>
      <c r="L167" s="3" t="s">
        <v>196</v>
      </c>
      <c r="M167" s="4" t="s">
        <v>314</v>
      </c>
      <c r="N167" s="3" t="s">
        <v>25</v>
      </c>
      <c r="Y167" s="4" t="s">
        <v>111</v>
      </c>
      <c r="Z167" s="4" t="s">
        <v>111</v>
      </c>
      <c r="AD167" s="3" t="s">
        <v>315</v>
      </c>
      <c r="AE167" s="3">
        <v>1000</v>
      </c>
      <c r="AI167" s="4" t="s">
        <v>114</v>
      </c>
      <c r="AJ167" s="4" t="s">
        <v>114</v>
      </c>
      <c r="AL167" s="4">
        <v>140367</v>
      </c>
      <c r="AM167" s="5">
        <v>56555</v>
      </c>
      <c r="AN167" s="4" t="s">
        <v>124</v>
      </c>
      <c r="AO167" s="4">
        <v>99</v>
      </c>
      <c r="AP167" s="4">
        <v>43211501</v>
      </c>
    </row>
    <row r="168" spans="1:42" x14ac:dyDescent="0.25">
      <c r="A168" s="3">
        <v>4604769</v>
      </c>
      <c r="B168" s="3" t="s">
        <v>76</v>
      </c>
      <c r="C168" s="3" t="s">
        <v>288</v>
      </c>
      <c r="D168" s="3">
        <v>10004557</v>
      </c>
      <c r="E168" s="4">
        <v>4534120</v>
      </c>
      <c r="F168" s="3" t="s">
        <v>49</v>
      </c>
      <c r="G168" s="4" t="s">
        <v>203</v>
      </c>
      <c r="H168" s="4" t="s">
        <v>316</v>
      </c>
      <c r="I168" s="5">
        <v>68261</v>
      </c>
      <c r="J168" s="3" t="s">
        <v>76</v>
      </c>
      <c r="K168" s="3" t="s">
        <v>77</v>
      </c>
      <c r="L168" s="3" t="s">
        <v>196</v>
      </c>
      <c r="M168" s="4" t="s">
        <v>316</v>
      </c>
      <c r="N168" s="3" t="s">
        <v>25</v>
      </c>
      <c r="Y168" s="4" t="s">
        <v>111</v>
      </c>
      <c r="Z168" s="4" t="s">
        <v>111</v>
      </c>
      <c r="AD168" s="3" t="s">
        <v>317</v>
      </c>
      <c r="AE168" s="3">
        <v>1000</v>
      </c>
      <c r="AI168" s="4" t="s">
        <v>114</v>
      </c>
      <c r="AJ168" s="4" t="s">
        <v>114</v>
      </c>
      <c r="AL168" s="4">
        <v>140367</v>
      </c>
      <c r="AM168" s="5">
        <v>68261</v>
      </c>
      <c r="AN168" s="4" t="s">
        <v>124</v>
      </c>
      <c r="AO168" s="4">
        <v>99</v>
      </c>
      <c r="AP168" s="4">
        <v>43211501</v>
      </c>
    </row>
    <row r="169" spans="1:42" x14ac:dyDescent="0.25">
      <c r="A169" s="3">
        <v>4604774</v>
      </c>
      <c r="B169" s="3" t="s">
        <v>310</v>
      </c>
      <c r="C169" s="3" t="s">
        <v>288</v>
      </c>
      <c r="D169" s="3">
        <v>10004545</v>
      </c>
      <c r="E169" s="4">
        <v>4534125</v>
      </c>
      <c r="F169" s="3" t="s">
        <v>49</v>
      </c>
      <c r="G169" s="4" t="s">
        <v>318</v>
      </c>
      <c r="I169" s="5">
        <v>8196.0499999999993</v>
      </c>
      <c r="J169" s="3" t="s">
        <v>310</v>
      </c>
      <c r="K169" s="3" t="s">
        <v>77</v>
      </c>
      <c r="L169" s="3" t="s">
        <v>119</v>
      </c>
      <c r="M169" s="4" t="s">
        <v>319</v>
      </c>
      <c r="N169" s="3" t="s">
        <v>56</v>
      </c>
      <c r="Y169" s="4" t="s">
        <v>178</v>
      </c>
      <c r="Z169" s="4" t="s">
        <v>178</v>
      </c>
      <c r="AD169" s="3" t="s">
        <v>313</v>
      </c>
      <c r="AE169" s="3">
        <v>1000</v>
      </c>
      <c r="AI169" s="4" t="s">
        <v>181</v>
      </c>
      <c r="AJ169" s="4" t="s">
        <v>181</v>
      </c>
      <c r="AL169" s="4">
        <v>141551</v>
      </c>
      <c r="AM169" s="5">
        <v>8196.0499999999993</v>
      </c>
      <c r="AN169" s="4" t="s">
        <v>124</v>
      </c>
    </row>
    <row r="170" spans="1:42" x14ac:dyDescent="0.25">
      <c r="A170" s="3">
        <v>4604775</v>
      </c>
      <c r="B170" s="3" t="s">
        <v>320</v>
      </c>
      <c r="C170" s="3" t="s">
        <v>288</v>
      </c>
      <c r="D170" s="3">
        <v>10004549</v>
      </c>
      <c r="E170" s="4">
        <v>4534126</v>
      </c>
      <c r="F170" s="3" t="s">
        <v>49</v>
      </c>
      <c r="G170" s="4" t="s">
        <v>318</v>
      </c>
      <c r="I170" s="5">
        <v>2508.4699999999998</v>
      </c>
      <c r="J170" s="3" t="s">
        <v>320</v>
      </c>
      <c r="K170" s="3" t="s">
        <v>321</v>
      </c>
      <c r="L170" s="3" t="s">
        <v>119</v>
      </c>
      <c r="M170" s="4" t="s">
        <v>322</v>
      </c>
      <c r="N170" s="3" t="s">
        <v>56</v>
      </c>
      <c r="Y170" s="4" t="s">
        <v>178</v>
      </c>
      <c r="Z170" s="4" t="s">
        <v>178</v>
      </c>
      <c r="AD170" s="3" t="s">
        <v>323</v>
      </c>
      <c r="AE170" s="3">
        <v>1000</v>
      </c>
      <c r="AI170" s="4" t="s">
        <v>181</v>
      </c>
      <c r="AJ170" s="4" t="s">
        <v>181</v>
      </c>
      <c r="AL170" s="4">
        <v>141551</v>
      </c>
      <c r="AM170" s="5">
        <v>2508.4699999999998</v>
      </c>
      <c r="AN170" s="4" t="s">
        <v>124</v>
      </c>
    </row>
    <row r="171" spans="1:42" x14ac:dyDescent="0.25">
      <c r="A171" s="3">
        <v>4604790</v>
      </c>
      <c r="B171" s="3" t="s">
        <v>324</v>
      </c>
      <c r="C171" s="3" t="s">
        <v>288</v>
      </c>
      <c r="D171" s="3">
        <v>10004586</v>
      </c>
      <c r="E171" s="4">
        <v>4534141</v>
      </c>
      <c r="F171" s="3" t="s">
        <v>49</v>
      </c>
      <c r="G171" s="4" t="s">
        <v>325</v>
      </c>
      <c r="I171" s="5">
        <v>2928.16</v>
      </c>
      <c r="J171" s="3" t="s">
        <v>324</v>
      </c>
      <c r="K171" s="3" t="s">
        <v>77</v>
      </c>
      <c r="L171" s="3" t="s">
        <v>119</v>
      </c>
      <c r="M171" s="4" t="s">
        <v>326</v>
      </c>
      <c r="N171" s="3" t="s">
        <v>56</v>
      </c>
      <c r="Y171" s="4" t="s">
        <v>178</v>
      </c>
      <c r="Z171" s="4" t="s">
        <v>178</v>
      </c>
      <c r="AD171" s="3" t="s">
        <v>327</v>
      </c>
      <c r="AE171" s="3">
        <v>1000</v>
      </c>
      <c r="AI171" s="4" t="s">
        <v>181</v>
      </c>
      <c r="AJ171" s="4" t="s">
        <v>181</v>
      </c>
      <c r="AL171" s="4">
        <v>40391</v>
      </c>
      <c r="AM171" s="5">
        <v>2928.16</v>
      </c>
      <c r="AN171" s="4" t="s">
        <v>124</v>
      </c>
    </row>
    <row r="172" spans="1:42" x14ac:dyDescent="0.25">
      <c r="A172" s="3">
        <v>4604819</v>
      </c>
      <c r="B172" s="3" t="s">
        <v>328</v>
      </c>
      <c r="C172" s="3" t="s">
        <v>288</v>
      </c>
      <c r="D172" s="3">
        <v>10004572</v>
      </c>
      <c r="E172" s="4">
        <v>4534170</v>
      </c>
      <c r="F172" s="3" t="s">
        <v>49</v>
      </c>
      <c r="G172" s="4" t="s">
        <v>329</v>
      </c>
      <c r="I172" s="5">
        <v>9900</v>
      </c>
      <c r="J172" s="3" t="s">
        <v>328</v>
      </c>
      <c r="K172" s="3" t="s">
        <v>330</v>
      </c>
      <c r="L172" s="3" t="s">
        <v>196</v>
      </c>
      <c r="M172" s="4" t="s">
        <v>331</v>
      </c>
      <c r="N172" s="3" t="s">
        <v>25</v>
      </c>
      <c r="Y172" s="4" t="s">
        <v>111</v>
      </c>
      <c r="Z172" s="4" t="s">
        <v>332</v>
      </c>
      <c r="AD172" s="3" t="s">
        <v>333</v>
      </c>
      <c r="AE172" s="3">
        <v>1000</v>
      </c>
      <c r="AI172" s="4" t="s">
        <v>114</v>
      </c>
      <c r="AJ172" s="4" t="s">
        <v>334</v>
      </c>
      <c r="AL172" s="4">
        <v>42575</v>
      </c>
      <c r="AM172" s="5">
        <v>9900</v>
      </c>
      <c r="AN172" s="4" t="s">
        <v>124</v>
      </c>
    </row>
    <row r="173" spans="1:42" x14ac:dyDescent="0.25">
      <c r="A173" s="3">
        <v>4604826</v>
      </c>
      <c r="B173" s="3" t="s">
        <v>335</v>
      </c>
      <c r="C173" s="3" t="s">
        <v>288</v>
      </c>
      <c r="D173" s="3">
        <v>10004626</v>
      </c>
      <c r="E173" s="4">
        <v>4534177</v>
      </c>
      <c r="F173" s="3" t="s">
        <v>49</v>
      </c>
      <c r="G173" s="4" t="s">
        <v>336</v>
      </c>
      <c r="H173" s="4" t="s">
        <v>337</v>
      </c>
      <c r="I173" s="5">
        <v>26000</v>
      </c>
      <c r="J173" s="3" t="s">
        <v>335</v>
      </c>
      <c r="K173" s="3" t="s">
        <v>299</v>
      </c>
      <c r="L173" s="3" t="s">
        <v>119</v>
      </c>
      <c r="M173" s="4" t="s">
        <v>337</v>
      </c>
      <c r="N173" s="3" t="s">
        <v>56</v>
      </c>
      <c r="Y173" s="4" t="s">
        <v>111</v>
      </c>
      <c r="Z173" s="4" t="s">
        <v>332</v>
      </c>
      <c r="AA173" s="4" t="s">
        <v>338</v>
      </c>
      <c r="AB173" s="3" t="s">
        <v>338</v>
      </c>
      <c r="AC173" s="3" t="s">
        <v>339</v>
      </c>
      <c r="AD173" s="3" t="s">
        <v>340</v>
      </c>
      <c r="AE173" s="3">
        <v>1000</v>
      </c>
      <c r="AI173" s="4" t="s">
        <v>114</v>
      </c>
      <c r="AJ173" s="4" t="s">
        <v>334</v>
      </c>
      <c r="AL173" s="4">
        <v>141787</v>
      </c>
      <c r="AM173" s="5">
        <v>26000</v>
      </c>
      <c r="AN173" s="4" t="s">
        <v>124</v>
      </c>
      <c r="AO173" s="4">
        <v>99</v>
      </c>
      <c r="AP173" s="4">
        <v>82100000</v>
      </c>
    </row>
    <row r="174" spans="1:42" x14ac:dyDescent="0.25">
      <c r="A174" s="3">
        <v>4604838</v>
      </c>
      <c r="B174" s="3" t="s">
        <v>341</v>
      </c>
      <c r="C174" s="3" t="s">
        <v>288</v>
      </c>
      <c r="D174" s="3">
        <v>10004636</v>
      </c>
      <c r="E174" s="4">
        <v>4534189</v>
      </c>
      <c r="F174" s="3" t="s">
        <v>49</v>
      </c>
      <c r="G174" s="4" t="s">
        <v>342</v>
      </c>
      <c r="I174" s="5">
        <v>9504</v>
      </c>
      <c r="J174" s="3" t="s">
        <v>341</v>
      </c>
      <c r="K174" s="3" t="s">
        <v>77</v>
      </c>
      <c r="L174" s="3" t="s">
        <v>119</v>
      </c>
      <c r="M174" s="4" t="s">
        <v>343</v>
      </c>
      <c r="N174" s="3" t="s">
        <v>56</v>
      </c>
      <c r="Y174" s="4" t="s">
        <v>344</v>
      </c>
      <c r="Z174" s="4" t="s">
        <v>344</v>
      </c>
      <c r="AD174" s="3" t="s">
        <v>341</v>
      </c>
      <c r="AE174" s="3">
        <v>5000</v>
      </c>
      <c r="AI174" s="4" t="s">
        <v>345</v>
      </c>
      <c r="AJ174" s="4" t="s">
        <v>345</v>
      </c>
      <c r="AL174" s="4">
        <v>140447</v>
      </c>
      <c r="AM174" s="5">
        <v>9504</v>
      </c>
      <c r="AN174" s="4" t="s">
        <v>31</v>
      </c>
    </row>
    <row r="175" spans="1:42" x14ac:dyDescent="0.25">
      <c r="A175" s="3">
        <v>4604920</v>
      </c>
      <c r="B175" s="3" t="s">
        <v>346</v>
      </c>
      <c r="C175" s="3" t="s">
        <v>288</v>
      </c>
      <c r="D175" s="3">
        <v>10004659</v>
      </c>
      <c r="E175" s="4">
        <v>4534271</v>
      </c>
      <c r="F175" s="3" t="s">
        <v>49</v>
      </c>
      <c r="G175" s="4" t="s">
        <v>347</v>
      </c>
      <c r="H175" s="4" t="s">
        <v>348</v>
      </c>
      <c r="I175" s="5">
        <v>53262</v>
      </c>
      <c r="J175" s="3" t="s">
        <v>349</v>
      </c>
      <c r="K175" s="3" t="s">
        <v>77</v>
      </c>
      <c r="L175" s="3" t="s">
        <v>196</v>
      </c>
      <c r="M175" s="4" t="s">
        <v>348</v>
      </c>
      <c r="N175" s="3" t="s">
        <v>25</v>
      </c>
      <c r="Y175" s="4" t="s">
        <v>350</v>
      </c>
      <c r="Z175" s="4" t="s">
        <v>344</v>
      </c>
      <c r="AD175" s="3" t="s">
        <v>351</v>
      </c>
      <c r="AE175" s="3">
        <v>5000</v>
      </c>
      <c r="AI175" s="4" t="s">
        <v>352</v>
      </c>
      <c r="AJ175" s="4" t="s">
        <v>345</v>
      </c>
      <c r="AL175" s="4">
        <v>40471</v>
      </c>
      <c r="AM175" s="5">
        <v>53262</v>
      </c>
      <c r="AN175" s="4" t="s">
        <v>31</v>
      </c>
      <c r="AO175" s="4">
        <v>99</v>
      </c>
      <c r="AP175" s="4">
        <v>80141602</v>
      </c>
    </row>
    <row r="176" spans="1:42" x14ac:dyDescent="0.25">
      <c r="A176" s="3">
        <v>4604963</v>
      </c>
      <c r="B176" s="3" t="s">
        <v>353</v>
      </c>
      <c r="C176" s="3" t="s">
        <v>288</v>
      </c>
      <c r="D176" s="3">
        <v>10004761</v>
      </c>
      <c r="E176" s="4">
        <v>4534314</v>
      </c>
      <c r="F176" s="3" t="s">
        <v>49</v>
      </c>
      <c r="G176" s="4" t="s">
        <v>354</v>
      </c>
      <c r="H176" s="4" t="s">
        <v>355</v>
      </c>
      <c r="I176" s="5">
        <v>16000</v>
      </c>
      <c r="J176" s="3" t="s">
        <v>353</v>
      </c>
      <c r="K176" s="3" t="s">
        <v>77</v>
      </c>
      <c r="L176" s="3" t="s">
        <v>119</v>
      </c>
      <c r="M176" s="4" t="s">
        <v>355</v>
      </c>
      <c r="N176" s="3" t="s">
        <v>56</v>
      </c>
      <c r="Y176" s="4" t="s">
        <v>344</v>
      </c>
      <c r="Z176" s="4" t="s">
        <v>344</v>
      </c>
      <c r="AA176" s="4" t="s">
        <v>356</v>
      </c>
      <c r="AB176" s="3" t="s">
        <v>357</v>
      </c>
      <c r="AC176" s="3" t="s">
        <v>358</v>
      </c>
      <c r="AD176" s="3" t="s">
        <v>359</v>
      </c>
      <c r="AE176" s="3">
        <v>1000</v>
      </c>
      <c r="AI176" s="4" t="s">
        <v>345</v>
      </c>
      <c r="AJ176" s="4" t="s">
        <v>345</v>
      </c>
      <c r="AL176" s="4">
        <v>49932</v>
      </c>
      <c r="AM176" s="5">
        <v>16000</v>
      </c>
      <c r="AN176" s="4" t="s">
        <v>124</v>
      </c>
      <c r="AO176" s="4">
        <v>99</v>
      </c>
      <c r="AP176" s="4">
        <v>80141500</v>
      </c>
    </row>
    <row r="177" spans="1:42" x14ac:dyDescent="0.25">
      <c r="A177" s="3">
        <v>4604979</v>
      </c>
      <c r="B177" s="3" t="s">
        <v>360</v>
      </c>
      <c r="C177" s="3" t="s">
        <v>288</v>
      </c>
      <c r="D177" s="3">
        <v>10004793</v>
      </c>
      <c r="E177" s="4">
        <v>4534330</v>
      </c>
      <c r="F177" s="3" t="s">
        <v>49</v>
      </c>
      <c r="G177" s="4" t="s">
        <v>361</v>
      </c>
      <c r="H177" s="4" t="s">
        <v>362</v>
      </c>
      <c r="I177" s="5">
        <v>49500</v>
      </c>
      <c r="J177" s="3" t="s">
        <v>360</v>
      </c>
      <c r="K177" s="3" t="s">
        <v>363</v>
      </c>
      <c r="L177" s="3" t="s">
        <v>119</v>
      </c>
      <c r="M177" s="4" t="s">
        <v>362</v>
      </c>
      <c r="N177" s="3" t="s">
        <v>56</v>
      </c>
      <c r="Y177" s="4" t="s">
        <v>344</v>
      </c>
      <c r="Z177" s="4" t="s">
        <v>344</v>
      </c>
      <c r="AA177" s="4" t="s">
        <v>356</v>
      </c>
      <c r="AB177" s="3" t="s">
        <v>364</v>
      </c>
      <c r="AC177" s="3" t="s">
        <v>358</v>
      </c>
      <c r="AD177" s="3" t="s">
        <v>351</v>
      </c>
      <c r="AE177" s="3">
        <v>5000</v>
      </c>
      <c r="AI177" s="4" t="s">
        <v>345</v>
      </c>
      <c r="AJ177" s="4" t="s">
        <v>345</v>
      </c>
      <c r="AL177" s="4">
        <v>141903</v>
      </c>
      <c r="AM177" s="5">
        <v>49500</v>
      </c>
      <c r="AN177" s="4" t="s">
        <v>31</v>
      </c>
      <c r="AO177" s="4">
        <v>99</v>
      </c>
      <c r="AP177" s="4">
        <v>80141500</v>
      </c>
    </row>
    <row r="178" spans="1:42" x14ac:dyDescent="0.25">
      <c r="A178" s="3">
        <v>4604991</v>
      </c>
      <c r="B178" s="3" t="s">
        <v>365</v>
      </c>
      <c r="C178" s="3" t="s">
        <v>288</v>
      </c>
      <c r="D178" s="3">
        <v>10004819</v>
      </c>
      <c r="E178" s="4">
        <v>4534342</v>
      </c>
      <c r="F178" s="3" t="s">
        <v>49</v>
      </c>
      <c r="G178" s="4" t="s">
        <v>366</v>
      </c>
      <c r="H178" s="4" t="s">
        <v>367</v>
      </c>
      <c r="I178" s="5">
        <v>19800</v>
      </c>
      <c r="J178" s="3" t="s">
        <v>365</v>
      </c>
      <c r="K178" s="3" t="s">
        <v>77</v>
      </c>
      <c r="L178" s="3" t="s">
        <v>196</v>
      </c>
      <c r="M178" s="4" t="s">
        <v>367</v>
      </c>
      <c r="N178" s="3" t="s">
        <v>25</v>
      </c>
      <c r="Y178" s="4" t="s">
        <v>368</v>
      </c>
      <c r="Z178" s="4" t="s">
        <v>368</v>
      </c>
      <c r="AD178" s="3" t="s">
        <v>369</v>
      </c>
      <c r="AE178" s="3">
        <v>5000</v>
      </c>
      <c r="AI178" s="4" t="s">
        <v>370</v>
      </c>
      <c r="AJ178" s="4" t="s">
        <v>370</v>
      </c>
      <c r="AL178" s="4">
        <v>48623</v>
      </c>
      <c r="AM178" s="5">
        <v>19800</v>
      </c>
      <c r="AN178" s="4" t="s">
        <v>31</v>
      </c>
      <c r="AO178" s="4">
        <v>99</v>
      </c>
      <c r="AP178" s="4">
        <v>80140000</v>
      </c>
    </row>
    <row r="179" spans="1:42" x14ac:dyDescent="0.25">
      <c r="A179" s="3">
        <v>4604998</v>
      </c>
      <c r="B179" s="3" t="s">
        <v>371</v>
      </c>
      <c r="C179" s="3" t="s">
        <v>288</v>
      </c>
      <c r="D179" s="3">
        <v>10004851</v>
      </c>
      <c r="E179" s="4">
        <v>4534349</v>
      </c>
      <c r="F179" s="3" t="s">
        <v>49</v>
      </c>
      <c r="G179" s="4" t="s">
        <v>372</v>
      </c>
      <c r="H179" s="4" t="s">
        <v>373</v>
      </c>
      <c r="I179" s="5">
        <v>64900</v>
      </c>
      <c r="J179" s="3" t="s">
        <v>371</v>
      </c>
      <c r="K179" s="3" t="s">
        <v>374</v>
      </c>
      <c r="L179" s="3" t="s">
        <v>119</v>
      </c>
      <c r="M179" s="4" t="s">
        <v>373</v>
      </c>
      <c r="N179" s="3" t="s">
        <v>56</v>
      </c>
      <c r="O179" s="3" t="s">
        <v>139</v>
      </c>
      <c r="P179" s="4" t="s">
        <v>140</v>
      </c>
      <c r="Y179" s="4" t="s">
        <v>120</v>
      </c>
      <c r="Z179" s="4" t="s">
        <v>332</v>
      </c>
      <c r="AA179" s="4" t="s">
        <v>356</v>
      </c>
      <c r="AB179" s="3" t="s">
        <v>375</v>
      </c>
      <c r="AC179" s="3" t="s">
        <v>358</v>
      </c>
      <c r="AD179" s="3" t="s">
        <v>376</v>
      </c>
      <c r="AE179" s="3">
        <v>1000</v>
      </c>
      <c r="AI179" s="4" t="s">
        <v>123</v>
      </c>
      <c r="AJ179" s="4" t="s">
        <v>334</v>
      </c>
      <c r="AK179" s="3" t="s">
        <v>143</v>
      </c>
      <c r="AL179" s="4">
        <v>43825</v>
      </c>
      <c r="AM179" s="5">
        <v>64900</v>
      </c>
      <c r="AN179" s="4" t="s">
        <v>124</v>
      </c>
      <c r="AO179" s="4">
        <v>99</v>
      </c>
      <c r="AP179" s="4">
        <v>80100000</v>
      </c>
    </row>
    <row r="180" spans="1:42" x14ac:dyDescent="0.25">
      <c r="A180" s="3">
        <v>4605003</v>
      </c>
      <c r="B180" s="3" t="s">
        <v>377</v>
      </c>
      <c r="C180" s="3" t="s">
        <v>288</v>
      </c>
      <c r="D180" s="3">
        <v>10004854</v>
      </c>
      <c r="E180" s="4">
        <v>4534354</v>
      </c>
      <c r="F180" s="3" t="s">
        <v>49</v>
      </c>
      <c r="G180" s="4" t="s">
        <v>336</v>
      </c>
      <c r="H180" s="4" t="s">
        <v>378</v>
      </c>
      <c r="I180" s="5">
        <v>19564.11</v>
      </c>
      <c r="J180" s="3" t="s">
        <v>377</v>
      </c>
      <c r="K180" s="3" t="s">
        <v>77</v>
      </c>
      <c r="L180" s="3" t="s">
        <v>196</v>
      </c>
      <c r="M180" s="4" t="s">
        <v>378</v>
      </c>
      <c r="N180" s="3" t="s">
        <v>25</v>
      </c>
      <c r="Y180" s="4" t="s">
        <v>379</v>
      </c>
      <c r="Z180" s="4" t="s">
        <v>379</v>
      </c>
      <c r="AD180" s="3" t="s">
        <v>380</v>
      </c>
      <c r="AE180" s="3">
        <v>1000</v>
      </c>
      <c r="AI180" s="4" t="s">
        <v>381</v>
      </c>
      <c r="AJ180" s="4" t="s">
        <v>381</v>
      </c>
      <c r="AL180" s="4">
        <v>141787</v>
      </c>
      <c r="AM180" s="5">
        <v>19564.11</v>
      </c>
      <c r="AN180" s="4" t="s">
        <v>124</v>
      </c>
      <c r="AO180" s="4">
        <v>99</v>
      </c>
      <c r="AP180" s="4">
        <v>82100000</v>
      </c>
    </row>
    <row r="181" spans="1:42" x14ac:dyDescent="0.25">
      <c r="A181" s="3">
        <v>4605010</v>
      </c>
      <c r="B181" s="3" t="s">
        <v>382</v>
      </c>
      <c r="C181" s="3" t="s">
        <v>288</v>
      </c>
      <c r="D181" s="3">
        <v>10004859</v>
      </c>
      <c r="E181" s="4">
        <v>4534361</v>
      </c>
      <c r="F181" s="3" t="s">
        <v>49</v>
      </c>
      <c r="G181" s="4" t="s">
        <v>383</v>
      </c>
      <c r="H181" s="4" t="s">
        <v>384</v>
      </c>
      <c r="I181" s="5">
        <v>33000</v>
      </c>
      <c r="J181" s="3" t="s">
        <v>385</v>
      </c>
      <c r="K181" s="3" t="s">
        <v>386</v>
      </c>
      <c r="L181" s="3" t="s">
        <v>196</v>
      </c>
      <c r="M181" s="4" t="s">
        <v>384</v>
      </c>
      <c r="N181" s="3" t="s">
        <v>25</v>
      </c>
      <c r="O181" s="3" t="s">
        <v>139</v>
      </c>
      <c r="P181" s="4" t="s">
        <v>282</v>
      </c>
      <c r="Y181" s="4" t="s">
        <v>379</v>
      </c>
      <c r="Z181" s="4" t="s">
        <v>379</v>
      </c>
      <c r="AA181" s="4" t="s">
        <v>387</v>
      </c>
      <c r="AD181" s="3" t="s">
        <v>380</v>
      </c>
      <c r="AE181" s="3">
        <v>1000</v>
      </c>
      <c r="AI181" s="4" t="s">
        <v>381</v>
      </c>
      <c r="AJ181" s="4" t="s">
        <v>381</v>
      </c>
      <c r="AK181" s="3" t="s">
        <v>286</v>
      </c>
      <c r="AL181" s="4">
        <v>141621</v>
      </c>
      <c r="AM181" s="5">
        <v>33000</v>
      </c>
      <c r="AN181" s="4" t="s">
        <v>124</v>
      </c>
      <c r="AO181" s="4">
        <v>99</v>
      </c>
      <c r="AP181" s="4">
        <v>80110000</v>
      </c>
    </row>
    <row r="182" spans="1:42" x14ac:dyDescent="0.25">
      <c r="A182" s="3">
        <v>4605068</v>
      </c>
      <c r="B182" s="3" t="s">
        <v>287</v>
      </c>
      <c r="C182" s="3" t="s">
        <v>288</v>
      </c>
      <c r="D182" s="3">
        <v>10004924</v>
      </c>
      <c r="E182" s="4">
        <v>4534419</v>
      </c>
      <c r="F182" s="3" t="s">
        <v>49</v>
      </c>
      <c r="G182" s="4" t="s">
        <v>388</v>
      </c>
      <c r="H182" s="4" t="s">
        <v>389</v>
      </c>
      <c r="I182" s="5">
        <v>49898.75</v>
      </c>
      <c r="J182" s="3" t="s">
        <v>287</v>
      </c>
      <c r="K182" s="3" t="s">
        <v>77</v>
      </c>
      <c r="L182" s="3" t="s">
        <v>196</v>
      </c>
      <c r="M182" s="4" t="s">
        <v>390</v>
      </c>
      <c r="N182" s="3" t="s">
        <v>25</v>
      </c>
      <c r="Y182" s="4" t="s">
        <v>368</v>
      </c>
      <c r="Z182" s="4" t="s">
        <v>368</v>
      </c>
      <c r="AD182" s="3" t="s">
        <v>77</v>
      </c>
      <c r="AE182" s="3">
        <v>5000</v>
      </c>
      <c r="AI182" s="4" t="s">
        <v>370</v>
      </c>
      <c r="AJ182" s="4" t="s">
        <v>370</v>
      </c>
      <c r="AL182" s="4">
        <v>141826</v>
      </c>
      <c r="AM182" s="5">
        <v>49898.75</v>
      </c>
      <c r="AN182" s="4" t="s">
        <v>31</v>
      </c>
      <c r="AO182" s="4">
        <v>99</v>
      </c>
      <c r="AP182" s="4">
        <v>82111900</v>
      </c>
    </row>
    <row r="183" spans="1:42" x14ac:dyDescent="0.25">
      <c r="A183" s="3">
        <v>4604743</v>
      </c>
      <c r="B183" s="3" t="s">
        <v>391</v>
      </c>
      <c r="C183" s="3" t="s">
        <v>392</v>
      </c>
      <c r="D183" s="3">
        <v>10004535</v>
      </c>
      <c r="E183" s="4">
        <v>4534094</v>
      </c>
      <c r="F183" s="3" t="s">
        <v>49</v>
      </c>
      <c r="G183" s="4" t="s">
        <v>393</v>
      </c>
      <c r="H183" s="4" t="s">
        <v>394</v>
      </c>
      <c r="I183" s="5">
        <v>24649.8</v>
      </c>
      <c r="J183" s="3" t="s">
        <v>391</v>
      </c>
      <c r="K183" s="3" t="s">
        <v>395</v>
      </c>
      <c r="L183" s="3" t="s">
        <v>196</v>
      </c>
      <c r="M183" s="4" t="s">
        <v>394</v>
      </c>
      <c r="N183" s="3" t="s">
        <v>25</v>
      </c>
      <c r="Y183" s="4" t="s">
        <v>396</v>
      </c>
      <c r="Z183" s="4" t="s">
        <v>396</v>
      </c>
      <c r="AD183" s="3" t="s">
        <v>310</v>
      </c>
      <c r="AE183" s="3">
        <v>1000</v>
      </c>
      <c r="AI183" s="4" t="s">
        <v>397</v>
      </c>
      <c r="AJ183" s="4" t="s">
        <v>397</v>
      </c>
      <c r="AL183" s="4">
        <v>51455</v>
      </c>
      <c r="AM183" s="5">
        <v>24649.8</v>
      </c>
      <c r="AN183" s="4" t="s">
        <v>124</v>
      </c>
      <c r="AO183" s="4">
        <v>99</v>
      </c>
      <c r="AP183" s="4">
        <v>86000000</v>
      </c>
    </row>
    <row r="184" spans="1:42" x14ac:dyDescent="0.25">
      <c r="A184" s="3">
        <v>4604749</v>
      </c>
      <c r="B184" s="3" t="s">
        <v>287</v>
      </c>
      <c r="C184" s="3" t="s">
        <v>392</v>
      </c>
      <c r="D184" s="3">
        <v>10004542</v>
      </c>
      <c r="E184" s="4">
        <v>4534100</v>
      </c>
      <c r="F184" s="3" t="s">
        <v>49</v>
      </c>
      <c r="G184" s="4" t="s">
        <v>174</v>
      </c>
      <c r="H184" s="4" t="s">
        <v>398</v>
      </c>
      <c r="I184" s="5">
        <v>24033.56</v>
      </c>
      <c r="J184" s="3" t="s">
        <v>399</v>
      </c>
      <c r="K184" s="3" t="s">
        <v>400</v>
      </c>
      <c r="L184" s="3" t="s">
        <v>119</v>
      </c>
      <c r="M184" s="4" t="s">
        <v>398</v>
      </c>
      <c r="N184" s="3" t="s">
        <v>56</v>
      </c>
      <c r="Y184" s="4" t="s">
        <v>178</v>
      </c>
      <c r="Z184" s="4" t="s">
        <v>178</v>
      </c>
      <c r="AA184" s="4" t="s">
        <v>188</v>
      </c>
      <c r="AB184" s="3" t="s">
        <v>401</v>
      </c>
      <c r="AC184" s="3" t="s">
        <v>190</v>
      </c>
      <c r="AD184" s="3" t="s">
        <v>287</v>
      </c>
      <c r="AE184" s="3">
        <v>1000</v>
      </c>
      <c r="AI184" s="4" t="s">
        <v>181</v>
      </c>
      <c r="AJ184" s="4" t="s">
        <v>181</v>
      </c>
      <c r="AL184" s="4">
        <v>40476</v>
      </c>
      <c r="AM184" s="5">
        <v>24033.56</v>
      </c>
      <c r="AN184" s="4" t="s">
        <v>124</v>
      </c>
      <c r="AO184" s="4">
        <v>99</v>
      </c>
      <c r="AP184" s="4">
        <v>80111600</v>
      </c>
    </row>
    <row r="185" spans="1:42" x14ac:dyDescent="0.25">
      <c r="A185" s="3">
        <v>4604750</v>
      </c>
      <c r="B185" s="3" t="s">
        <v>402</v>
      </c>
      <c r="C185" s="3" t="s">
        <v>392</v>
      </c>
      <c r="D185" s="3">
        <v>10004546</v>
      </c>
      <c r="E185" s="4">
        <v>4534101</v>
      </c>
      <c r="F185" s="3" t="s">
        <v>49</v>
      </c>
      <c r="G185" s="4" t="s">
        <v>174</v>
      </c>
      <c r="H185" s="4" t="s">
        <v>403</v>
      </c>
      <c r="I185" s="5">
        <v>36960</v>
      </c>
      <c r="J185" s="3" t="s">
        <v>320</v>
      </c>
      <c r="K185" s="3" t="s">
        <v>404</v>
      </c>
      <c r="L185" s="3" t="s">
        <v>119</v>
      </c>
      <c r="M185" s="4" t="s">
        <v>403</v>
      </c>
      <c r="N185" s="3" t="s">
        <v>56</v>
      </c>
      <c r="Y185" s="4" t="s">
        <v>405</v>
      </c>
      <c r="Z185" s="4" t="s">
        <v>406</v>
      </c>
      <c r="AA185" s="4" t="s">
        <v>188</v>
      </c>
      <c r="AB185" s="3" t="s">
        <v>401</v>
      </c>
      <c r="AC185" s="3" t="s">
        <v>190</v>
      </c>
      <c r="AD185" s="3" t="s">
        <v>407</v>
      </c>
      <c r="AE185" s="3">
        <v>1000</v>
      </c>
      <c r="AI185" s="4" t="s">
        <v>408</v>
      </c>
      <c r="AJ185" s="4" t="s">
        <v>409</v>
      </c>
      <c r="AL185" s="4">
        <v>40476</v>
      </c>
      <c r="AM185" s="5">
        <v>36960</v>
      </c>
      <c r="AN185" s="4" t="s">
        <v>124</v>
      </c>
      <c r="AO185" s="4">
        <v>99</v>
      </c>
      <c r="AP185" s="4">
        <v>80111600</v>
      </c>
    </row>
    <row r="186" spans="1:42" x14ac:dyDescent="0.25">
      <c r="A186" s="3">
        <v>4604788</v>
      </c>
      <c r="B186" s="3" t="s">
        <v>402</v>
      </c>
      <c r="C186" s="3" t="s">
        <v>392</v>
      </c>
      <c r="D186" s="3">
        <v>10004546</v>
      </c>
      <c r="E186" s="4">
        <v>4534139</v>
      </c>
      <c r="F186" s="3" t="s">
        <v>49</v>
      </c>
      <c r="G186" s="4" t="s">
        <v>410</v>
      </c>
      <c r="H186" s="4" t="s">
        <v>403</v>
      </c>
      <c r="I186" s="5">
        <v>52536</v>
      </c>
      <c r="J186" s="3" t="s">
        <v>320</v>
      </c>
      <c r="K186" s="3" t="s">
        <v>321</v>
      </c>
      <c r="L186" s="3" t="s">
        <v>119</v>
      </c>
      <c r="M186" s="4" t="s">
        <v>403</v>
      </c>
      <c r="N186" s="3" t="s">
        <v>56</v>
      </c>
      <c r="Y186" s="4" t="s">
        <v>411</v>
      </c>
      <c r="Z186" s="4" t="s">
        <v>411</v>
      </c>
      <c r="AA186" s="4" t="s">
        <v>412</v>
      </c>
      <c r="AB186" s="3" t="s">
        <v>413</v>
      </c>
      <c r="AC186" s="3" t="s">
        <v>414</v>
      </c>
      <c r="AD186" s="3" t="s">
        <v>402</v>
      </c>
      <c r="AE186" s="3">
        <v>1000</v>
      </c>
      <c r="AI186" s="4" t="s">
        <v>415</v>
      </c>
      <c r="AJ186" s="4" t="s">
        <v>415</v>
      </c>
      <c r="AL186" s="4">
        <v>141810</v>
      </c>
      <c r="AM186" s="5">
        <v>52536</v>
      </c>
      <c r="AN186" s="4" t="s">
        <v>124</v>
      </c>
      <c r="AO186" s="4">
        <v>98</v>
      </c>
      <c r="AP186" s="4">
        <v>80101706</v>
      </c>
    </row>
    <row r="187" spans="1:42" x14ac:dyDescent="0.25">
      <c r="A187" s="3">
        <v>4604793</v>
      </c>
      <c r="B187" s="3" t="s">
        <v>416</v>
      </c>
      <c r="C187" s="3" t="s">
        <v>392</v>
      </c>
      <c r="D187" s="3">
        <v>10004580</v>
      </c>
      <c r="E187" s="4">
        <v>4534144</v>
      </c>
      <c r="F187" s="3" t="s">
        <v>49</v>
      </c>
      <c r="G187" s="4" t="s">
        <v>417</v>
      </c>
      <c r="H187" s="4" t="s">
        <v>418</v>
      </c>
      <c r="I187" s="5">
        <v>97750</v>
      </c>
      <c r="J187" s="3" t="s">
        <v>416</v>
      </c>
      <c r="K187" s="3" t="s">
        <v>419</v>
      </c>
      <c r="L187" s="3" t="s">
        <v>196</v>
      </c>
      <c r="M187" s="4" t="s">
        <v>418</v>
      </c>
      <c r="N187" s="3" t="s">
        <v>25</v>
      </c>
      <c r="Y187" s="4" t="s">
        <v>420</v>
      </c>
      <c r="Z187" s="4" t="s">
        <v>420</v>
      </c>
      <c r="AA187" s="4" t="s">
        <v>421</v>
      </c>
      <c r="AD187" s="3" t="s">
        <v>422</v>
      </c>
      <c r="AE187" s="3">
        <v>1000</v>
      </c>
      <c r="AI187" s="4" t="s">
        <v>423</v>
      </c>
      <c r="AJ187" s="4" t="s">
        <v>423</v>
      </c>
      <c r="AL187" s="4">
        <v>141838</v>
      </c>
      <c r="AM187" s="5">
        <v>97750</v>
      </c>
      <c r="AN187" s="4" t="s">
        <v>124</v>
      </c>
      <c r="AO187" s="4">
        <v>98</v>
      </c>
      <c r="AP187" s="4">
        <v>81121500</v>
      </c>
    </row>
    <row r="188" spans="1:42" x14ac:dyDescent="0.25">
      <c r="A188" s="3">
        <v>4604794</v>
      </c>
      <c r="B188" s="3" t="s">
        <v>424</v>
      </c>
      <c r="C188" s="3" t="s">
        <v>392</v>
      </c>
      <c r="D188" s="3">
        <v>10004584</v>
      </c>
      <c r="E188" s="4">
        <v>4534145</v>
      </c>
      <c r="F188" s="3" t="s">
        <v>49</v>
      </c>
      <c r="G188" s="4" t="s">
        <v>425</v>
      </c>
      <c r="H188" s="4" t="s">
        <v>426</v>
      </c>
      <c r="I188" s="5">
        <v>33000</v>
      </c>
      <c r="J188" s="3" t="s">
        <v>424</v>
      </c>
      <c r="K188" s="3" t="s">
        <v>419</v>
      </c>
      <c r="L188" s="3" t="s">
        <v>196</v>
      </c>
      <c r="M188" s="4" t="s">
        <v>426</v>
      </c>
      <c r="N188" s="3" t="s">
        <v>25</v>
      </c>
      <c r="O188" s="3" t="s">
        <v>139</v>
      </c>
      <c r="P188" s="4" t="s">
        <v>140</v>
      </c>
      <c r="Q188" s="3" t="s">
        <v>139</v>
      </c>
      <c r="R188" s="3" t="s">
        <v>427</v>
      </c>
      <c r="S188" s="4" t="s">
        <v>428</v>
      </c>
      <c r="U188" s="4" t="s">
        <v>139</v>
      </c>
      <c r="V188" s="4" t="s">
        <v>119</v>
      </c>
      <c r="W188" s="4" t="s">
        <v>217</v>
      </c>
      <c r="X188" s="4" t="s">
        <v>429</v>
      </c>
      <c r="Y188" s="4" t="s">
        <v>430</v>
      </c>
      <c r="Z188" s="4" t="s">
        <v>431</v>
      </c>
      <c r="AD188" s="3" t="s">
        <v>432</v>
      </c>
      <c r="AE188" s="3">
        <v>1000</v>
      </c>
      <c r="AI188" s="4" t="s">
        <v>433</v>
      </c>
      <c r="AJ188" s="4" t="s">
        <v>434</v>
      </c>
      <c r="AK188" s="3" t="s">
        <v>143</v>
      </c>
      <c r="AL188" s="4">
        <v>141839</v>
      </c>
      <c r="AM188" s="5">
        <v>33000</v>
      </c>
      <c r="AN188" s="4" t="s">
        <v>124</v>
      </c>
      <c r="AO188" s="4">
        <v>99</v>
      </c>
      <c r="AP188" s="4">
        <v>80141500</v>
      </c>
    </row>
    <row r="189" spans="1:42" x14ac:dyDescent="0.25">
      <c r="A189" s="3">
        <v>4604797</v>
      </c>
      <c r="B189" s="3" t="s">
        <v>400</v>
      </c>
      <c r="C189" s="3" t="s">
        <v>392</v>
      </c>
      <c r="D189" s="3">
        <v>10004603</v>
      </c>
      <c r="E189" s="4">
        <v>4534148</v>
      </c>
      <c r="F189" s="3" t="s">
        <v>49</v>
      </c>
      <c r="G189" s="4" t="s">
        <v>289</v>
      </c>
      <c r="I189" s="5">
        <v>7923.3</v>
      </c>
      <c r="J189" s="3" t="s">
        <v>400</v>
      </c>
      <c r="K189" s="3" t="s">
        <v>77</v>
      </c>
      <c r="L189" s="3" t="s">
        <v>119</v>
      </c>
      <c r="M189" s="4" t="s">
        <v>435</v>
      </c>
      <c r="N189" s="3" t="s">
        <v>56</v>
      </c>
      <c r="Y189" s="4" t="s">
        <v>178</v>
      </c>
      <c r="Z189" s="4" t="s">
        <v>178</v>
      </c>
      <c r="AD189" s="3" t="s">
        <v>436</v>
      </c>
      <c r="AE189" s="3">
        <v>1000</v>
      </c>
      <c r="AI189" s="4" t="s">
        <v>181</v>
      </c>
      <c r="AJ189" s="4" t="s">
        <v>181</v>
      </c>
      <c r="AL189" s="4">
        <v>141467</v>
      </c>
      <c r="AM189" s="5">
        <v>7923.3</v>
      </c>
      <c r="AN189" s="4" t="s">
        <v>124</v>
      </c>
    </row>
    <row r="190" spans="1:42" x14ac:dyDescent="0.25">
      <c r="A190" s="3">
        <v>4604801</v>
      </c>
      <c r="B190" s="3" t="s">
        <v>437</v>
      </c>
      <c r="C190" s="3" t="s">
        <v>392</v>
      </c>
      <c r="D190" s="3">
        <v>10004600</v>
      </c>
      <c r="E190" s="4">
        <v>4534152</v>
      </c>
      <c r="F190" s="3" t="s">
        <v>49</v>
      </c>
      <c r="G190" s="4" t="s">
        <v>430</v>
      </c>
      <c r="H190" s="4" t="s">
        <v>438</v>
      </c>
      <c r="I190" s="5">
        <v>122000</v>
      </c>
      <c r="J190" s="3" t="s">
        <v>437</v>
      </c>
      <c r="K190" s="3" t="s">
        <v>439</v>
      </c>
      <c r="L190" s="3" t="s">
        <v>196</v>
      </c>
      <c r="M190" s="4" t="s">
        <v>438</v>
      </c>
      <c r="N190" s="3" t="s">
        <v>25</v>
      </c>
      <c r="Q190" s="3" t="s">
        <v>139</v>
      </c>
      <c r="R190" s="3" t="s">
        <v>119</v>
      </c>
      <c r="S190" s="4" t="s">
        <v>217</v>
      </c>
      <c r="T190" s="4" t="s">
        <v>440</v>
      </c>
      <c r="Y190" s="4" t="s">
        <v>431</v>
      </c>
      <c r="Z190" s="4" t="s">
        <v>431</v>
      </c>
      <c r="AD190" s="3" t="s">
        <v>441</v>
      </c>
      <c r="AE190" s="3">
        <v>1000</v>
      </c>
      <c r="AI190" s="4" t="s">
        <v>434</v>
      </c>
      <c r="AJ190" s="4" t="s">
        <v>434</v>
      </c>
      <c r="AL190" s="4">
        <v>141840</v>
      </c>
      <c r="AM190" s="5">
        <v>122000</v>
      </c>
      <c r="AN190" s="4" t="s">
        <v>124</v>
      </c>
      <c r="AO190" s="4">
        <v>99</v>
      </c>
      <c r="AP190" s="4">
        <v>80111600</v>
      </c>
    </row>
    <row r="191" spans="1:42" x14ac:dyDescent="0.25">
      <c r="A191" s="3">
        <v>4604815</v>
      </c>
      <c r="B191" s="3" t="s">
        <v>442</v>
      </c>
      <c r="C191" s="3" t="s">
        <v>392</v>
      </c>
      <c r="D191" s="3">
        <v>10004616</v>
      </c>
      <c r="E191" s="4">
        <v>4534166</v>
      </c>
      <c r="F191" s="3" t="s">
        <v>49</v>
      </c>
      <c r="G191" s="4" t="s">
        <v>372</v>
      </c>
      <c r="H191" s="4" t="s">
        <v>443</v>
      </c>
      <c r="I191" s="5">
        <v>127587</v>
      </c>
      <c r="J191" s="3" t="s">
        <v>442</v>
      </c>
      <c r="K191" s="3" t="s">
        <v>444</v>
      </c>
      <c r="L191" s="3" t="s">
        <v>119</v>
      </c>
      <c r="M191" s="4" t="s">
        <v>443</v>
      </c>
      <c r="N191" s="3" t="s">
        <v>56</v>
      </c>
      <c r="O191" s="3" t="s">
        <v>139</v>
      </c>
      <c r="P191" s="4" t="s">
        <v>140</v>
      </c>
      <c r="U191" s="4" t="s">
        <v>139</v>
      </c>
      <c r="V191" s="4" t="s">
        <v>119</v>
      </c>
      <c r="W191" s="4" t="s">
        <v>217</v>
      </c>
      <c r="X191" s="4" t="s">
        <v>445</v>
      </c>
      <c r="Y191" s="4" t="s">
        <v>431</v>
      </c>
      <c r="Z191" s="4" t="s">
        <v>431</v>
      </c>
      <c r="AA191" s="4" t="s">
        <v>356</v>
      </c>
      <c r="AB191" s="3" t="s">
        <v>375</v>
      </c>
      <c r="AC191" s="3" t="s">
        <v>358</v>
      </c>
      <c r="AD191" s="3" t="s">
        <v>327</v>
      </c>
      <c r="AE191" s="3">
        <v>1000</v>
      </c>
      <c r="AI191" s="4" t="s">
        <v>434</v>
      </c>
      <c r="AJ191" s="4" t="s">
        <v>434</v>
      </c>
      <c r="AK191" s="3" t="s">
        <v>143</v>
      </c>
      <c r="AL191" s="4">
        <v>43825</v>
      </c>
      <c r="AM191" s="5">
        <v>127587</v>
      </c>
      <c r="AN191" s="4" t="s">
        <v>124</v>
      </c>
      <c r="AO191" s="4">
        <v>99</v>
      </c>
      <c r="AP191" s="4">
        <v>81120000</v>
      </c>
    </row>
    <row r="192" spans="1:42" x14ac:dyDescent="0.25">
      <c r="A192" s="3">
        <v>4604833</v>
      </c>
      <c r="B192" s="3" t="s">
        <v>402</v>
      </c>
      <c r="C192" s="3" t="s">
        <v>392</v>
      </c>
      <c r="D192" s="3">
        <v>10004590</v>
      </c>
      <c r="E192" s="4">
        <v>4534184</v>
      </c>
      <c r="F192" s="3" t="s">
        <v>49</v>
      </c>
      <c r="G192" s="4" t="s">
        <v>372</v>
      </c>
      <c r="H192" s="4" t="s">
        <v>446</v>
      </c>
      <c r="I192" s="5">
        <v>36850</v>
      </c>
      <c r="J192" s="3" t="s">
        <v>447</v>
      </c>
      <c r="K192" s="3" t="s">
        <v>448</v>
      </c>
      <c r="L192" s="3" t="s">
        <v>119</v>
      </c>
      <c r="M192" s="4" t="s">
        <v>446</v>
      </c>
      <c r="N192" s="3" t="s">
        <v>56</v>
      </c>
      <c r="O192" s="3" t="s">
        <v>139</v>
      </c>
      <c r="P192" s="4" t="s">
        <v>140</v>
      </c>
      <c r="Y192" s="4" t="s">
        <v>420</v>
      </c>
      <c r="Z192" s="4" t="s">
        <v>420</v>
      </c>
      <c r="AA192" s="4" t="s">
        <v>356</v>
      </c>
      <c r="AB192" s="3" t="s">
        <v>375</v>
      </c>
      <c r="AC192" s="3" t="s">
        <v>358</v>
      </c>
      <c r="AD192" s="3" t="s">
        <v>449</v>
      </c>
      <c r="AE192" s="3">
        <v>1000</v>
      </c>
      <c r="AI192" s="4" t="s">
        <v>423</v>
      </c>
      <c r="AJ192" s="4" t="s">
        <v>423</v>
      </c>
      <c r="AK192" s="3" t="s">
        <v>143</v>
      </c>
      <c r="AL192" s="4">
        <v>43825</v>
      </c>
      <c r="AM192" s="5">
        <v>36850</v>
      </c>
      <c r="AN192" s="4" t="s">
        <v>124</v>
      </c>
      <c r="AO192" s="4">
        <v>99</v>
      </c>
      <c r="AP192" s="4">
        <v>81121500</v>
      </c>
    </row>
    <row r="193" spans="1:42" x14ac:dyDescent="0.25">
      <c r="A193" s="3">
        <v>4604837</v>
      </c>
      <c r="B193" s="3" t="s">
        <v>341</v>
      </c>
      <c r="C193" s="3" t="s">
        <v>392</v>
      </c>
      <c r="D193" s="3">
        <v>10004635</v>
      </c>
      <c r="E193" s="4">
        <v>4534188</v>
      </c>
      <c r="F193" s="3" t="s">
        <v>49</v>
      </c>
      <c r="G193" s="4" t="s">
        <v>450</v>
      </c>
      <c r="H193" s="4" t="s">
        <v>451</v>
      </c>
      <c r="I193" s="5">
        <v>24649.79</v>
      </c>
      <c r="J193" s="3" t="s">
        <v>122</v>
      </c>
      <c r="K193" s="3" t="s">
        <v>321</v>
      </c>
      <c r="L193" s="3" t="s">
        <v>196</v>
      </c>
      <c r="M193" s="4" t="s">
        <v>451</v>
      </c>
      <c r="N193" s="3" t="s">
        <v>25</v>
      </c>
      <c r="Y193" s="4" t="s">
        <v>431</v>
      </c>
      <c r="Z193" s="4" t="s">
        <v>420</v>
      </c>
      <c r="AD193" s="3" t="s">
        <v>341</v>
      </c>
      <c r="AE193" s="3">
        <v>1000</v>
      </c>
      <c r="AI193" s="4" t="s">
        <v>434</v>
      </c>
      <c r="AJ193" s="4" t="s">
        <v>423</v>
      </c>
      <c r="AL193" s="4">
        <v>40279</v>
      </c>
      <c r="AM193" s="5">
        <v>24649.79</v>
      </c>
      <c r="AN193" s="4" t="s">
        <v>124</v>
      </c>
      <c r="AO193" s="4">
        <v>99</v>
      </c>
      <c r="AP193" s="4">
        <v>86000000</v>
      </c>
    </row>
    <row r="194" spans="1:42" x14ac:dyDescent="0.25">
      <c r="A194" s="3">
        <v>4604841</v>
      </c>
      <c r="B194" s="3" t="s">
        <v>452</v>
      </c>
      <c r="C194" s="3" t="s">
        <v>392</v>
      </c>
      <c r="D194" s="3">
        <v>10004639</v>
      </c>
      <c r="E194" s="4">
        <v>4534192</v>
      </c>
      <c r="F194" s="3" t="s">
        <v>49</v>
      </c>
      <c r="G194" s="4" t="s">
        <v>453</v>
      </c>
      <c r="H194" s="4" t="s">
        <v>454</v>
      </c>
      <c r="I194" s="5">
        <v>12950</v>
      </c>
      <c r="J194" s="3" t="s">
        <v>455</v>
      </c>
      <c r="K194" s="3" t="s">
        <v>77</v>
      </c>
      <c r="L194" s="3" t="s">
        <v>196</v>
      </c>
      <c r="M194" s="4" t="s">
        <v>454</v>
      </c>
      <c r="N194" s="3" t="s">
        <v>25</v>
      </c>
      <c r="Y194" s="4" t="s">
        <v>431</v>
      </c>
      <c r="Z194" s="4" t="s">
        <v>431</v>
      </c>
      <c r="AD194" s="3" t="s">
        <v>452</v>
      </c>
      <c r="AE194" s="3">
        <v>1000</v>
      </c>
      <c r="AI194" s="4" t="s">
        <v>434</v>
      </c>
      <c r="AJ194" s="4" t="s">
        <v>434</v>
      </c>
      <c r="AL194" s="4">
        <v>47630</v>
      </c>
      <c r="AM194" s="5">
        <v>12950</v>
      </c>
      <c r="AN194" s="4" t="s">
        <v>124</v>
      </c>
      <c r="AO194" s="4">
        <v>99</v>
      </c>
      <c r="AP194" s="4">
        <v>86000000</v>
      </c>
    </row>
    <row r="195" spans="1:42" x14ac:dyDescent="0.25">
      <c r="A195" s="3">
        <v>4604842</v>
      </c>
      <c r="B195" s="3" t="s">
        <v>452</v>
      </c>
      <c r="C195" s="3" t="s">
        <v>392</v>
      </c>
      <c r="D195" s="3">
        <v>10004638</v>
      </c>
      <c r="E195" s="4">
        <v>4534193</v>
      </c>
      <c r="F195" s="3" t="s">
        <v>49</v>
      </c>
      <c r="G195" s="4" t="s">
        <v>289</v>
      </c>
      <c r="H195" s="4" t="s">
        <v>456</v>
      </c>
      <c r="I195" s="5">
        <v>70000</v>
      </c>
      <c r="J195" s="3" t="s">
        <v>452</v>
      </c>
      <c r="K195" s="3" t="s">
        <v>77</v>
      </c>
      <c r="L195" s="3" t="s">
        <v>119</v>
      </c>
      <c r="M195" s="4" t="s">
        <v>456</v>
      </c>
      <c r="N195" s="3" t="s">
        <v>56</v>
      </c>
      <c r="Y195" s="4" t="s">
        <v>179</v>
      </c>
      <c r="Z195" s="4" t="s">
        <v>179</v>
      </c>
      <c r="AA195" s="4" t="s">
        <v>188</v>
      </c>
      <c r="AB195" s="3" t="s">
        <v>293</v>
      </c>
      <c r="AC195" s="3" t="s">
        <v>190</v>
      </c>
      <c r="AD195" s="3" t="s">
        <v>457</v>
      </c>
      <c r="AE195" s="3">
        <v>1000</v>
      </c>
      <c r="AI195" s="4" t="s">
        <v>182</v>
      </c>
      <c r="AJ195" s="4" t="s">
        <v>182</v>
      </c>
      <c r="AL195" s="4">
        <v>141467</v>
      </c>
      <c r="AM195" s="5">
        <v>70000</v>
      </c>
      <c r="AN195" s="4" t="s">
        <v>124</v>
      </c>
      <c r="AO195" s="4">
        <v>99</v>
      </c>
      <c r="AP195" s="4">
        <v>80111600</v>
      </c>
    </row>
    <row r="196" spans="1:42" x14ac:dyDescent="0.25">
      <c r="A196" s="3">
        <v>4604848</v>
      </c>
      <c r="B196" s="3" t="s">
        <v>458</v>
      </c>
      <c r="C196" s="3" t="s">
        <v>392</v>
      </c>
      <c r="D196" s="3">
        <v>10004653</v>
      </c>
      <c r="E196" s="4">
        <v>4534199</v>
      </c>
      <c r="F196" s="3" t="s">
        <v>49</v>
      </c>
      <c r="G196" s="4" t="s">
        <v>459</v>
      </c>
      <c r="H196" s="4" t="s">
        <v>460</v>
      </c>
      <c r="I196" s="5">
        <v>27500</v>
      </c>
      <c r="J196" s="3" t="s">
        <v>458</v>
      </c>
      <c r="K196" s="3" t="s">
        <v>461</v>
      </c>
      <c r="L196" s="3" t="s">
        <v>196</v>
      </c>
      <c r="M196" s="4" t="s">
        <v>460</v>
      </c>
      <c r="N196" s="3" t="s">
        <v>25</v>
      </c>
      <c r="Y196" s="4" t="s">
        <v>431</v>
      </c>
      <c r="Z196" s="4" t="s">
        <v>431</v>
      </c>
      <c r="AD196" s="3" t="s">
        <v>462</v>
      </c>
      <c r="AE196" s="3">
        <v>1000</v>
      </c>
      <c r="AI196" s="4" t="s">
        <v>434</v>
      </c>
      <c r="AJ196" s="4" t="s">
        <v>434</v>
      </c>
      <c r="AL196" s="4">
        <v>43117</v>
      </c>
      <c r="AM196" s="5">
        <v>27500</v>
      </c>
      <c r="AN196" s="4" t="s">
        <v>124</v>
      </c>
      <c r="AO196" s="4">
        <v>99</v>
      </c>
      <c r="AP196" s="4">
        <v>80141500</v>
      </c>
    </row>
    <row r="197" spans="1:42" x14ac:dyDescent="0.25">
      <c r="A197" s="3">
        <v>4604851</v>
      </c>
      <c r="B197" s="3" t="s">
        <v>448</v>
      </c>
      <c r="C197" s="3" t="s">
        <v>392</v>
      </c>
      <c r="D197" s="3">
        <v>10004656</v>
      </c>
      <c r="E197" s="4">
        <v>4534202</v>
      </c>
      <c r="F197" s="3" t="s">
        <v>49</v>
      </c>
      <c r="G197" s="4" t="s">
        <v>463</v>
      </c>
      <c r="H197" s="4" t="s">
        <v>464</v>
      </c>
      <c r="I197" s="5">
        <v>24200</v>
      </c>
      <c r="J197" s="3" t="s">
        <v>465</v>
      </c>
      <c r="K197" s="3" t="s">
        <v>313</v>
      </c>
      <c r="L197" s="3" t="s">
        <v>196</v>
      </c>
      <c r="M197" s="4" t="s">
        <v>464</v>
      </c>
      <c r="N197" s="3" t="s">
        <v>25</v>
      </c>
      <c r="Y197" s="4" t="s">
        <v>466</v>
      </c>
      <c r="Z197" s="4" t="s">
        <v>466</v>
      </c>
      <c r="AD197" s="3" t="s">
        <v>467</v>
      </c>
      <c r="AE197" s="3">
        <v>1000</v>
      </c>
      <c r="AI197" s="4" t="s">
        <v>468</v>
      </c>
      <c r="AJ197" s="4" t="s">
        <v>468</v>
      </c>
      <c r="AL197" s="4">
        <v>141859</v>
      </c>
      <c r="AM197" s="5">
        <v>24200</v>
      </c>
      <c r="AN197" s="4" t="s">
        <v>124</v>
      </c>
      <c r="AO197" s="4">
        <v>99</v>
      </c>
      <c r="AP197" s="4">
        <v>43230000</v>
      </c>
    </row>
    <row r="198" spans="1:42" x14ac:dyDescent="0.25">
      <c r="A198" s="3">
        <v>4604853</v>
      </c>
      <c r="B198" s="3" t="s">
        <v>469</v>
      </c>
      <c r="C198" s="3" t="s">
        <v>392</v>
      </c>
      <c r="D198" s="3">
        <v>10004658</v>
      </c>
      <c r="E198" s="4">
        <v>4534204</v>
      </c>
      <c r="F198" s="3" t="s">
        <v>49</v>
      </c>
      <c r="G198" s="4" t="s">
        <v>470</v>
      </c>
      <c r="H198" s="4" t="s">
        <v>471</v>
      </c>
      <c r="I198" s="5">
        <v>59200</v>
      </c>
      <c r="J198" s="3" t="s">
        <v>469</v>
      </c>
      <c r="K198" s="3" t="s">
        <v>472</v>
      </c>
      <c r="L198" s="3" t="s">
        <v>119</v>
      </c>
      <c r="M198" s="4" t="s">
        <v>471</v>
      </c>
      <c r="N198" s="3" t="s">
        <v>56</v>
      </c>
      <c r="O198" s="3" t="s">
        <v>139</v>
      </c>
      <c r="P198" s="4" t="s">
        <v>282</v>
      </c>
      <c r="Y198" s="4" t="s">
        <v>466</v>
      </c>
      <c r="Z198" s="4" t="s">
        <v>406</v>
      </c>
      <c r="AA198" s="4" t="s">
        <v>356</v>
      </c>
      <c r="AB198" s="3" t="s">
        <v>473</v>
      </c>
      <c r="AC198" s="3" t="s">
        <v>358</v>
      </c>
      <c r="AD198" s="3" t="s">
        <v>474</v>
      </c>
      <c r="AE198" s="3">
        <v>1000</v>
      </c>
      <c r="AI198" s="4" t="s">
        <v>468</v>
      </c>
      <c r="AJ198" s="4" t="s">
        <v>409</v>
      </c>
      <c r="AK198" s="3" t="s">
        <v>286</v>
      </c>
      <c r="AL198" s="4">
        <v>41344</v>
      </c>
      <c r="AM198" s="5">
        <v>59200</v>
      </c>
      <c r="AN198" s="4" t="s">
        <v>124</v>
      </c>
      <c r="AO198" s="4">
        <v>99</v>
      </c>
      <c r="AP198" s="4">
        <v>80141500</v>
      </c>
    </row>
    <row r="199" spans="1:42" x14ac:dyDescent="0.25">
      <c r="A199" s="3">
        <v>4604860</v>
      </c>
      <c r="B199" s="3" t="s">
        <v>475</v>
      </c>
      <c r="C199" s="3" t="s">
        <v>392</v>
      </c>
      <c r="D199" s="3">
        <v>10004663</v>
      </c>
      <c r="E199" s="4">
        <v>4534211</v>
      </c>
      <c r="F199" s="3" t="s">
        <v>49</v>
      </c>
      <c r="G199" s="4" t="s">
        <v>318</v>
      </c>
      <c r="H199" s="4" t="s">
        <v>476</v>
      </c>
      <c r="I199" s="5">
        <v>82500</v>
      </c>
      <c r="J199" s="3" t="s">
        <v>477</v>
      </c>
      <c r="K199" s="3" t="s">
        <v>77</v>
      </c>
      <c r="L199" s="3" t="s">
        <v>119</v>
      </c>
      <c r="M199" s="4" t="s">
        <v>476</v>
      </c>
      <c r="N199" s="3" t="s">
        <v>56</v>
      </c>
      <c r="Y199" s="4" t="s">
        <v>466</v>
      </c>
      <c r="Z199" s="4" t="s">
        <v>466</v>
      </c>
      <c r="AA199" s="4" t="s">
        <v>188</v>
      </c>
      <c r="AB199" s="3" t="s">
        <v>478</v>
      </c>
      <c r="AC199" s="3" t="s">
        <v>190</v>
      </c>
      <c r="AD199" s="3" t="s">
        <v>479</v>
      </c>
      <c r="AE199" s="3">
        <v>1000</v>
      </c>
      <c r="AI199" s="4" t="s">
        <v>468</v>
      </c>
      <c r="AJ199" s="4" t="s">
        <v>468</v>
      </c>
      <c r="AL199" s="4">
        <v>141551</v>
      </c>
      <c r="AM199" s="5">
        <v>82500</v>
      </c>
      <c r="AN199" s="4" t="s">
        <v>124</v>
      </c>
      <c r="AO199" s="4">
        <v>99</v>
      </c>
      <c r="AP199" s="4">
        <v>80111600</v>
      </c>
    </row>
    <row r="200" spans="1:42" x14ac:dyDescent="0.25">
      <c r="A200" s="3">
        <v>4604861</v>
      </c>
      <c r="B200" s="3" t="s">
        <v>480</v>
      </c>
      <c r="C200" s="3" t="s">
        <v>392</v>
      </c>
      <c r="D200" s="3">
        <v>10004670</v>
      </c>
      <c r="E200" s="4">
        <v>4534212</v>
      </c>
      <c r="F200" s="3" t="s">
        <v>49</v>
      </c>
      <c r="G200" s="4" t="s">
        <v>481</v>
      </c>
      <c r="I200" s="5">
        <v>2557.0500000000002</v>
      </c>
      <c r="J200" s="3" t="s">
        <v>475</v>
      </c>
      <c r="K200" s="3" t="s">
        <v>77</v>
      </c>
      <c r="L200" s="3" t="s">
        <v>119</v>
      </c>
      <c r="M200" s="4" t="s">
        <v>482</v>
      </c>
      <c r="N200" s="3" t="s">
        <v>56</v>
      </c>
      <c r="Y200" s="4" t="s">
        <v>178</v>
      </c>
      <c r="Z200" s="4" t="s">
        <v>178</v>
      </c>
      <c r="AD200" s="3" t="s">
        <v>480</v>
      </c>
      <c r="AE200" s="3">
        <v>1000</v>
      </c>
      <c r="AI200" s="4" t="s">
        <v>181</v>
      </c>
      <c r="AJ200" s="4" t="s">
        <v>181</v>
      </c>
      <c r="AL200" s="4">
        <v>40741</v>
      </c>
      <c r="AM200" s="5">
        <v>2557.0500000000002</v>
      </c>
      <c r="AN200" s="4" t="s">
        <v>124</v>
      </c>
    </row>
    <row r="201" spans="1:42" x14ac:dyDescent="0.25">
      <c r="A201" s="3">
        <v>4604870</v>
      </c>
      <c r="B201" s="3" t="s">
        <v>483</v>
      </c>
      <c r="C201" s="3" t="s">
        <v>392</v>
      </c>
      <c r="D201" s="3">
        <v>10004682</v>
      </c>
      <c r="E201" s="4">
        <v>4534221</v>
      </c>
      <c r="F201" s="3" t="s">
        <v>49</v>
      </c>
      <c r="G201" s="4" t="s">
        <v>318</v>
      </c>
      <c r="I201" s="5">
        <v>2932.37</v>
      </c>
      <c r="J201" s="3" t="s">
        <v>484</v>
      </c>
      <c r="K201" s="3" t="s">
        <v>371</v>
      </c>
      <c r="L201" s="3" t="s">
        <v>119</v>
      </c>
      <c r="M201" s="4" t="s">
        <v>482</v>
      </c>
      <c r="N201" s="3" t="s">
        <v>56</v>
      </c>
      <c r="Y201" s="4" t="s">
        <v>178</v>
      </c>
      <c r="Z201" s="4" t="s">
        <v>178</v>
      </c>
      <c r="AD201" s="3" t="s">
        <v>485</v>
      </c>
      <c r="AE201" s="3">
        <v>1000</v>
      </c>
      <c r="AI201" s="4" t="s">
        <v>181</v>
      </c>
      <c r="AJ201" s="4" t="s">
        <v>181</v>
      </c>
      <c r="AL201" s="4">
        <v>141551</v>
      </c>
      <c r="AM201" s="5">
        <v>2932.37</v>
      </c>
      <c r="AN201" s="4" t="s">
        <v>124</v>
      </c>
    </row>
    <row r="202" spans="1:42" x14ac:dyDescent="0.25">
      <c r="A202" s="3">
        <v>4604874</v>
      </c>
      <c r="B202" s="3" t="s">
        <v>486</v>
      </c>
      <c r="C202" s="3" t="s">
        <v>392</v>
      </c>
      <c r="D202" s="3">
        <v>10004690</v>
      </c>
      <c r="E202" s="4">
        <v>4534225</v>
      </c>
      <c r="F202" s="3" t="s">
        <v>49</v>
      </c>
      <c r="G202" s="4" t="s">
        <v>487</v>
      </c>
      <c r="H202" s="4" t="s">
        <v>460</v>
      </c>
      <c r="I202" s="5">
        <v>19800</v>
      </c>
      <c r="J202" s="3" t="s">
        <v>477</v>
      </c>
      <c r="K202" s="3" t="s">
        <v>488</v>
      </c>
      <c r="L202" s="3" t="s">
        <v>196</v>
      </c>
      <c r="M202" s="4" t="s">
        <v>460</v>
      </c>
      <c r="N202" s="3" t="s">
        <v>25</v>
      </c>
      <c r="Y202" s="4" t="s">
        <v>489</v>
      </c>
      <c r="Z202" s="4" t="s">
        <v>431</v>
      </c>
      <c r="AD202" s="3" t="s">
        <v>477</v>
      </c>
      <c r="AE202" s="3">
        <v>1000</v>
      </c>
      <c r="AI202" s="4" t="s">
        <v>490</v>
      </c>
      <c r="AJ202" s="4" t="s">
        <v>434</v>
      </c>
      <c r="AL202" s="4">
        <v>43098</v>
      </c>
      <c r="AM202" s="5">
        <v>19800</v>
      </c>
      <c r="AN202" s="4" t="s">
        <v>124</v>
      </c>
      <c r="AO202" s="4">
        <v>99</v>
      </c>
      <c r="AP202" s="4">
        <v>80141500</v>
      </c>
    </row>
    <row r="203" spans="1:42" x14ac:dyDescent="0.25">
      <c r="A203" s="3">
        <v>4604876</v>
      </c>
      <c r="B203" s="3" t="s">
        <v>455</v>
      </c>
      <c r="C203" s="3" t="s">
        <v>392</v>
      </c>
      <c r="D203" s="3">
        <v>10004693</v>
      </c>
      <c r="E203" s="4">
        <v>4534227</v>
      </c>
      <c r="F203" s="3" t="s">
        <v>49</v>
      </c>
      <c r="G203" s="4" t="s">
        <v>463</v>
      </c>
      <c r="H203" s="4" t="s">
        <v>491</v>
      </c>
      <c r="I203" s="5">
        <v>101640</v>
      </c>
      <c r="J203" s="3" t="s">
        <v>477</v>
      </c>
      <c r="K203" s="3" t="s">
        <v>492</v>
      </c>
      <c r="L203" s="3" t="s">
        <v>196</v>
      </c>
      <c r="M203" s="4" t="s">
        <v>491</v>
      </c>
      <c r="N203" s="3" t="s">
        <v>25</v>
      </c>
      <c r="Y203" s="4" t="s">
        <v>466</v>
      </c>
      <c r="Z203" s="4" t="s">
        <v>466</v>
      </c>
      <c r="AA203" s="4" t="s">
        <v>493</v>
      </c>
      <c r="AD203" s="3" t="s">
        <v>486</v>
      </c>
      <c r="AE203" s="3">
        <v>1000</v>
      </c>
      <c r="AI203" s="4" t="s">
        <v>468</v>
      </c>
      <c r="AJ203" s="4" t="s">
        <v>468</v>
      </c>
      <c r="AL203" s="4">
        <v>141859</v>
      </c>
      <c r="AM203" s="5">
        <v>101640</v>
      </c>
      <c r="AN203" s="4" t="s">
        <v>124</v>
      </c>
      <c r="AO203" s="4">
        <v>99</v>
      </c>
      <c r="AP203" s="4">
        <v>43230000</v>
      </c>
    </row>
    <row r="204" spans="1:42" x14ac:dyDescent="0.25">
      <c r="A204" s="3">
        <v>4604899</v>
      </c>
      <c r="B204" s="3" t="s">
        <v>494</v>
      </c>
      <c r="C204" s="3" t="s">
        <v>392</v>
      </c>
      <c r="D204" s="3">
        <v>10004617</v>
      </c>
      <c r="E204" s="4">
        <v>4534250</v>
      </c>
      <c r="F204" s="3" t="s">
        <v>49</v>
      </c>
      <c r="G204" s="4" t="s">
        <v>193</v>
      </c>
      <c r="H204" s="4" t="s">
        <v>495</v>
      </c>
      <c r="I204" s="5">
        <v>22522.5</v>
      </c>
      <c r="J204" s="3" t="s">
        <v>494</v>
      </c>
      <c r="K204" s="3" t="s">
        <v>496</v>
      </c>
      <c r="L204" s="3" t="s">
        <v>196</v>
      </c>
      <c r="M204" s="4" t="s">
        <v>495</v>
      </c>
      <c r="N204" s="3" t="s">
        <v>25</v>
      </c>
      <c r="Y204" s="4" t="s">
        <v>431</v>
      </c>
      <c r="Z204" s="4" t="s">
        <v>431</v>
      </c>
      <c r="AD204" s="3" t="s">
        <v>496</v>
      </c>
      <c r="AE204" s="3">
        <v>1000</v>
      </c>
      <c r="AI204" s="4" t="s">
        <v>434</v>
      </c>
      <c r="AJ204" s="4" t="s">
        <v>434</v>
      </c>
      <c r="AL204" s="4">
        <v>48568</v>
      </c>
      <c r="AM204" s="5">
        <v>22522.5</v>
      </c>
      <c r="AN204" s="4" t="s">
        <v>124</v>
      </c>
      <c r="AO204" s="4">
        <v>99</v>
      </c>
      <c r="AP204" s="4">
        <v>55101500</v>
      </c>
    </row>
    <row r="205" spans="1:42" x14ac:dyDescent="0.25">
      <c r="A205" s="3">
        <v>4604912</v>
      </c>
      <c r="B205" s="3" t="s">
        <v>497</v>
      </c>
      <c r="C205" s="3" t="s">
        <v>392</v>
      </c>
      <c r="D205" s="3">
        <v>10004730</v>
      </c>
      <c r="E205" s="4">
        <v>4534263</v>
      </c>
      <c r="F205" s="3" t="s">
        <v>49</v>
      </c>
      <c r="G205" s="4" t="s">
        <v>174</v>
      </c>
      <c r="I205" s="5">
        <v>6419.69</v>
      </c>
      <c r="J205" s="3" t="s">
        <v>497</v>
      </c>
      <c r="K205" s="3" t="s">
        <v>498</v>
      </c>
      <c r="L205" s="3" t="s">
        <v>119</v>
      </c>
      <c r="M205" s="4" t="s">
        <v>499</v>
      </c>
      <c r="N205" s="3" t="s">
        <v>56</v>
      </c>
      <c r="Y205" s="4" t="s">
        <v>178</v>
      </c>
      <c r="Z205" s="4" t="s">
        <v>178</v>
      </c>
      <c r="AD205" s="3" t="s">
        <v>497</v>
      </c>
      <c r="AE205" s="3">
        <v>1000</v>
      </c>
      <c r="AI205" s="4" t="s">
        <v>181</v>
      </c>
      <c r="AJ205" s="4" t="s">
        <v>181</v>
      </c>
      <c r="AL205" s="4">
        <v>40476</v>
      </c>
      <c r="AM205" s="5">
        <v>6419.69</v>
      </c>
      <c r="AN205" s="4" t="s">
        <v>124</v>
      </c>
    </row>
    <row r="206" spans="1:42" x14ac:dyDescent="0.25">
      <c r="A206" s="3">
        <v>4604917</v>
      </c>
      <c r="B206" s="3" t="s">
        <v>492</v>
      </c>
      <c r="C206" s="3" t="s">
        <v>392</v>
      </c>
      <c r="D206" s="3">
        <v>10004742</v>
      </c>
      <c r="E206" s="4">
        <v>4534268</v>
      </c>
      <c r="F206" s="3" t="s">
        <v>49</v>
      </c>
      <c r="G206" s="4" t="s">
        <v>289</v>
      </c>
      <c r="I206" s="5">
        <v>2600.04</v>
      </c>
      <c r="J206" s="3" t="s">
        <v>500</v>
      </c>
      <c r="K206" s="3" t="s">
        <v>374</v>
      </c>
      <c r="L206" s="3" t="s">
        <v>119</v>
      </c>
      <c r="M206" s="4" t="s">
        <v>501</v>
      </c>
      <c r="N206" s="3" t="s">
        <v>56</v>
      </c>
      <c r="Y206" s="4" t="s">
        <v>178</v>
      </c>
      <c r="Z206" s="4" t="s">
        <v>178</v>
      </c>
      <c r="AD206" s="3" t="s">
        <v>500</v>
      </c>
      <c r="AE206" s="3">
        <v>1000</v>
      </c>
      <c r="AI206" s="4" t="s">
        <v>181</v>
      </c>
      <c r="AJ206" s="4" t="s">
        <v>181</v>
      </c>
      <c r="AL206" s="4">
        <v>141467</v>
      </c>
      <c r="AM206" s="5">
        <v>2600.04</v>
      </c>
      <c r="AN206" s="4" t="s">
        <v>124</v>
      </c>
    </row>
    <row r="207" spans="1:42" x14ac:dyDescent="0.25">
      <c r="A207" s="3">
        <v>4604921</v>
      </c>
      <c r="B207" s="3" t="s">
        <v>502</v>
      </c>
      <c r="C207" s="3" t="s">
        <v>392</v>
      </c>
      <c r="D207" s="3">
        <v>10004708</v>
      </c>
      <c r="E207" s="4">
        <v>4534272</v>
      </c>
      <c r="F207" s="3" t="s">
        <v>49</v>
      </c>
      <c r="G207" s="4" t="s">
        <v>372</v>
      </c>
      <c r="H207" s="4" t="s">
        <v>503</v>
      </c>
      <c r="I207" s="5">
        <v>64500</v>
      </c>
      <c r="J207" s="3" t="s">
        <v>502</v>
      </c>
      <c r="K207" s="3" t="s">
        <v>504</v>
      </c>
      <c r="L207" s="3" t="s">
        <v>119</v>
      </c>
      <c r="M207" s="4" t="s">
        <v>503</v>
      </c>
      <c r="N207" s="3" t="s">
        <v>25</v>
      </c>
      <c r="O207" s="3" t="s">
        <v>139</v>
      </c>
      <c r="P207" s="4" t="s">
        <v>282</v>
      </c>
      <c r="Y207" s="4" t="s">
        <v>505</v>
      </c>
      <c r="Z207" s="4" t="s">
        <v>505</v>
      </c>
      <c r="AA207" s="4" t="s">
        <v>506</v>
      </c>
      <c r="AD207" s="3" t="s">
        <v>500</v>
      </c>
      <c r="AE207" s="3">
        <v>1000</v>
      </c>
      <c r="AI207" s="4" t="s">
        <v>507</v>
      </c>
      <c r="AJ207" s="4" t="s">
        <v>507</v>
      </c>
      <c r="AK207" s="3" t="s">
        <v>286</v>
      </c>
      <c r="AL207" s="4">
        <v>43825</v>
      </c>
      <c r="AM207" s="5">
        <v>64500</v>
      </c>
      <c r="AN207" s="4" t="s">
        <v>124</v>
      </c>
      <c r="AO207" s="4">
        <v>99</v>
      </c>
      <c r="AP207" s="4">
        <v>80101505</v>
      </c>
    </row>
    <row r="208" spans="1:42" x14ac:dyDescent="0.25">
      <c r="A208" s="3">
        <v>4604924</v>
      </c>
      <c r="B208" s="3" t="s">
        <v>502</v>
      </c>
      <c r="C208" s="3" t="s">
        <v>392</v>
      </c>
      <c r="D208" s="3">
        <v>10004708</v>
      </c>
      <c r="E208" s="4">
        <v>4534275</v>
      </c>
      <c r="F208" s="3" t="s">
        <v>49</v>
      </c>
      <c r="G208" s="4" t="s">
        <v>508</v>
      </c>
      <c r="H208" s="4" t="s">
        <v>503</v>
      </c>
      <c r="I208" s="5">
        <v>79500</v>
      </c>
      <c r="J208" s="3" t="s">
        <v>502</v>
      </c>
      <c r="K208" s="3" t="s">
        <v>504</v>
      </c>
      <c r="L208" s="3" t="s">
        <v>119</v>
      </c>
      <c r="M208" s="4" t="s">
        <v>503</v>
      </c>
      <c r="N208" s="3" t="s">
        <v>25</v>
      </c>
      <c r="O208" s="3" t="s">
        <v>139</v>
      </c>
      <c r="P208" s="4" t="s">
        <v>282</v>
      </c>
      <c r="Y208" s="4" t="s">
        <v>505</v>
      </c>
      <c r="Z208" s="4" t="s">
        <v>505</v>
      </c>
      <c r="AA208" s="4" t="s">
        <v>509</v>
      </c>
      <c r="AD208" s="3" t="s">
        <v>510</v>
      </c>
      <c r="AE208" s="3">
        <v>1000</v>
      </c>
      <c r="AI208" s="4" t="s">
        <v>507</v>
      </c>
      <c r="AJ208" s="4" t="s">
        <v>507</v>
      </c>
      <c r="AK208" s="3" t="s">
        <v>286</v>
      </c>
      <c r="AL208" s="4">
        <v>140425</v>
      </c>
      <c r="AM208" s="5">
        <v>79500</v>
      </c>
      <c r="AN208" s="4" t="s">
        <v>124</v>
      </c>
      <c r="AO208" s="4">
        <v>99</v>
      </c>
      <c r="AP208" s="4">
        <v>80101505</v>
      </c>
    </row>
    <row r="209" spans="1:42" x14ac:dyDescent="0.25">
      <c r="A209" s="3">
        <v>4604928</v>
      </c>
      <c r="B209" s="3" t="s">
        <v>510</v>
      </c>
      <c r="C209" s="3" t="s">
        <v>392</v>
      </c>
      <c r="D209" s="3">
        <v>10004749</v>
      </c>
      <c r="E209" s="4">
        <v>4534279</v>
      </c>
      <c r="F209" s="3" t="s">
        <v>49</v>
      </c>
      <c r="G209" s="4" t="s">
        <v>318</v>
      </c>
      <c r="I209" s="5">
        <v>2412.52</v>
      </c>
      <c r="J209" s="3" t="s">
        <v>511</v>
      </c>
      <c r="K209" s="3" t="s">
        <v>374</v>
      </c>
      <c r="L209" s="3" t="s">
        <v>119</v>
      </c>
      <c r="M209" s="4" t="s">
        <v>512</v>
      </c>
      <c r="N209" s="3" t="s">
        <v>56</v>
      </c>
      <c r="Y209" s="4" t="s">
        <v>178</v>
      </c>
      <c r="Z209" s="4" t="s">
        <v>178</v>
      </c>
      <c r="AD209" s="3" t="s">
        <v>510</v>
      </c>
      <c r="AE209" s="3">
        <v>1000</v>
      </c>
      <c r="AI209" s="4" t="s">
        <v>181</v>
      </c>
      <c r="AJ209" s="4" t="s">
        <v>181</v>
      </c>
      <c r="AL209" s="4">
        <v>141551</v>
      </c>
      <c r="AM209" s="5">
        <v>2412.52</v>
      </c>
      <c r="AN209" s="4" t="s">
        <v>124</v>
      </c>
    </row>
    <row r="210" spans="1:42" x14ac:dyDescent="0.25">
      <c r="A210" s="3">
        <v>4604931</v>
      </c>
      <c r="B210" s="3" t="s">
        <v>172</v>
      </c>
      <c r="C210" s="3" t="s">
        <v>392</v>
      </c>
      <c r="D210" s="3">
        <v>10004755</v>
      </c>
      <c r="E210" s="4">
        <v>4534282</v>
      </c>
      <c r="F210" s="3" t="s">
        <v>49</v>
      </c>
      <c r="G210" s="4" t="s">
        <v>174</v>
      </c>
      <c r="I210" s="5">
        <v>1512.51</v>
      </c>
      <c r="J210" s="3" t="s">
        <v>513</v>
      </c>
      <c r="K210" s="3" t="s">
        <v>514</v>
      </c>
      <c r="L210" s="3" t="s">
        <v>119</v>
      </c>
      <c r="M210" s="4" t="s">
        <v>515</v>
      </c>
      <c r="N210" s="3" t="s">
        <v>56</v>
      </c>
      <c r="Y210" s="4" t="s">
        <v>178</v>
      </c>
      <c r="Z210" s="4" t="s">
        <v>178</v>
      </c>
      <c r="AD210" s="3" t="s">
        <v>516</v>
      </c>
      <c r="AE210" s="3">
        <v>1000</v>
      </c>
      <c r="AI210" s="4" t="s">
        <v>181</v>
      </c>
      <c r="AJ210" s="4" t="s">
        <v>181</v>
      </c>
      <c r="AL210" s="4">
        <v>40476</v>
      </c>
      <c r="AM210" s="5">
        <v>1512.51</v>
      </c>
      <c r="AN210" s="4" t="s">
        <v>124</v>
      </c>
    </row>
    <row r="211" spans="1:42" x14ac:dyDescent="0.25">
      <c r="A211" s="3">
        <v>4604932</v>
      </c>
      <c r="B211" s="3" t="s">
        <v>122</v>
      </c>
      <c r="C211" s="3" t="s">
        <v>392</v>
      </c>
      <c r="D211" s="3">
        <v>10004752</v>
      </c>
      <c r="E211" s="4">
        <v>4534283</v>
      </c>
      <c r="F211" s="3" t="s">
        <v>49</v>
      </c>
      <c r="G211" s="4" t="s">
        <v>517</v>
      </c>
      <c r="H211" s="4" t="s">
        <v>438</v>
      </c>
      <c r="I211" s="5">
        <v>115000</v>
      </c>
      <c r="J211" s="3" t="s">
        <v>518</v>
      </c>
      <c r="K211" s="3" t="s">
        <v>504</v>
      </c>
      <c r="L211" s="3" t="s">
        <v>196</v>
      </c>
      <c r="M211" s="4" t="s">
        <v>438</v>
      </c>
      <c r="N211" s="3" t="s">
        <v>25</v>
      </c>
      <c r="Y211" s="4" t="s">
        <v>431</v>
      </c>
      <c r="Z211" s="4" t="s">
        <v>431</v>
      </c>
      <c r="AD211" s="3" t="s">
        <v>485</v>
      </c>
      <c r="AE211" s="3">
        <v>1000</v>
      </c>
      <c r="AI211" s="4" t="s">
        <v>434</v>
      </c>
      <c r="AJ211" s="4" t="s">
        <v>434</v>
      </c>
      <c r="AL211" s="4">
        <v>43549</v>
      </c>
      <c r="AM211" s="5">
        <v>115000</v>
      </c>
      <c r="AN211" s="4" t="s">
        <v>124</v>
      </c>
      <c r="AO211" s="4">
        <v>98</v>
      </c>
      <c r="AP211" s="4">
        <v>80111600</v>
      </c>
    </row>
    <row r="212" spans="1:42" x14ac:dyDescent="0.25">
      <c r="A212" s="3">
        <v>4604938</v>
      </c>
      <c r="B212" s="3" t="s">
        <v>472</v>
      </c>
      <c r="C212" s="3" t="s">
        <v>392</v>
      </c>
      <c r="D212" s="3">
        <v>10004756</v>
      </c>
      <c r="E212" s="4">
        <v>4534289</v>
      </c>
      <c r="F212" s="3" t="s">
        <v>49</v>
      </c>
      <c r="G212" s="4" t="s">
        <v>519</v>
      </c>
      <c r="H212" s="4" t="s">
        <v>520</v>
      </c>
      <c r="I212" s="5">
        <v>461571</v>
      </c>
      <c r="J212" s="3" t="s">
        <v>513</v>
      </c>
      <c r="K212" s="3" t="s">
        <v>77</v>
      </c>
      <c r="L212" s="3" t="s">
        <v>119</v>
      </c>
      <c r="M212" s="4" t="s">
        <v>520</v>
      </c>
      <c r="N212" s="3" t="s">
        <v>56</v>
      </c>
      <c r="Y212" s="4" t="s">
        <v>466</v>
      </c>
      <c r="Z212" s="4" t="s">
        <v>466</v>
      </c>
      <c r="AA212" s="4" t="s">
        <v>521</v>
      </c>
      <c r="AB212" s="3" t="s">
        <v>522</v>
      </c>
      <c r="AC212" s="3" t="s">
        <v>523</v>
      </c>
      <c r="AD212" s="3" t="s">
        <v>524</v>
      </c>
      <c r="AE212" s="3">
        <v>1000</v>
      </c>
      <c r="AI212" s="4" t="s">
        <v>468</v>
      </c>
      <c r="AJ212" s="4" t="s">
        <v>468</v>
      </c>
      <c r="AL212" s="4">
        <v>141888</v>
      </c>
      <c r="AM212" s="5">
        <v>461571</v>
      </c>
      <c r="AN212" s="4" t="s">
        <v>124</v>
      </c>
      <c r="AO212" s="4">
        <v>99</v>
      </c>
      <c r="AP212" s="4">
        <v>43230000</v>
      </c>
    </row>
    <row r="213" spans="1:42" x14ac:dyDescent="0.25">
      <c r="A213" s="3">
        <v>4604953</v>
      </c>
      <c r="B213" s="3" t="s">
        <v>502</v>
      </c>
      <c r="C213" s="3" t="s">
        <v>392</v>
      </c>
      <c r="D213" s="3">
        <v>10004708</v>
      </c>
      <c r="E213" s="4">
        <v>4534304</v>
      </c>
      <c r="F213" s="3" t="s">
        <v>49</v>
      </c>
      <c r="G213" s="4" t="s">
        <v>525</v>
      </c>
      <c r="H213" s="4" t="s">
        <v>503</v>
      </c>
      <c r="I213" s="5">
        <v>135500</v>
      </c>
      <c r="J213" s="3" t="s">
        <v>502</v>
      </c>
      <c r="K213" s="3" t="s">
        <v>504</v>
      </c>
      <c r="L213" s="3" t="s">
        <v>119</v>
      </c>
      <c r="M213" s="4" t="s">
        <v>503</v>
      </c>
      <c r="N213" s="3" t="s">
        <v>25</v>
      </c>
      <c r="O213" s="3" t="s">
        <v>139</v>
      </c>
      <c r="P213" s="4" t="s">
        <v>282</v>
      </c>
      <c r="Y213" s="4" t="s">
        <v>505</v>
      </c>
      <c r="Z213" s="4" t="s">
        <v>505</v>
      </c>
      <c r="AA213" s="4" t="s">
        <v>526</v>
      </c>
      <c r="AD213" s="3" t="s">
        <v>527</v>
      </c>
      <c r="AE213" s="3">
        <v>1000</v>
      </c>
      <c r="AI213" s="4" t="s">
        <v>507</v>
      </c>
      <c r="AJ213" s="4" t="s">
        <v>507</v>
      </c>
      <c r="AK213" s="3" t="s">
        <v>286</v>
      </c>
      <c r="AL213" s="4">
        <v>141897</v>
      </c>
      <c r="AM213" s="5">
        <v>135500</v>
      </c>
      <c r="AN213" s="4" t="s">
        <v>124</v>
      </c>
      <c r="AO213" s="4">
        <v>99</v>
      </c>
      <c r="AP213" s="4">
        <v>80101505</v>
      </c>
    </row>
    <row r="214" spans="1:42" x14ac:dyDescent="0.25">
      <c r="A214" s="3">
        <v>4604980</v>
      </c>
      <c r="B214" s="3" t="s">
        <v>382</v>
      </c>
      <c r="C214" s="3" t="s">
        <v>392</v>
      </c>
      <c r="D214" s="3">
        <v>10004799</v>
      </c>
      <c r="E214" s="4">
        <v>4534331</v>
      </c>
      <c r="F214" s="3" t="s">
        <v>49</v>
      </c>
      <c r="G214" s="4" t="s">
        <v>519</v>
      </c>
      <c r="H214" s="4" t="s">
        <v>528</v>
      </c>
      <c r="I214" s="5">
        <v>52299.5</v>
      </c>
      <c r="J214" s="3" t="s">
        <v>360</v>
      </c>
      <c r="K214" s="3" t="s">
        <v>77</v>
      </c>
      <c r="L214" s="3" t="s">
        <v>119</v>
      </c>
      <c r="M214" s="4" t="s">
        <v>528</v>
      </c>
      <c r="N214" s="3" t="s">
        <v>56</v>
      </c>
      <c r="Y214" s="4" t="s">
        <v>466</v>
      </c>
      <c r="Z214" s="4" t="s">
        <v>466</v>
      </c>
      <c r="AA214" s="4" t="s">
        <v>521</v>
      </c>
      <c r="AB214" s="3" t="s">
        <v>522</v>
      </c>
      <c r="AC214" s="3" t="s">
        <v>523</v>
      </c>
      <c r="AD214" s="3" t="s">
        <v>474</v>
      </c>
      <c r="AE214" s="3">
        <v>1000</v>
      </c>
      <c r="AI214" s="4" t="s">
        <v>468</v>
      </c>
      <c r="AJ214" s="4" t="s">
        <v>468</v>
      </c>
      <c r="AL214" s="4">
        <v>141888</v>
      </c>
      <c r="AM214" s="5">
        <v>52299.5</v>
      </c>
      <c r="AN214" s="4" t="s">
        <v>124</v>
      </c>
      <c r="AO214" s="4">
        <v>99</v>
      </c>
      <c r="AP214" s="4">
        <v>43230000</v>
      </c>
    </row>
    <row r="215" spans="1:42" x14ac:dyDescent="0.25">
      <c r="A215" s="3">
        <v>4604985</v>
      </c>
      <c r="B215" s="3" t="s">
        <v>529</v>
      </c>
      <c r="C215" s="3" t="s">
        <v>392</v>
      </c>
      <c r="D215" s="3">
        <v>10004814</v>
      </c>
      <c r="E215" s="4">
        <v>4534336</v>
      </c>
      <c r="F215" s="3" t="s">
        <v>49</v>
      </c>
      <c r="G215" s="4" t="s">
        <v>318</v>
      </c>
      <c r="I215" s="5">
        <v>1224.82</v>
      </c>
      <c r="J215" s="3" t="s">
        <v>529</v>
      </c>
      <c r="K215" s="3" t="s">
        <v>530</v>
      </c>
      <c r="L215" s="3" t="s">
        <v>119</v>
      </c>
      <c r="M215" s="4" t="s">
        <v>531</v>
      </c>
      <c r="N215" s="3" t="s">
        <v>56</v>
      </c>
      <c r="Y215" s="4" t="s">
        <v>178</v>
      </c>
      <c r="Z215" s="4" t="s">
        <v>178</v>
      </c>
      <c r="AD215" s="3" t="s">
        <v>422</v>
      </c>
      <c r="AE215" s="3">
        <v>1000</v>
      </c>
      <c r="AI215" s="4" t="s">
        <v>181</v>
      </c>
      <c r="AJ215" s="4" t="s">
        <v>181</v>
      </c>
      <c r="AL215" s="4">
        <v>141551</v>
      </c>
      <c r="AM215" s="5">
        <v>1224.82</v>
      </c>
      <c r="AN215" s="4" t="s">
        <v>124</v>
      </c>
    </row>
    <row r="216" spans="1:42" x14ac:dyDescent="0.25">
      <c r="A216" s="3">
        <v>4604992</v>
      </c>
      <c r="B216" s="3" t="s">
        <v>532</v>
      </c>
      <c r="C216" s="3" t="s">
        <v>392</v>
      </c>
      <c r="D216" s="3">
        <v>10004817</v>
      </c>
      <c r="E216" s="4">
        <v>4534343</v>
      </c>
      <c r="F216" s="3" t="s">
        <v>49</v>
      </c>
      <c r="G216" s="4" t="s">
        <v>463</v>
      </c>
      <c r="H216" s="4" t="s">
        <v>533</v>
      </c>
      <c r="I216" s="5">
        <v>16755.75</v>
      </c>
      <c r="J216" s="3" t="s">
        <v>317</v>
      </c>
      <c r="K216" s="3" t="s">
        <v>407</v>
      </c>
      <c r="L216" s="3" t="s">
        <v>196</v>
      </c>
      <c r="M216" s="4" t="s">
        <v>533</v>
      </c>
      <c r="N216" s="3" t="s">
        <v>25</v>
      </c>
      <c r="Y216" s="4" t="s">
        <v>466</v>
      </c>
      <c r="Z216" s="4" t="s">
        <v>466</v>
      </c>
      <c r="AD216" s="3" t="s">
        <v>534</v>
      </c>
      <c r="AE216" s="3">
        <v>1000</v>
      </c>
      <c r="AI216" s="4" t="s">
        <v>468</v>
      </c>
      <c r="AJ216" s="4" t="s">
        <v>468</v>
      </c>
      <c r="AL216" s="4">
        <v>141859</v>
      </c>
      <c r="AM216" s="5">
        <v>16755.75</v>
      </c>
      <c r="AN216" s="4" t="s">
        <v>124</v>
      </c>
      <c r="AO216" s="4">
        <v>99</v>
      </c>
      <c r="AP216" s="4">
        <v>43230000</v>
      </c>
    </row>
    <row r="217" spans="1:42" x14ac:dyDescent="0.25">
      <c r="A217" s="3">
        <v>4605008</v>
      </c>
      <c r="B217" s="3" t="s">
        <v>535</v>
      </c>
      <c r="C217" s="3" t="s">
        <v>392</v>
      </c>
      <c r="D217" s="3">
        <v>10004862</v>
      </c>
      <c r="E217" s="4">
        <v>4534359</v>
      </c>
      <c r="F217" s="3" t="s">
        <v>49</v>
      </c>
      <c r="G217" s="4" t="s">
        <v>536</v>
      </c>
      <c r="H217" s="4" t="s">
        <v>537</v>
      </c>
      <c r="I217" s="5">
        <v>35000</v>
      </c>
      <c r="J217" s="3" t="s">
        <v>535</v>
      </c>
      <c r="K217" s="3" t="s">
        <v>77</v>
      </c>
      <c r="L217" s="3" t="s">
        <v>196</v>
      </c>
      <c r="M217" s="4" t="s">
        <v>538</v>
      </c>
      <c r="N217" s="3" t="s">
        <v>25</v>
      </c>
      <c r="Y217" s="4" t="s">
        <v>539</v>
      </c>
      <c r="Z217" s="4" t="s">
        <v>540</v>
      </c>
      <c r="AD217" s="3" t="s">
        <v>535</v>
      </c>
      <c r="AE217" s="3">
        <v>1000</v>
      </c>
      <c r="AI217" s="4" t="s">
        <v>541</v>
      </c>
      <c r="AJ217" s="4" t="s">
        <v>542</v>
      </c>
      <c r="AL217" s="4">
        <v>140525</v>
      </c>
      <c r="AM217" s="5">
        <v>35000</v>
      </c>
      <c r="AN217" s="4" t="s">
        <v>124</v>
      </c>
      <c r="AO217" s="4">
        <v>99</v>
      </c>
      <c r="AP217" s="4">
        <v>80160000</v>
      </c>
    </row>
    <row r="218" spans="1:42" x14ac:dyDescent="0.25">
      <c r="A218" s="3">
        <v>4605042</v>
      </c>
      <c r="B218" s="3" t="s">
        <v>369</v>
      </c>
      <c r="C218" s="3" t="s">
        <v>392</v>
      </c>
      <c r="D218" s="3">
        <v>10004895</v>
      </c>
      <c r="E218" s="4">
        <v>4534393</v>
      </c>
      <c r="F218" s="3" t="s">
        <v>49</v>
      </c>
      <c r="G218" s="4" t="s">
        <v>289</v>
      </c>
      <c r="I218" s="5">
        <v>1967.22</v>
      </c>
      <c r="J218" s="3" t="s">
        <v>543</v>
      </c>
      <c r="K218" s="3" t="s">
        <v>544</v>
      </c>
      <c r="L218" s="3" t="s">
        <v>119</v>
      </c>
      <c r="M218" s="4" t="s">
        <v>545</v>
      </c>
      <c r="N218" s="3" t="s">
        <v>56</v>
      </c>
      <c r="Y218" s="4" t="s">
        <v>178</v>
      </c>
      <c r="Z218" s="4" t="s">
        <v>178</v>
      </c>
      <c r="AD218" s="3" t="s">
        <v>369</v>
      </c>
      <c r="AE218" s="3">
        <v>1000</v>
      </c>
      <c r="AI218" s="4" t="s">
        <v>181</v>
      </c>
      <c r="AJ218" s="4" t="s">
        <v>181</v>
      </c>
      <c r="AL218" s="4">
        <v>141467</v>
      </c>
      <c r="AM218" s="5">
        <v>1967.22</v>
      </c>
      <c r="AN218" s="4" t="s">
        <v>124</v>
      </c>
    </row>
    <row r="219" spans="1:42" x14ac:dyDescent="0.25">
      <c r="A219" s="3">
        <v>4605045</v>
      </c>
      <c r="B219" s="3" t="s">
        <v>382</v>
      </c>
      <c r="C219" s="3" t="s">
        <v>392</v>
      </c>
      <c r="D219" s="3">
        <v>10004897</v>
      </c>
      <c r="E219" s="4">
        <v>4534396</v>
      </c>
      <c r="F219" s="3" t="s">
        <v>49</v>
      </c>
      <c r="G219" s="4" t="s">
        <v>546</v>
      </c>
      <c r="H219" s="4" t="s">
        <v>547</v>
      </c>
      <c r="I219" s="5">
        <v>64898</v>
      </c>
      <c r="J219" s="3" t="s">
        <v>382</v>
      </c>
      <c r="K219" s="3" t="s">
        <v>374</v>
      </c>
      <c r="L219" s="3" t="s">
        <v>119</v>
      </c>
      <c r="M219" s="4" t="s">
        <v>547</v>
      </c>
      <c r="N219" s="3" t="s">
        <v>56</v>
      </c>
      <c r="Q219" s="3" t="s">
        <v>139</v>
      </c>
      <c r="R219" s="3" t="s">
        <v>548</v>
      </c>
      <c r="S219" s="4" t="s">
        <v>549</v>
      </c>
      <c r="U219" s="4" t="s">
        <v>139</v>
      </c>
      <c r="V219" s="4" t="s">
        <v>548</v>
      </c>
      <c r="W219" s="4" t="s">
        <v>549</v>
      </c>
      <c r="Y219" s="4" t="s">
        <v>550</v>
      </c>
      <c r="Z219" s="4" t="s">
        <v>550</v>
      </c>
      <c r="AA219" s="4" t="s">
        <v>356</v>
      </c>
      <c r="AB219" s="3" t="s">
        <v>551</v>
      </c>
      <c r="AC219" s="3" t="s">
        <v>358</v>
      </c>
      <c r="AD219" s="3" t="s">
        <v>369</v>
      </c>
      <c r="AE219" s="3">
        <v>1000</v>
      </c>
      <c r="AI219" s="4" t="s">
        <v>552</v>
      </c>
      <c r="AJ219" s="4" t="s">
        <v>552</v>
      </c>
      <c r="AL219" s="4">
        <v>140499</v>
      </c>
      <c r="AM219" s="5">
        <v>64898</v>
      </c>
      <c r="AN219" s="4" t="s">
        <v>124</v>
      </c>
      <c r="AO219" s="4">
        <v>99</v>
      </c>
      <c r="AP219" s="4">
        <v>80101603</v>
      </c>
    </row>
    <row r="220" spans="1:42" x14ac:dyDescent="0.25">
      <c r="A220" s="3">
        <v>4605054</v>
      </c>
      <c r="B220" s="3" t="s">
        <v>287</v>
      </c>
      <c r="C220" s="3" t="s">
        <v>392</v>
      </c>
      <c r="D220" s="3">
        <v>10004824</v>
      </c>
      <c r="E220" s="4">
        <v>4534405</v>
      </c>
      <c r="F220" s="3" t="s">
        <v>49</v>
      </c>
      <c r="G220" s="4" t="s">
        <v>553</v>
      </c>
      <c r="H220" s="4" t="s">
        <v>554</v>
      </c>
      <c r="I220" s="5">
        <v>77000</v>
      </c>
      <c r="J220" s="3" t="s">
        <v>535</v>
      </c>
      <c r="K220" s="3" t="s">
        <v>555</v>
      </c>
      <c r="L220" s="3" t="s">
        <v>119</v>
      </c>
      <c r="M220" s="4" t="s">
        <v>554</v>
      </c>
      <c r="N220" s="3" t="s">
        <v>56</v>
      </c>
      <c r="O220" s="3" t="s">
        <v>139</v>
      </c>
      <c r="P220" s="4" t="s">
        <v>140</v>
      </c>
      <c r="Y220" s="4" t="s">
        <v>556</v>
      </c>
      <c r="Z220" s="4" t="s">
        <v>556</v>
      </c>
      <c r="AA220" s="4" t="s">
        <v>356</v>
      </c>
      <c r="AB220" s="3" t="s">
        <v>557</v>
      </c>
      <c r="AC220" s="3" t="s">
        <v>358</v>
      </c>
      <c r="AD220" s="3" t="s">
        <v>287</v>
      </c>
      <c r="AE220" s="3">
        <v>1000</v>
      </c>
      <c r="AI220" s="4" t="s">
        <v>558</v>
      </c>
      <c r="AJ220" s="4" t="s">
        <v>558</v>
      </c>
      <c r="AK220" s="3" t="s">
        <v>143</v>
      </c>
      <c r="AL220" s="4">
        <v>42555</v>
      </c>
      <c r="AM220" s="5">
        <v>77000</v>
      </c>
      <c r="AN220" s="4" t="s">
        <v>124</v>
      </c>
      <c r="AO220" s="4">
        <v>99</v>
      </c>
      <c r="AP220" s="4">
        <v>80101603</v>
      </c>
    </row>
    <row r="221" spans="1:42" x14ac:dyDescent="0.25">
      <c r="A221" s="3">
        <v>4600307</v>
      </c>
      <c r="B221" s="3" t="s">
        <v>559</v>
      </c>
      <c r="C221" s="3" t="s">
        <v>560</v>
      </c>
      <c r="D221" s="3">
        <v>10000374</v>
      </c>
      <c r="E221" s="4">
        <v>4529657</v>
      </c>
      <c r="F221" s="3" t="s">
        <v>49</v>
      </c>
      <c r="G221" s="4" t="s">
        <v>561</v>
      </c>
      <c r="H221" s="4" t="s">
        <v>562</v>
      </c>
      <c r="I221" s="5">
        <v>424915</v>
      </c>
      <c r="J221" s="3" t="s">
        <v>563</v>
      </c>
      <c r="K221" s="3" t="s">
        <v>77</v>
      </c>
      <c r="L221" s="3" t="s">
        <v>119</v>
      </c>
      <c r="M221" s="4" t="s">
        <v>564</v>
      </c>
      <c r="N221" s="3" t="s">
        <v>25</v>
      </c>
      <c r="Y221" s="4" t="s">
        <v>565</v>
      </c>
      <c r="Z221" s="4" t="s">
        <v>566</v>
      </c>
      <c r="AA221" s="4" t="s">
        <v>567</v>
      </c>
      <c r="AD221" s="3" t="s">
        <v>568</v>
      </c>
      <c r="AE221" s="3">
        <v>5000</v>
      </c>
      <c r="AF221" s="4">
        <v>18242.27</v>
      </c>
      <c r="AG221" s="4">
        <v>66400.27</v>
      </c>
      <c r="AH221" s="4">
        <v>4528577</v>
      </c>
      <c r="AI221" s="4" t="s">
        <v>569</v>
      </c>
      <c r="AJ221" s="4" t="s">
        <v>570</v>
      </c>
      <c r="AL221" s="4">
        <v>140166</v>
      </c>
      <c r="AM221" s="5">
        <v>424915</v>
      </c>
      <c r="AN221" s="4" t="s">
        <v>31</v>
      </c>
      <c r="AO221" s="4">
        <v>95</v>
      </c>
      <c r="AP221" s="4">
        <v>80101600</v>
      </c>
    </row>
    <row r="222" spans="1:42" x14ac:dyDescent="0.25">
      <c r="A222" s="3">
        <v>4600328</v>
      </c>
      <c r="B222" s="3" t="s">
        <v>559</v>
      </c>
      <c r="C222" s="3" t="s">
        <v>560</v>
      </c>
      <c r="D222" s="3">
        <v>10000390</v>
      </c>
      <c r="E222" s="4">
        <v>4529678</v>
      </c>
      <c r="F222" s="3" t="s">
        <v>49</v>
      </c>
      <c r="G222" s="4" t="s">
        <v>579</v>
      </c>
      <c r="H222" s="4" t="s">
        <v>562</v>
      </c>
      <c r="I222" s="5">
        <v>505700</v>
      </c>
      <c r="J222" s="3" t="s">
        <v>580</v>
      </c>
      <c r="K222" s="3" t="s">
        <v>77</v>
      </c>
      <c r="L222" s="3" t="s">
        <v>119</v>
      </c>
      <c r="M222" s="4" t="s">
        <v>564</v>
      </c>
      <c r="N222" s="3" t="s">
        <v>56</v>
      </c>
      <c r="Y222" s="4" t="s">
        <v>565</v>
      </c>
      <c r="Z222" s="4" t="s">
        <v>566</v>
      </c>
      <c r="AA222" s="4" t="s">
        <v>567</v>
      </c>
      <c r="AB222" s="3" t="s">
        <v>581</v>
      </c>
      <c r="AC222" s="3" t="s">
        <v>582</v>
      </c>
      <c r="AD222" s="3" t="s">
        <v>583</v>
      </c>
      <c r="AE222" s="3">
        <v>5000</v>
      </c>
      <c r="AF222" s="4">
        <v>47065.27</v>
      </c>
      <c r="AG222" s="4">
        <v>88148.53</v>
      </c>
      <c r="AH222" s="4">
        <v>4528569</v>
      </c>
      <c r="AI222" s="4" t="s">
        <v>569</v>
      </c>
      <c r="AJ222" s="4" t="s">
        <v>570</v>
      </c>
      <c r="AL222" s="4">
        <v>53480</v>
      </c>
      <c r="AM222" s="5">
        <v>505700</v>
      </c>
      <c r="AN222" s="4" t="s">
        <v>31</v>
      </c>
      <c r="AO222" s="4">
        <v>95</v>
      </c>
      <c r="AP222" s="4">
        <v>43200000</v>
      </c>
    </row>
    <row r="223" spans="1:42" x14ac:dyDescent="0.25">
      <c r="A223" s="3">
        <v>4600329</v>
      </c>
      <c r="B223" s="3" t="s">
        <v>559</v>
      </c>
      <c r="C223" s="3" t="s">
        <v>560</v>
      </c>
      <c r="D223" s="3">
        <v>10000392</v>
      </c>
      <c r="E223" s="4">
        <v>4529679</v>
      </c>
      <c r="F223" s="3" t="s">
        <v>49</v>
      </c>
      <c r="G223" s="4" t="s">
        <v>584</v>
      </c>
      <c r="H223" s="4" t="s">
        <v>562</v>
      </c>
      <c r="I223" s="5">
        <v>1264953.1000000001</v>
      </c>
      <c r="J223" s="3" t="s">
        <v>585</v>
      </c>
      <c r="K223" s="3" t="s">
        <v>77</v>
      </c>
      <c r="L223" s="3" t="s">
        <v>119</v>
      </c>
      <c r="M223" s="4" t="s">
        <v>564</v>
      </c>
      <c r="N223" s="3" t="s">
        <v>56</v>
      </c>
      <c r="Y223" s="4" t="s">
        <v>565</v>
      </c>
      <c r="Z223" s="4" t="s">
        <v>566</v>
      </c>
      <c r="AA223" s="4" t="s">
        <v>567</v>
      </c>
      <c r="AB223" s="3" t="s">
        <v>586</v>
      </c>
      <c r="AC223" s="3" t="s">
        <v>582</v>
      </c>
      <c r="AD223" s="3" t="s">
        <v>583</v>
      </c>
      <c r="AE223" s="3">
        <v>5000</v>
      </c>
      <c r="AF223" s="4">
        <v>48699.8</v>
      </c>
      <c r="AG223" s="4">
        <v>101537.76</v>
      </c>
      <c r="AH223" s="4">
        <v>4528566</v>
      </c>
      <c r="AI223" s="4" t="s">
        <v>569</v>
      </c>
      <c r="AJ223" s="4" t="s">
        <v>570</v>
      </c>
      <c r="AL223" s="4">
        <v>49597</v>
      </c>
      <c r="AM223" s="5">
        <v>1264953.1000000001</v>
      </c>
      <c r="AN223" s="4" t="s">
        <v>31</v>
      </c>
      <c r="AO223" s="4">
        <v>93</v>
      </c>
      <c r="AP223" s="4">
        <v>80101600</v>
      </c>
    </row>
    <row r="224" spans="1:42" x14ac:dyDescent="0.25">
      <c r="A224" s="3">
        <v>4600331</v>
      </c>
      <c r="B224" s="3" t="s">
        <v>559</v>
      </c>
      <c r="C224" s="3" t="s">
        <v>560</v>
      </c>
      <c r="D224" s="3">
        <v>10000393</v>
      </c>
      <c r="E224" s="4">
        <v>4529681</v>
      </c>
      <c r="F224" s="3" t="s">
        <v>49</v>
      </c>
      <c r="G224" s="4" t="s">
        <v>587</v>
      </c>
      <c r="H224" s="4" t="s">
        <v>562</v>
      </c>
      <c r="I224" s="5">
        <v>250100</v>
      </c>
      <c r="J224" s="3" t="s">
        <v>580</v>
      </c>
      <c r="K224" s="3" t="s">
        <v>77</v>
      </c>
      <c r="L224" s="3" t="s">
        <v>119</v>
      </c>
      <c r="M224" s="4" t="s">
        <v>564</v>
      </c>
      <c r="N224" s="3" t="s">
        <v>56</v>
      </c>
      <c r="Y224" s="4" t="s">
        <v>565</v>
      </c>
      <c r="Z224" s="4" t="s">
        <v>566</v>
      </c>
      <c r="AA224" s="4" t="s">
        <v>567</v>
      </c>
      <c r="AB224" s="3" t="s">
        <v>588</v>
      </c>
      <c r="AC224" s="3" t="s">
        <v>582</v>
      </c>
      <c r="AD224" s="3" t="s">
        <v>583</v>
      </c>
      <c r="AE224" s="3">
        <v>5000</v>
      </c>
      <c r="AF224" s="4">
        <v>8580</v>
      </c>
      <c r="AG224" s="4">
        <v>104098.17</v>
      </c>
      <c r="AH224" s="4">
        <v>4528576</v>
      </c>
      <c r="AI224" s="4" t="s">
        <v>569</v>
      </c>
      <c r="AJ224" s="4" t="s">
        <v>570</v>
      </c>
      <c r="AL224" s="4">
        <v>140165</v>
      </c>
      <c r="AM224" s="5">
        <v>250100</v>
      </c>
      <c r="AN224" s="4" t="s">
        <v>31</v>
      </c>
      <c r="AO224" s="4">
        <v>97</v>
      </c>
      <c r="AP224" s="4">
        <v>43200000</v>
      </c>
    </row>
    <row r="225" spans="1:42" x14ac:dyDescent="0.25">
      <c r="A225" s="3">
        <v>4602209</v>
      </c>
      <c r="B225" s="3" t="s">
        <v>589</v>
      </c>
      <c r="C225" s="3" t="s">
        <v>560</v>
      </c>
      <c r="D225" s="3">
        <v>10002146</v>
      </c>
      <c r="E225" s="4">
        <v>4531560</v>
      </c>
      <c r="F225" s="3" t="s">
        <v>49</v>
      </c>
      <c r="G225" s="4" t="s">
        <v>590</v>
      </c>
      <c r="H225" s="4" t="s">
        <v>591</v>
      </c>
      <c r="I225" s="5">
        <v>1964582.8</v>
      </c>
      <c r="J225" s="3" t="s">
        <v>592</v>
      </c>
      <c r="K225" s="3" t="s">
        <v>77</v>
      </c>
      <c r="L225" s="3" t="s">
        <v>119</v>
      </c>
      <c r="M225" s="4" t="s">
        <v>593</v>
      </c>
      <c r="N225" s="3" t="s">
        <v>25</v>
      </c>
      <c r="Y225" s="4" t="s">
        <v>594</v>
      </c>
      <c r="Z225" s="4" t="s">
        <v>594</v>
      </c>
      <c r="AA225" s="4" t="s">
        <v>595</v>
      </c>
      <c r="AD225" s="3" t="s">
        <v>596</v>
      </c>
      <c r="AE225" s="3">
        <v>5000</v>
      </c>
      <c r="AI225" s="4" t="s">
        <v>597</v>
      </c>
      <c r="AJ225" s="4" t="s">
        <v>597</v>
      </c>
      <c r="AL225" s="4">
        <v>48114</v>
      </c>
      <c r="AM225" s="5">
        <v>1964582.8</v>
      </c>
      <c r="AN225" s="4" t="s">
        <v>31</v>
      </c>
      <c r="AO225" s="4">
        <v>98</v>
      </c>
      <c r="AP225" s="4">
        <v>43222800</v>
      </c>
    </row>
    <row r="226" spans="1:42" x14ac:dyDescent="0.25">
      <c r="A226" s="3">
        <v>4602620</v>
      </c>
      <c r="B226" s="3" t="s">
        <v>598</v>
      </c>
      <c r="C226" s="3" t="s">
        <v>560</v>
      </c>
      <c r="D226" s="3">
        <v>10002451</v>
      </c>
      <c r="E226" s="4">
        <v>4531971</v>
      </c>
      <c r="F226" s="3" t="s">
        <v>49</v>
      </c>
      <c r="G226" s="4" t="s">
        <v>599</v>
      </c>
      <c r="H226" s="4" t="s">
        <v>600</v>
      </c>
      <c r="I226" s="5">
        <v>40000</v>
      </c>
      <c r="J226" s="3" t="s">
        <v>601</v>
      </c>
      <c r="K226" s="3" t="s">
        <v>602</v>
      </c>
      <c r="L226" s="3" t="s">
        <v>54</v>
      </c>
      <c r="M226" s="4" t="s">
        <v>603</v>
      </c>
      <c r="N226" s="3" t="s">
        <v>56</v>
      </c>
      <c r="Y226" s="4" t="s">
        <v>604</v>
      </c>
      <c r="Z226" s="4" t="s">
        <v>605</v>
      </c>
      <c r="AA226" s="4" t="s">
        <v>606</v>
      </c>
      <c r="AB226" s="3" t="s">
        <v>606</v>
      </c>
      <c r="AC226" s="3" t="s">
        <v>607</v>
      </c>
      <c r="AD226" s="3" t="s">
        <v>598</v>
      </c>
      <c r="AE226" s="3">
        <v>1000</v>
      </c>
      <c r="AI226" s="4" t="s">
        <v>608</v>
      </c>
      <c r="AJ226" s="4" t="s">
        <v>609</v>
      </c>
      <c r="AL226" s="4">
        <v>44723</v>
      </c>
      <c r="AM226" s="5">
        <v>40000</v>
      </c>
      <c r="AN226" s="4" t="s">
        <v>124</v>
      </c>
      <c r="AO226" s="4">
        <v>99</v>
      </c>
      <c r="AP226" s="4">
        <v>78111809</v>
      </c>
    </row>
    <row r="227" spans="1:42" x14ac:dyDescent="0.25">
      <c r="A227" s="3">
        <v>4603008</v>
      </c>
      <c r="B227" s="3" t="s">
        <v>598</v>
      </c>
      <c r="C227" s="3" t="s">
        <v>560</v>
      </c>
      <c r="D227" s="3">
        <v>10002828</v>
      </c>
      <c r="E227" s="4">
        <v>4532359</v>
      </c>
      <c r="F227" s="3" t="s">
        <v>49</v>
      </c>
      <c r="G227" s="4" t="s">
        <v>599</v>
      </c>
      <c r="H227" s="4" t="s">
        <v>600</v>
      </c>
      <c r="I227" s="5">
        <v>32000</v>
      </c>
      <c r="J227" s="3" t="s">
        <v>619</v>
      </c>
      <c r="K227" s="3" t="s">
        <v>620</v>
      </c>
      <c r="L227" s="3" t="s">
        <v>54</v>
      </c>
      <c r="M227" s="4" t="s">
        <v>621</v>
      </c>
      <c r="N227" s="3" t="s">
        <v>56</v>
      </c>
      <c r="Y227" s="4" t="s">
        <v>604</v>
      </c>
      <c r="Z227" s="4" t="s">
        <v>605</v>
      </c>
      <c r="AA227" s="4" t="s">
        <v>606</v>
      </c>
      <c r="AB227" s="3" t="s">
        <v>606</v>
      </c>
      <c r="AC227" s="3" t="s">
        <v>607</v>
      </c>
      <c r="AD227" s="3" t="s">
        <v>598</v>
      </c>
      <c r="AE227" s="3">
        <v>1000</v>
      </c>
      <c r="AI227" s="4" t="s">
        <v>608</v>
      </c>
      <c r="AJ227" s="4" t="s">
        <v>609</v>
      </c>
      <c r="AL227" s="4">
        <v>44723</v>
      </c>
      <c r="AM227" s="5">
        <v>32000</v>
      </c>
      <c r="AN227" s="4" t="s">
        <v>124</v>
      </c>
      <c r="AO227" s="4">
        <v>99</v>
      </c>
      <c r="AP227" s="4">
        <v>78111809</v>
      </c>
    </row>
    <row r="228" spans="1:42" x14ac:dyDescent="0.25">
      <c r="A228" s="3">
        <v>4603854</v>
      </c>
      <c r="B228" s="3" t="s">
        <v>589</v>
      </c>
      <c r="C228" s="3" t="s">
        <v>560</v>
      </c>
      <c r="D228" s="3">
        <v>10003685</v>
      </c>
      <c r="E228" s="4">
        <v>4533205</v>
      </c>
      <c r="F228" s="3" t="s">
        <v>49</v>
      </c>
      <c r="G228" s="4" t="s">
        <v>629</v>
      </c>
      <c r="H228" s="4" t="s">
        <v>630</v>
      </c>
      <c r="I228" s="5">
        <v>4494081.2</v>
      </c>
      <c r="J228" s="3" t="s">
        <v>631</v>
      </c>
      <c r="K228" s="3" t="s">
        <v>77</v>
      </c>
      <c r="L228" s="3" t="s">
        <v>119</v>
      </c>
      <c r="M228" s="4" t="s">
        <v>630</v>
      </c>
      <c r="N228" s="3" t="s">
        <v>25</v>
      </c>
      <c r="Y228" s="4" t="s">
        <v>632</v>
      </c>
      <c r="Z228" s="4" t="s">
        <v>632</v>
      </c>
      <c r="AA228" s="4" t="s">
        <v>633</v>
      </c>
      <c r="AD228" s="3" t="s">
        <v>634</v>
      </c>
      <c r="AE228" s="3">
        <v>5000</v>
      </c>
      <c r="AI228" s="4" t="s">
        <v>635</v>
      </c>
      <c r="AJ228" s="4" t="s">
        <v>635</v>
      </c>
      <c r="AL228" s="4">
        <v>140045</v>
      </c>
      <c r="AM228" s="5">
        <v>4494081.2</v>
      </c>
      <c r="AN228" s="4" t="s">
        <v>31</v>
      </c>
      <c r="AO228" s="4">
        <v>99</v>
      </c>
      <c r="AP228" s="4">
        <v>43222800</v>
      </c>
    </row>
    <row r="229" spans="1:42" x14ac:dyDescent="0.25">
      <c r="A229" s="3">
        <v>4603865</v>
      </c>
      <c r="B229" s="3" t="s">
        <v>636</v>
      </c>
      <c r="C229" s="3" t="s">
        <v>560</v>
      </c>
      <c r="D229" s="3">
        <v>10003645</v>
      </c>
      <c r="E229" s="4">
        <v>4533216</v>
      </c>
      <c r="F229" s="3" t="s">
        <v>49</v>
      </c>
      <c r="G229" s="4" t="s">
        <v>637</v>
      </c>
      <c r="H229" s="4" t="s">
        <v>638</v>
      </c>
      <c r="I229" s="5">
        <v>10000</v>
      </c>
      <c r="J229" s="3" t="s">
        <v>631</v>
      </c>
      <c r="K229" s="3" t="s">
        <v>620</v>
      </c>
      <c r="L229" s="3" t="s">
        <v>196</v>
      </c>
      <c r="M229" s="4" t="s">
        <v>638</v>
      </c>
      <c r="N229" s="3" t="s">
        <v>25</v>
      </c>
      <c r="Y229" s="4" t="s">
        <v>639</v>
      </c>
      <c r="Z229" s="4" t="s">
        <v>639</v>
      </c>
      <c r="AA229" s="4" t="s">
        <v>640</v>
      </c>
      <c r="AD229" s="3" t="s">
        <v>636</v>
      </c>
      <c r="AE229" s="3">
        <v>1000</v>
      </c>
      <c r="AI229" s="4" t="s">
        <v>641</v>
      </c>
      <c r="AJ229" s="4" t="s">
        <v>641</v>
      </c>
      <c r="AL229" s="4">
        <v>40566</v>
      </c>
      <c r="AM229" s="5">
        <v>10000</v>
      </c>
      <c r="AN229" s="4" t="s">
        <v>124</v>
      </c>
      <c r="AO229" s="4">
        <v>99</v>
      </c>
      <c r="AP229" s="4">
        <v>80101604</v>
      </c>
    </row>
    <row r="230" spans="1:42" x14ac:dyDescent="0.25">
      <c r="A230" s="3">
        <v>4604261</v>
      </c>
      <c r="B230" s="3" t="s">
        <v>559</v>
      </c>
      <c r="C230" s="3" t="s">
        <v>560</v>
      </c>
      <c r="D230" s="3">
        <v>10000394</v>
      </c>
      <c r="E230" s="4">
        <v>4533612</v>
      </c>
      <c r="F230" s="3" t="s">
        <v>49</v>
      </c>
      <c r="G230" s="4" t="s">
        <v>721</v>
      </c>
      <c r="H230" s="4" t="s">
        <v>564</v>
      </c>
      <c r="I230" s="5">
        <v>468000.01</v>
      </c>
      <c r="J230" s="3" t="s">
        <v>722</v>
      </c>
      <c r="K230" s="3" t="s">
        <v>77</v>
      </c>
      <c r="L230" s="3" t="s">
        <v>119</v>
      </c>
      <c r="M230" s="4" t="s">
        <v>564</v>
      </c>
      <c r="N230" s="3" t="s">
        <v>56</v>
      </c>
      <c r="Y230" s="4" t="s">
        <v>565</v>
      </c>
      <c r="Z230" s="4" t="s">
        <v>614</v>
      </c>
      <c r="AA230" s="4" t="s">
        <v>567</v>
      </c>
      <c r="AB230" s="3" t="s">
        <v>723</v>
      </c>
      <c r="AC230" s="3" t="s">
        <v>582</v>
      </c>
      <c r="AD230" s="3" t="s">
        <v>724</v>
      </c>
      <c r="AE230" s="3">
        <v>5000</v>
      </c>
      <c r="AF230" s="4">
        <v>35941.4</v>
      </c>
      <c r="AG230" s="4">
        <v>114296.16</v>
      </c>
      <c r="AH230" s="4">
        <v>4528567</v>
      </c>
      <c r="AI230" s="4" t="s">
        <v>569</v>
      </c>
      <c r="AJ230" s="4" t="s">
        <v>617</v>
      </c>
      <c r="AL230" s="4">
        <v>141563</v>
      </c>
      <c r="AM230" s="5">
        <v>468000.01</v>
      </c>
      <c r="AN230" s="4" t="s">
        <v>31</v>
      </c>
      <c r="AO230" s="4">
        <v>99</v>
      </c>
      <c r="AP230" s="4">
        <v>80101600</v>
      </c>
    </row>
    <row r="231" spans="1:42" x14ac:dyDescent="0.25">
      <c r="A231" s="3">
        <v>4604396</v>
      </c>
      <c r="B231" s="3" t="s">
        <v>725</v>
      </c>
      <c r="C231" s="3" t="s">
        <v>560</v>
      </c>
      <c r="D231" s="3">
        <v>10004182</v>
      </c>
      <c r="E231" s="4">
        <v>4533747</v>
      </c>
      <c r="F231" s="3" t="s">
        <v>49</v>
      </c>
      <c r="G231" s="4" t="s">
        <v>726</v>
      </c>
      <c r="H231" s="4" t="s">
        <v>727</v>
      </c>
      <c r="I231" s="5">
        <v>13976.02</v>
      </c>
      <c r="J231" s="3" t="s">
        <v>725</v>
      </c>
      <c r="K231" s="3" t="s">
        <v>728</v>
      </c>
      <c r="L231" s="3" t="s">
        <v>119</v>
      </c>
      <c r="M231" s="4" t="s">
        <v>727</v>
      </c>
      <c r="N231" s="3" t="s">
        <v>25</v>
      </c>
      <c r="Y231" s="4" t="s">
        <v>729</v>
      </c>
      <c r="Z231" s="4" t="s">
        <v>729</v>
      </c>
      <c r="AA231" s="4">
        <v>41184</v>
      </c>
      <c r="AD231" s="3" t="s">
        <v>730</v>
      </c>
      <c r="AE231" s="3">
        <v>1000</v>
      </c>
      <c r="AI231" s="4" t="s">
        <v>731</v>
      </c>
      <c r="AJ231" s="4" t="s">
        <v>731</v>
      </c>
      <c r="AL231" s="4">
        <v>41184</v>
      </c>
      <c r="AM231" s="5">
        <v>13976.02</v>
      </c>
      <c r="AN231" s="4" t="s">
        <v>124</v>
      </c>
      <c r="AO231" s="4">
        <v>99</v>
      </c>
      <c r="AP231" s="4">
        <v>81112200</v>
      </c>
    </row>
    <row r="232" spans="1:42" x14ac:dyDescent="0.25">
      <c r="A232" s="3">
        <v>4604473</v>
      </c>
      <c r="B232" s="3" t="s">
        <v>732</v>
      </c>
      <c r="C232" s="3" t="s">
        <v>560</v>
      </c>
      <c r="D232" s="3">
        <v>10004235</v>
      </c>
      <c r="E232" s="4">
        <v>4533824</v>
      </c>
      <c r="F232" s="3" t="s">
        <v>49</v>
      </c>
      <c r="G232" s="4" t="s">
        <v>733</v>
      </c>
      <c r="H232" s="4" t="s">
        <v>734</v>
      </c>
      <c r="I232" s="5">
        <v>73436</v>
      </c>
      <c r="J232" s="3" t="s">
        <v>735</v>
      </c>
      <c r="K232" s="3" t="s">
        <v>736</v>
      </c>
      <c r="L232" s="3" t="s">
        <v>119</v>
      </c>
      <c r="M232" s="4" t="s">
        <v>734</v>
      </c>
      <c r="N232" s="3" t="s">
        <v>56</v>
      </c>
      <c r="O232" s="3" t="s">
        <v>139</v>
      </c>
      <c r="P232" s="4" t="s">
        <v>140</v>
      </c>
      <c r="Y232" s="4" t="s">
        <v>737</v>
      </c>
      <c r="Z232" s="4" t="s">
        <v>738</v>
      </c>
      <c r="AA232" s="4" t="s">
        <v>356</v>
      </c>
      <c r="AB232" s="3" t="s">
        <v>739</v>
      </c>
      <c r="AC232" s="3" t="s">
        <v>358</v>
      </c>
      <c r="AD232" s="3" t="s">
        <v>265</v>
      </c>
      <c r="AE232" s="3">
        <v>1000</v>
      </c>
      <c r="AI232" s="4" t="s">
        <v>740</v>
      </c>
      <c r="AJ232" s="4" t="s">
        <v>741</v>
      </c>
      <c r="AK232" s="3" t="s">
        <v>143</v>
      </c>
      <c r="AL232" s="4">
        <v>141735</v>
      </c>
      <c r="AM232" s="5">
        <v>73436</v>
      </c>
      <c r="AN232" s="4" t="s">
        <v>124</v>
      </c>
      <c r="AO232" s="4">
        <v>99</v>
      </c>
      <c r="AP232" s="4">
        <v>80141500</v>
      </c>
    </row>
    <row r="233" spans="1:42" x14ac:dyDescent="0.25">
      <c r="A233" s="3">
        <v>4604501</v>
      </c>
      <c r="B233" s="3" t="s">
        <v>742</v>
      </c>
      <c r="C233" s="3" t="s">
        <v>560</v>
      </c>
      <c r="D233" s="3">
        <v>10004283</v>
      </c>
      <c r="E233" s="4">
        <v>4533852</v>
      </c>
      <c r="F233" s="3" t="s">
        <v>49</v>
      </c>
      <c r="G233" s="4" t="s">
        <v>743</v>
      </c>
      <c r="I233" s="5">
        <v>6384.04</v>
      </c>
      <c r="J233" s="3" t="s">
        <v>744</v>
      </c>
      <c r="K233" s="3" t="s">
        <v>745</v>
      </c>
      <c r="L233" s="3" t="s">
        <v>196</v>
      </c>
      <c r="M233" s="4" t="s">
        <v>746</v>
      </c>
      <c r="N233" s="3" t="s">
        <v>25</v>
      </c>
      <c r="Y233" s="4" t="s">
        <v>747</v>
      </c>
      <c r="Z233" s="4" t="s">
        <v>747</v>
      </c>
      <c r="AD233" s="3" t="s">
        <v>748</v>
      </c>
      <c r="AE233" s="3">
        <v>1000</v>
      </c>
      <c r="AI233" s="4" t="s">
        <v>749</v>
      </c>
      <c r="AJ233" s="4" t="s">
        <v>749</v>
      </c>
      <c r="AL233" s="4">
        <v>141745</v>
      </c>
      <c r="AM233" s="5">
        <v>6384.04</v>
      </c>
      <c r="AN233" s="4" t="s">
        <v>124</v>
      </c>
    </row>
    <row r="234" spans="1:42" x14ac:dyDescent="0.25">
      <c r="A234" s="3">
        <v>4604535</v>
      </c>
      <c r="B234" s="3" t="s">
        <v>750</v>
      </c>
      <c r="C234" s="3" t="s">
        <v>560</v>
      </c>
      <c r="D234" s="3">
        <v>10004324</v>
      </c>
      <c r="E234" s="4">
        <v>4533886</v>
      </c>
      <c r="F234" s="3" t="s">
        <v>49</v>
      </c>
      <c r="G234" s="4" t="s">
        <v>751</v>
      </c>
      <c r="H234" s="4" t="s">
        <v>752</v>
      </c>
      <c r="I234" s="5">
        <v>29343</v>
      </c>
      <c r="J234" s="3" t="s">
        <v>750</v>
      </c>
      <c r="K234" s="3" t="s">
        <v>223</v>
      </c>
      <c r="L234" s="3" t="s">
        <v>119</v>
      </c>
      <c r="M234" s="4" t="s">
        <v>752</v>
      </c>
      <c r="N234" s="3" t="s">
        <v>56</v>
      </c>
      <c r="Y234" s="4" t="s">
        <v>753</v>
      </c>
      <c r="Z234" s="4" t="s">
        <v>753</v>
      </c>
      <c r="AA234" s="4" t="s">
        <v>754</v>
      </c>
      <c r="AB234" s="3" t="s">
        <v>755</v>
      </c>
      <c r="AC234" s="3" t="s">
        <v>756</v>
      </c>
      <c r="AD234" s="3" t="s">
        <v>757</v>
      </c>
      <c r="AE234" s="3">
        <v>1000</v>
      </c>
      <c r="AI234" s="4" t="s">
        <v>758</v>
      </c>
      <c r="AJ234" s="4" t="s">
        <v>758</v>
      </c>
      <c r="AL234" s="4">
        <v>49246</v>
      </c>
      <c r="AM234" s="5">
        <v>29343</v>
      </c>
      <c r="AN234" s="4" t="s">
        <v>124</v>
      </c>
      <c r="AO234" s="4">
        <v>99</v>
      </c>
      <c r="AP234" s="4">
        <v>80100000</v>
      </c>
    </row>
    <row r="235" spans="1:42" x14ac:dyDescent="0.25">
      <c r="A235" s="3">
        <v>4604543</v>
      </c>
      <c r="B235" s="3" t="s">
        <v>265</v>
      </c>
      <c r="C235" s="3" t="s">
        <v>560</v>
      </c>
      <c r="D235" s="3">
        <v>10004331</v>
      </c>
      <c r="E235" s="4">
        <v>4533894</v>
      </c>
      <c r="F235" s="3" t="s">
        <v>49</v>
      </c>
      <c r="G235" s="4" t="s">
        <v>305</v>
      </c>
      <c r="H235" s="4" t="s">
        <v>759</v>
      </c>
      <c r="I235" s="5">
        <v>33000</v>
      </c>
      <c r="J235" s="3" t="s">
        <v>265</v>
      </c>
      <c r="K235" s="3" t="s">
        <v>223</v>
      </c>
      <c r="L235" s="3" t="s">
        <v>196</v>
      </c>
      <c r="M235" s="4" t="s">
        <v>759</v>
      </c>
      <c r="N235" s="3" t="s">
        <v>25</v>
      </c>
      <c r="Q235" s="3" t="s">
        <v>139</v>
      </c>
      <c r="R235" s="3" t="s">
        <v>119</v>
      </c>
      <c r="S235" s="4" t="s">
        <v>217</v>
      </c>
      <c r="T235" s="4" t="s">
        <v>760</v>
      </c>
      <c r="U235" s="4" t="s">
        <v>139</v>
      </c>
      <c r="V235" s="4" t="s">
        <v>119</v>
      </c>
      <c r="W235" s="4" t="s">
        <v>217</v>
      </c>
      <c r="X235" s="4" t="s">
        <v>760</v>
      </c>
      <c r="Y235" s="4" t="s">
        <v>761</v>
      </c>
      <c r="Z235" s="4" t="s">
        <v>761</v>
      </c>
      <c r="AD235" s="3" t="s">
        <v>192</v>
      </c>
      <c r="AE235" s="3">
        <v>1000</v>
      </c>
      <c r="AI235" s="4" t="s">
        <v>762</v>
      </c>
      <c r="AJ235" s="4" t="s">
        <v>762</v>
      </c>
      <c r="AL235" s="4">
        <v>141704</v>
      </c>
      <c r="AM235" s="5">
        <v>33000</v>
      </c>
      <c r="AN235" s="4" t="s">
        <v>124</v>
      </c>
      <c r="AO235" s="4">
        <v>99</v>
      </c>
      <c r="AP235" s="4">
        <v>80110000</v>
      </c>
    </row>
    <row r="236" spans="1:42" x14ac:dyDescent="0.25">
      <c r="A236" s="3">
        <v>4604633</v>
      </c>
      <c r="B236" s="3" t="s">
        <v>559</v>
      </c>
      <c r="C236" s="3" t="s">
        <v>560</v>
      </c>
      <c r="D236" s="3">
        <v>10004429</v>
      </c>
      <c r="E236" s="4">
        <v>4533984</v>
      </c>
      <c r="F236" s="3" t="s">
        <v>49</v>
      </c>
      <c r="G236" s="4" t="s">
        <v>763</v>
      </c>
      <c r="H236" s="4" t="s">
        <v>764</v>
      </c>
      <c r="I236" s="5">
        <v>10670</v>
      </c>
      <c r="J236" s="3" t="s">
        <v>765</v>
      </c>
      <c r="K236" s="3" t="s">
        <v>259</v>
      </c>
      <c r="L236" s="3" t="s">
        <v>196</v>
      </c>
      <c r="M236" s="4" t="s">
        <v>766</v>
      </c>
      <c r="N236" s="3" t="s">
        <v>25</v>
      </c>
      <c r="Y236" s="4" t="s">
        <v>767</v>
      </c>
      <c r="Z236" s="4" t="s">
        <v>767</v>
      </c>
      <c r="AD236" s="3" t="s">
        <v>768</v>
      </c>
      <c r="AE236" s="3">
        <v>1000</v>
      </c>
      <c r="AI236" s="4" t="s">
        <v>769</v>
      </c>
      <c r="AJ236" s="4" t="s">
        <v>769</v>
      </c>
      <c r="AL236" s="4">
        <v>30265</v>
      </c>
      <c r="AM236" s="5">
        <v>10670</v>
      </c>
      <c r="AN236" s="4" t="s">
        <v>124</v>
      </c>
      <c r="AO236" s="4">
        <v>99</v>
      </c>
      <c r="AP236" s="4">
        <v>80141607</v>
      </c>
    </row>
    <row r="237" spans="1:42" x14ac:dyDescent="0.25">
      <c r="A237" s="3">
        <v>4604651</v>
      </c>
      <c r="B237" s="3" t="s">
        <v>262</v>
      </c>
      <c r="C237" s="3" t="s">
        <v>560</v>
      </c>
      <c r="D237" s="3">
        <v>10004446</v>
      </c>
      <c r="E237" s="4">
        <v>4534002</v>
      </c>
      <c r="F237" s="3" t="s">
        <v>49</v>
      </c>
      <c r="G237" s="4" t="s">
        <v>770</v>
      </c>
      <c r="H237" s="4" t="s">
        <v>771</v>
      </c>
      <c r="I237" s="5">
        <v>130470</v>
      </c>
      <c r="J237" s="3" t="s">
        <v>772</v>
      </c>
      <c r="K237" s="3" t="s">
        <v>275</v>
      </c>
      <c r="L237" s="3" t="s">
        <v>196</v>
      </c>
      <c r="M237" s="4" t="s">
        <v>771</v>
      </c>
      <c r="N237" s="3" t="s">
        <v>25</v>
      </c>
      <c r="Y237" s="4" t="s">
        <v>773</v>
      </c>
      <c r="Z237" s="4" t="s">
        <v>773</v>
      </c>
      <c r="AD237" s="3" t="s">
        <v>774</v>
      </c>
      <c r="AE237" s="3">
        <v>1000</v>
      </c>
      <c r="AI237" s="4" t="s">
        <v>775</v>
      </c>
      <c r="AJ237" s="4" t="s">
        <v>775</v>
      </c>
      <c r="AL237" s="4">
        <v>141780</v>
      </c>
      <c r="AM237" s="5">
        <v>130470</v>
      </c>
      <c r="AN237" s="4" t="s">
        <v>124</v>
      </c>
      <c r="AO237" s="4">
        <v>99</v>
      </c>
      <c r="AP237" s="4">
        <v>90111601</v>
      </c>
    </row>
    <row r="238" spans="1:42" x14ac:dyDescent="0.25">
      <c r="A238" s="3">
        <v>4604668</v>
      </c>
      <c r="B238" s="3" t="s">
        <v>776</v>
      </c>
      <c r="C238" s="3" t="s">
        <v>560</v>
      </c>
      <c r="D238" s="3">
        <v>10004348</v>
      </c>
      <c r="E238" s="4">
        <v>4534019</v>
      </c>
      <c r="F238" s="3" t="s">
        <v>49</v>
      </c>
      <c r="G238" s="4" t="s">
        <v>336</v>
      </c>
      <c r="H238" s="4" t="s">
        <v>777</v>
      </c>
      <c r="I238" s="5">
        <v>60493.95</v>
      </c>
      <c r="J238" s="3" t="s">
        <v>577</v>
      </c>
      <c r="K238" s="3" t="s">
        <v>778</v>
      </c>
      <c r="L238" s="3" t="s">
        <v>196</v>
      </c>
      <c r="M238" s="4" t="s">
        <v>777</v>
      </c>
      <c r="N238" s="3" t="s">
        <v>25</v>
      </c>
      <c r="Y238" s="4" t="s">
        <v>779</v>
      </c>
      <c r="Z238" s="4" t="s">
        <v>779</v>
      </c>
      <c r="AD238" s="3" t="s">
        <v>183</v>
      </c>
      <c r="AE238" s="3">
        <v>1000</v>
      </c>
      <c r="AI238" s="4" t="s">
        <v>780</v>
      </c>
      <c r="AJ238" s="4" t="s">
        <v>780</v>
      </c>
      <c r="AL238" s="4">
        <v>141787</v>
      </c>
      <c r="AM238" s="5">
        <v>60493.95</v>
      </c>
      <c r="AN238" s="4" t="s">
        <v>124</v>
      </c>
      <c r="AO238" s="4">
        <v>99</v>
      </c>
      <c r="AP238" s="4">
        <v>82121506</v>
      </c>
    </row>
    <row r="239" spans="1:42" x14ac:dyDescent="0.25">
      <c r="A239" s="3">
        <v>4604688</v>
      </c>
      <c r="B239" s="3" t="s">
        <v>173</v>
      </c>
      <c r="C239" s="3" t="s">
        <v>560</v>
      </c>
      <c r="D239" s="3">
        <v>10004446</v>
      </c>
      <c r="E239" s="4">
        <v>4534039</v>
      </c>
      <c r="F239" s="3" t="s">
        <v>49</v>
      </c>
      <c r="G239" s="4" t="s">
        <v>781</v>
      </c>
      <c r="H239" s="4" t="s">
        <v>782</v>
      </c>
      <c r="I239" s="5">
        <v>17470</v>
      </c>
      <c r="J239" s="3" t="s">
        <v>173</v>
      </c>
      <c r="K239" s="3" t="s">
        <v>173</v>
      </c>
      <c r="L239" s="3" t="s">
        <v>196</v>
      </c>
      <c r="M239" s="4" t="s">
        <v>781</v>
      </c>
      <c r="N239" s="3" t="s">
        <v>25</v>
      </c>
      <c r="Y239" s="4" t="s">
        <v>747</v>
      </c>
      <c r="Z239" s="4" t="s">
        <v>747</v>
      </c>
      <c r="AD239" s="3" t="s">
        <v>301</v>
      </c>
      <c r="AE239" s="3">
        <v>1000</v>
      </c>
      <c r="AI239" s="4" t="s">
        <v>749</v>
      </c>
      <c r="AJ239" s="4" t="s">
        <v>749</v>
      </c>
      <c r="AL239" s="4">
        <v>141791</v>
      </c>
      <c r="AM239" s="5">
        <v>17470</v>
      </c>
      <c r="AN239" s="4" t="s">
        <v>124</v>
      </c>
      <c r="AO239" s="4">
        <v>99</v>
      </c>
      <c r="AP239" s="4">
        <v>90110000</v>
      </c>
    </row>
    <row r="240" spans="1:42" x14ac:dyDescent="0.25">
      <c r="A240" s="3">
        <v>4604690</v>
      </c>
      <c r="B240" s="3" t="s">
        <v>783</v>
      </c>
      <c r="C240" s="3" t="s">
        <v>560</v>
      </c>
      <c r="D240" s="3">
        <v>10004446</v>
      </c>
      <c r="E240" s="4">
        <v>4534041</v>
      </c>
      <c r="F240" s="3" t="s">
        <v>49</v>
      </c>
      <c r="G240" s="4" t="s">
        <v>784</v>
      </c>
      <c r="H240" s="4" t="s">
        <v>785</v>
      </c>
      <c r="I240" s="5">
        <v>18000</v>
      </c>
      <c r="J240" s="3" t="s">
        <v>783</v>
      </c>
      <c r="K240" s="3" t="s">
        <v>783</v>
      </c>
      <c r="L240" s="3" t="s">
        <v>196</v>
      </c>
      <c r="M240" s="4" t="s">
        <v>785</v>
      </c>
      <c r="N240" s="3" t="s">
        <v>25</v>
      </c>
      <c r="Y240" s="4" t="s">
        <v>747</v>
      </c>
      <c r="Z240" s="4" t="s">
        <v>747</v>
      </c>
      <c r="AD240" s="3" t="s">
        <v>786</v>
      </c>
      <c r="AE240" s="3">
        <v>1000</v>
      </c>
      <c r="AI240" s="4" t="s">
        <v>749</v>
      </c>
      <c r="AJ240" s="4" t="s">
        <v>749</v>
      </c>
      <c r="AL240" s="4">
        <v>141792</v>
      </c>
      <c r="AM240" s="5">
        <v>18000</v>
      </c>
      <c r="AN240" s="4" t="s">
        <v>124</v>
      </c>
      <c r="AO240" s="4">
        <v>99</v>
      </c>
      <c r="AP240" s="4">
        <v>90110000</v>
      </c>
    </row>
    <row r="241" spans="1:42" x14ac:dyDescent="0.25">
      <c r="A241" s="3">
        <v>4604691</v>
      </c>
      <c r="B241" s="3" t="s">
        <v>262</v>
      </c>
      <c r="C241" s="3" t="s">
        <v>560</v>
      </c>
      <c r="D241" s="3">
        <v>10004446</v>
      </c>
      <c r="E241" s="4">
        <v>4534042</v>
      </c>
      <c r="F241" s="3" t="s">
        <v>49</v>
      </c>
      <c r="G241" s="4" t="s">
        <v>770</v>
      </c>
      <c r="H241" s="4" t="s">
        <v>771</v>
      </c>
      <c r="I241" s="5">
        <v>130470</v>
      </c>
      <c r="J241" s="3" t="s">
        <v>772</v>
      </c>
      <c r="K241" s="3" t="s">
        <v>275</v>
      </c>
      <c r="L241" s="3" t="s">
        <v>196</v>
      </c>
      <c r="M241" s="4" t="s">
        <v>771</v>
      </c>
      <c r="N241" s="3" t="s">
        <v>25</v>
      </c>
      <c r="Y241" s="4" t="s">
        <v>747</v>
      </c>
      <c r="Z241" s="4" t="s">
        <v>747</v>
      </c>
      <c r="AD241" s="3" t="s">
        <v>786</v>
      </c>
      <c r="AE241" s="3">
        <v>1000</v>
      </c>
      <c r="AI241" s="4" t="s">
        <v>749</v>
      </c>
      <c r="AJ241" s="4" t="s">
        <v>749</v>
      </c>
      <c r="AL241" s="4">
        <v>141780</v>
      </c>
      <c r="AM241" s="5">
        <v>130470</v>
      </c>
      <c r="AN241" s="4" t="s">
        <v>124</v>
      </c>
      <c r="AO241" s="4">
        <v>99</v>
      </c>
      <c r="AP241" s="4">
        <v>90111601</v>
      </c>
    </row>
    <row r="242" spans="1:42" x14ac:dyDescent="0.25">
      <c r="A242" s="3">
        <v>4604697</v>
      </c>
      <c r="B242" s="3" t="s">
        <v>787</v>
      </c>
      <c r="C242" s="3" t="s">
        <v>560</v>
      </c>
      <c r="D242" s="3">
        <v>10004478</v>
      </c>
      <c r="E242" s="4">
        <v>4534048</v>
      </c>
      <c r="F242" s="3" t="s">
        <v>49</v>
      </c>
      <c r="G242" s="4" t="s">
        <v>546</v>
      </c>
      <c r="H242" s="4" t="s">
        <v>788</v>
      </c>
      <c r="I242" s="5">
        <v>106057</v>
      </c>
      <c r="J242" s="3" t="s">
        <v>787</v>
      </c>
      <c r="K242" s="3" t="s">
        <v>395</v>
      </c>
      <c r="L242" s="3" t="s">
        <v>119</v>
      </c>
      <c r="M242" s="4" t="s">
        <v>788</v>
      </c>
      <c r="N242" s="3" t="s">
        <v>56</v>
      </c>
      <c r="O242" s="3" t="s">
        <v>139</v>
      </c>
      <c r="P242" s="4" t="s">
        <v>282</v>
      </c>
      <c r="Q242" s="3" t="s">
        <v>139</v>
      </c>
      <c r="R242" s="3" t="s">
        <v>119</v>
      </c>
      <c r="S242" s="4" t="s">
        <v>217</v>
      </c>
      <c r="T242" s="4" t="s">
        <v>789</v>
      </c>
      <c r="U242" s="4" t="s">
        <v>139</v>
      </c>
      <c r="V242" s="4" t="s">
        <v>119</v>
      </c>
      <c r="W242" s="4" t="s">
        <v>217</v>
      </c>
      <c r="X242" s="4" t="s">
        <v>789</v>
      </c>
      <c r="Y242" s="4" t="s">
        <v>790</v>
      </c>
      <c r="Z242" s="4" t="s">
        <v>790</v>
      </c>
      <c r="AA242" s="4" t="s">
        <v>356</v>
      </c>
      <c r="AB242" s="3" t="s">
        <v>551</v>
      </c>
      <c r="AC242" s="3" t="s">
        <v>358</v>
      </c>
      <c r="AD242" s="3" t="s">
        <v>452</v>
      </c>
      <c r="AE242" s="3">
        <v>1000</v>
      </c>
      <c r="AI242" s="4" t="s">
        <v>791</v>
      </c>
      <c r="AJ242" s="4" t="s">
        <v>791</v>
      </c>
      <c r="AK242" s="3" t="s">
        <v>286</v>
      </c>
      <c r="AL242" s="4">
        <v>140499</v>
      </c>
      <c r="AM242" s="5">
        <v>106057</v>
      </c>
      <c r="AN242" s="4" t="s">
        <v>124</v>
      </c>
      <c r="AO242" s="4">
        <v>99</v>
      </c>
      <c r="AP242" s="4">
        <v>80100000</v>
      </c>
    </row>
    <row r="243" spans="1:42" x14ac:dyDescent="0.25">
      <c r="A243" s="3">
        <v>4604700</v>
      </c>
      <c r="B243" s="3" t="s">
        <v>792</v>
      </c>
      <c r="C243" s="3" t="s">
        <v>560</v>
      </c>
      <c r="D243" s="3">
        <v>10004446</v>
      </c>
      <c r="E243" s="4">
        <v>4534051</v>
      </c>
      <c r="F243" s="3" t="s">
        <v>49</v>
      </c>
      <c r="G243" s="4" t="s">
        <v>770</v>
      </c>
      <c r="H243" s="4" t="s">
        <v>771</v>
      </c>
      <c r="I243" s="5">
        <v>17980</v>
      </c>
      <c r="J243" s="3" t="s">
        <v>792</v>
      </c>
      <c r="K243" s="3" t="s">
        <v>275</v>
      </c>
      <c r="L243" s="3" t="s">
        <v>196</v>
      </c>
      <c r="M243" s="4" t="s">
        <v>771</v>
      </c>
      <c r="N243" s="3" t="s">
        <v>25</v>
      </c>
      <c r="Y243" s="4" t="s">
        <v>747</v>
      </c>
      <c r="Z243" s="4" t="s">
        <v>747</v>
      </c>
      <c r="AD243" s="3" t="s">
        <v>793</v>
      </c>
      <c r="AE243" s="3">
        <v>1000</v>
      </c>
      <c r="AI243" s="4" t="s">
        <v>749</v>
      </c>
      <c r="AJ243" s="4" t="s">
        <v>749</v>
      </c>
      <c r="AL243" s="4">
        <v>141780</v>
      </c>
      <c r="AM243" s="5">
        <v>17980</v>
      </c>
      <c r="AN243" s="4" t="s">
        <v>124</v>
      </c>
      <c r="AO243" s="4">
        <v>99</v>
      </c>
      <c r="AP243" s="4">
        <v>90111800</v>
      </c>
    </row>
    <row r="244" spans="1:42" x14ac:dyDescent="0.25">
      <c r="A244" s="3">
        <v>4604706</v>
      </c>
      <c r="B244" s="3" t="s">
        <v>792</v>
      </c>
      <c r="C244" s="3" t="s">
        <v>560</v>
      </c>
      <c r="D244" s="3">
        <v>10004446</v>
      </c>
      <c r="E244" s="4">
        <v>4534057</v>
      </c>
      <c r="F244" s="3" t="s">
        <v>49</v>
      </c>
      <c r="G244" s="4" t="s">
        <v>770</v>
      </c>
      <c r="I244" s="4">
        <v>320</v>
      </c>
      <c r="J244" s="3" t="s">
        <v>792</v>
      </c>
      <c r="K244" s="3" t="s">
        <v>275</v>
      </c>
      <c r="L244" s="3" t="s">
        <v>196</v>
      </c>
      <c r="M244" s="4" t="s">
        <v>771</v>
      </c>
      <c r="N244" s="3" t="s">
        <v>25</v>
      </c>
      <c r="Y244" s="4" t="s">
        <v>747</v>
      </c>
      <c r="Z244" s="4" t="s">
        <v>747</v>
      </c>
      <c r="AD244" s="3" t="s">
        <v>794</v>
      </c>
      <c r="AE244" s="3">
        <v>1000</v>
      </c>
      <c r="AI244" s="4" t="s">
        <v>749</v>
      </c>
      <c r="AJ244" s="4" t="s">
        <v>749</v>
      </c>
      <c r="AL244" s="4">
        <v>141780</v>
      </c>
      <c r="AM244" s="4">
        <v>320</v>
      </c>
      <c r="AN244" s="4" t="s">
        <v>124</v>
      </c>
    </row>
    <row r="245" spans="1:42" x14ac:dyDescent="0.25">
      <c r="A245" s="3">
        <v>4604710</v>
      </c>
      <c r="B245" s="3" t="s">
        <v>173</v>
      </c>
      <c r="C245" s="3" t="s">
        <v>560</v>
      </c>
      <c r="D245" s="3">
        <v>10004446</v>
      </c>
      <c r="E245" s="4">
        <v>4534061</v>
      </c>
      <c r="F245" s="3" t="s">
        <v>49</v>
      </c>
      <c r="G245" s="4" t="s">
        <v>781</v>
      </c>
      <c r="I245" s="5">
        <v>3118.65</v>
      </c>
      <c r="J245" s="3" t="s">
        <v>173</v>
      </c>
      <c r="K245" s="3" t="s">
        <v>173</v>
      </c>
      <c r="L245" s="3" t="s">
        <v>196</v>
      </c>
      <c r="M245" s="4" t="s">
        <v>782</v>
      </c>
      <c r="N245" s="3" t="s">
        <v>25</v>
      </c>
      <c r="Y245" s="4" t="s">
        <v>747</v>
      </c>
      <c r="Z245" s="4" t="s">
        <v>747</v>
      </c>
      <c r="AD245" s="3" t="s">
        <v>301</v>
      </c>
      <c r="AE245" s="3">
        <v>1000</v>
      </c>
      <c r="AI245" s="4" t="s">
        <v>749</v>
      </c>
      <c r="AJ245" s="4" t="s">
        <v>749</v>
      </c>
      <c r="AL245" s="4">
        <v>141791</v>
      </c>
      <c r="AM245" s="5">
        <v>3118.65</v>
      </c>
      <c r="AN245" s="4" t="s">
        <v>124</v>
      </c>
    </row>
    <row r="246" spans="1:42" x14ac:dyDescent="0.25">
      <c r="A246" s="3">
        <v>4604728</v>
      </c>
      <c r="B246" s="3" t="s">
        <v>173</v>
      </c>
      <c r="C246" s="3" t="s">
        <v>560</v>
      </c>
      <c r="D246" s="3">
        <v>10004446</v>
      </c>
      <c r="E246" s="4">
        <v>4534079</v>
      </c>
      <c r="F246" s="3" t="s">
        <v>49</v>
      </c>
      <c r="G246" s="4" t="s">
        <v>781</v>
      </c>
      <c r="I246" s="4">
        <v>600</v>
      </c>
      <c r="J246" s="3" t="s">
        <v>173</v>
      </c>
      <c r="K246" s="3" t="s">
        <v>173</v>
      </c>
      <c r="L246" s="3" t="s">
        <v>196</v>
      </c>
      <c r="M246" s="4" t="s">
        <v>782</v>
      </c>
      <c r="N246" s="3" t="s">
        <v>25</v>
      </c>
      <c r="Y246" s="4" t="s">
        <v>747</v>
      </c>
      <c r="Z246" s="4" t="s">
        <v>747</v>
      </c>
      <c r="AD246" s="3" t="s">
        <v>795</v>
      </c>
      <c r="AE246" s="3">
        <v>1000</v>
      </c>
      <c r="AI246" s="4" t="s">
        <v>749</v>
      </c>
      <c r="AJ246" s="4" t="s">
        <v>749</v>
      </c>
      <c r="AL246" s="4">
        <v>141791</v>
      </c>
      <c r="AM246" s="4">
        <v>600</v>
      </c>
      <c r="AN246" s="4" t="s">
        <v>124</v>
      </c>
    </row>
    <row r="247" spans="1:42" x14ac:dyDescent="0.25">
      <c r="A247" s="3">
        <v>4602371</v>
      </c>
      <c r="B247" s="3" t="s">
        <v>796</v>
      </c>
      <c r="C247" s="3" t="s">
        <v>797</v>
      </c>
      <c r="D247" s="3">
        <v>10002275</v>
      </c>
      <c r="E247" s="4">
        <v>4531722</v>
      </c>
      <c r="F247" s="3" t="s">
        <v>49</v>
      </c>
      <c r="G247" s="4" t="s">
        <v>366</v>
      </c>
      <c r="H247" s="4" t="s">
        <v>798</v>
      </c>
      <c r="I247" s="5">
        <v>1210000</v>
      </c>
      <c r="J247" s="3" t="s">
        <v>796</v>
      </c>
      <c r="K247" s="3" t="s">
        <v>575</v>
      </c>
      <c r="L247" s="3" t="s">
        <v>54</v>
      </c>
      <c r="M247" s="4" t="s">
        <v>798</v>
      </c>
      <c r="N247" s="3" t="s">
        <v>56</v>
      </c>
      <c r="Y247" s="4" t="s">
        <v>368</v>
      </c>
      <c r="Z247" s="4" t="s">
        <v>799</v>
      </c>
      <c r="AA247" s="4" t="s">
        <v>800</v>
      </c>
      <c r="AB247" s="3" t="s">
        <v>801</v>
      </c>
      <c r="AC247" s="3" t="s">
        <v>802</v>
      </c>
      <c r="AD247" s="3" t="s">
        <v>439</v>
      </c>
      <c r="AE247" s="3">
        <v>5000</v>
      </c>
      <c r="AI247" s="4" t="s">
        <v>370</v>
      </c>
      <c r="AJ247" s="4" t="s">
        <v>803</v>
      </c>
      <c r="AL247" s="4">
        <v>48623</v>
      </c>
      <c r="AM247" s="5">
        <v>1210000</v>
      </c>
      <c r="AN247" s="4" t="s">
        <v>31</v>
      </c>
      <c r="AO247" s="4">
        <v>99</v>
      </c>
      <c r="AP247" s="4">
        <v>82111800</v>
      </c>
    </row>
    <row r="248" spans="1:42" x14ac:dyDescent="0.25">
      <c r="A248" s="3">
        <v>4602635</v>
      </c>
      <c r="B248" s="3" t="s">
        <v>598</v>
      </c>
      <c r="C248" s="3" t="s">
        <v>797</v>
      </c>
      <c r="D248" s="3">
        <v>10002588</v>
      </c>
      <c r="E248" s="4">
        <v>4531986</v>
      </c>
      <c r="F248" s="3" t="s">
        <v>49</v>
      </c>
      <c r="G248" s="4" t="s">
        <v>599</v>
      </c>
      <c r="H248" s="4" t="s">
        <v>600</v>
      </c>
      <c r="I248" s="5">
        <v>34000</v>
      </c>
      <c r="J248" s="3" t="s">
        <v>809</v>
      </c>
      <c r="K248" s="3" t="s">
        <v>818</v>
      </c>
      <c r="L248" s="3" t="s">
        <v>54</v>
      </c>
      <c r="M248" s="4" t="s">
        <v>819</v>
      </c>
      <c r="N248" s="3" t="s">
        <v>56</v>
      </c>
      <c r="Y248" s="4" t="s">
        <v>604</v>
      </c>
      <c r="Z248" s="4" t="s">
        <v>605</v>
      </c>
      <c r="AA248" s="4" t="s">
        <v>606</v>
      </c>
      <c r="AB248" s="3" t="s">
        <v>606</v>
      </c>
      <c r="AC248" s="3" t="s">
        <v>607</v>
      </c>
      <c r="AD248" s="3" t="s">
        <v>598</v>
      </c>
      <c r="AE248" s="3">
        <v>1000</v>
      </c>
      <c r="AI248" s="4" t="s">
        <v>608</v>
      </c>
      <c r="AJ248" s="4" t="s">
        <v>609</v>
      </c>
      <c r="AL248" s="4">
        <v>44723</v>
      </c>
      <c r="AM248" s="5">
        <v>34000</v>
      </c>
      <c r="AN248" s="4" t="s">
        <v>124</v>
      </c>
      <c r="AO248" s="4">
        <v>99</v>
      </c>
      <c r="AP248" s="4">
        <v>78111809</v>
      </c>
    </row>
    <row r="249" spans="1:42" x14ac:dyDescent="0.25">
      <c r="A249" s="3">
        <v>4604080</v>
      </c>
      <c r="B249" s="3" t="s">
        <v>195</v>
      </c>
      <c r="C249" s="3" t="s">
        <v>797</v>
      </c>
      <c r="D249" s="3">
        <v>10003841</v>
      </c>
      <c r="E249" s="4">
        <v>4533431</v>
      </c>
      <c r="F249" s="3" t="s">
        <v>49</v>
      </c>
      <c r="G249" s="4" t="s">
        <v>995</v>
      </c>
      <c r="H249" s="4" t="s">
        <v>996</v>
      </c>
      <c r="I249" s="5">
        <v>24310</v>
      </c>
      <c r="J249" s="3" t="s">
        <v>650</v>
      </c>
      <c r="K249" s="3" t="s">
        <v>997</v>
      </c>
      <c r="L249" s="3" t="s">
        <v>196</v>
      </c>
      <c r="M249" s="4" t="s">
        <v>998</v>
      </c>
      <c r="N249" s="3" t="s">
        <v>25</v>
      </c>
      <c r="Y249" s="4" t="s">
        <v>298</v>
      </c>
      <c r="Z249" s="4" t="s">
        <v>298</v>
      </c>
      <c r="AD249" s="3" t="s">
        <v>122</v>
      </c>
      <c r="AE249" s="3">
        <v>1000</v>
      </c>
      <c r="AI249" s="4" t="s">
        <v>300</v>
      </c>
      <c r="AJ249" s="4" t="s">
        <v>300</v>
      </c>
      <c r="AL249" s="4">
        <v>140353</v>
      </c>
      <c r="AM249" s="5">
        <v>24310</v>
      </c>
      <c r="AN249" s="4" t="s">
        <v>124</v>
      </c>
      <c r="AO249" s="4">
        <v>99</v>
      </c>
      <c r="AP249" s="4">
        <v>81112200</v>
      </c>
    </row>
    <row r="250" spans="1:42" x14ac:dyDescent="0.25">
      <c r="A250" s="3">
        <v>4600020</v>
      </c>
      <c r="B250" s="3" t="s">
        <v>1041</v>
      </c>
      <c r="C250" s="3" t="s">
        <v>1042</v>
      </c>
      <c r="D250" s="3">
        <v>10000040</v>
      </c>
      <c r="E250" s="4">
        <v>4529370</v>
      </c>
      <c r="F250" s="3" t="s">
        <v>49</v>
      </c>
      <c r="G250" s="4" t="s">
        <v>1043</v>
      </c>
      <c r="H250" s="4" t="s">
        <v>1044</v>
      </c>
      <c r="I250" s="5">
        <v>554790.5</v>
      </c>
      <c r="J250" s="3" t="s">
        <v>1045</v>
      </c>
      <c r="K250" s="3" t="s">
        <v>728</v>
      </c>
      <c r="L250" s="3" t="s">
        <v>1046</v>
      </c>
      <c r="M250" s="4" t="s">
        <v>1044</v>
      </c>
      <c r="N250" s="3" t="s">
        <v>25</v>
      </c>
      <c r="Q250" s="3" t="s">
        <v>139</v>
      </c>
      <c r="R250" s="3" t="s">
        <v>215</v>
      </c>
      <c r="S250" s="4" t="s">
        <v>216</v>
      </c>
      <c r="U250" s="4" t="s">
        <v>139</v>
      </c>
      <c r="V250" s="4" t="s">
        <v>548</v>
      </c>
      <c r="W250" s="4" t="s">
        <v>549</v>
      </c>
      <c r="Y250" s="4" t="s">
        <v>1047</v>
      </c>
      <c r="Z250" s="4" t="s">
        <v>1048</v>
      </c>
      <c r="AA250" s="4" t="s">
        <v>1049</v>
      </c>
      <c r="AD250" s="3" t="s">
        <v>518</v>
      </c>
      <c r="AE250" s="3">
        <v>1000</v>
      </c>
      <c r="AF250" s="4">
        <v>10395</v>
      </c>
      <c r="AG250" s="4">
        <v>445395.5</v>
      </c>
      <c r="AH250" s="4">
        <v>4528869</v>
      </c>
      <c r="AI250" s="4" t="s">
        <v>1050</v>
      </c>
      <c r="AJ250" s="4" t="s">
        <v>1051</v>
      </c>
      <c r="AL250" s="4">
        <v>42272</v>
      </c>
      <c r="AM250" s="5">
        <v>554790.5</v>
      </c>
      <c r="AN250" s="4" t="s">
        <v>124</v>
      </c>
      <c r="AO250" s="4">
        <v>98</v>
      </c>
      <c r="AP250" s="4">
        <v>80110000</v>
      </c>
    </row>
    <row r="251" spans="1:42" x14ac:dyDescent="0.25">
      <c r="A251" s="3">
        <v>4600043</v>
      </c>
      <c r="B251" s="3" t="s">
        <v>1052</v>
      </c>
      <c r="C251" s="3" t="s">
        <v>1042</v>
      </c>
      <c r="D251" s="3">
        <v>10000047</v>
      </c>
      <c r="E251" s="4">
        <v>4529393</v>
      </c>
      <c r="F251" s="3" t="s">
        <v>49</v>
      </c>
      <c r="G251" s="4" t="s">
        <v>1053</v>
      </c>
      <c r="H251" s="4" t="s">
        <v>1054</v>
      </c>
      <c r="I251" s="5">
        <v>13400000</v>
      </c>
      <c r="J251" s="3" t="s">
        <v>1055</v>
      </c>
      <c r="K251" s="3" t="s">
        <v>208</v>
      </c>
      <c r="L251" s="3" t="s">
        <v>54</v>
      </c>
      <c r="M251" s="4" t="s">
        <v>1054</v>
      </c>
      <c r="N251" s="3" t="s">
        <v>25</v>
      </c>
      <c r="Y251" s="4" t="s">
        <v>1056</v>
      </c>
      <c r="Z251" s="4" t="s">
        <v>1048</v>
      </c>
      <c r="AA251" s="4" t="s">
        <v>1057</v>
      </c>
      <c r="AD251" s="3" t="s">
        <v>369</v>
      </c>
      <c r="AE251" s="3">
        <v>1000</v>
      </c>
      <c r="AF251" s="4">
        <v>365340.27</v>
      </c>
      <c r="AG251" s="4">
        <v>6798959.7300000004</v>
      </c>
      <c r="AH251" s="4">
        <v>4528912</v>
      </c>
      <c r="AI251" s="4" t="s">
        <v>1058</v>
      </c>
      <c r="AJ251" s="4" t="s">
        <v>1051</v>
      </c>
      <c r="AL251" s="4">
        <v>140248</v>
      </c>
      <c r="AM251" s="5">
        <v>13400000</v>
      </c>
      <c r="AN251" s="4" t="s">
        <v>124</v>
      </c>
      <c r="AO251" s="4">
        <v>98</v>
      </c>
      <c r="AP251" s="4">
        <v>43210000</v>
      </c>
    </row>
    <row r="252" spans="1:42" x14ac:dyDescent="0.25">
      <c r="A252" s="3">
        <v>4600247</v>
      </c>
      <c r="B252" s="3" t="s">
        <v>1059</v>
      </c>
      <c r="C252" s="3" t="s">
        <v>1042</v>
      </c>
      <c r="D252" s="3">
        <v>10000293</v>
      </c>
      <c r="E252" s="4">
        <v>4529597</v>
      </c>
      <c r="F252" s="3" t="s">
        <v>49</v>
      </c>
      <c r="G252" s="4" t="s">
        <v>1060</v>
      </c>
      <c r="H252" s="4" t="s">
        <v>1061</v>
      </c>
      <c r="I252" s="5">
        <v>158443.6</v>
      </c>
      <c r="J252" s="3" t="s">
        <v>1062</v>
      </c>
      <c r="K252" s="3" t="s">
        <v>832</v>
      </c>
      <c r="L252" s="3" t="s">
        <v>119</v>
      </c>
      <c r="M252" s="4" t="s">
        <v>1063</v>
      </c>
      <c r="N252" s="3" t="s">
        <v>56</v>
      </c>
      <c r="Y252" s="4" t="s">
        <v>540</v>
      </c>
      <c r="Z252" s="4" t="s">
        <v>1048</v>
      </c>
      <c r="AD252" s="3" t="s">
        <v>1059</v>
      </c>
      <c r="AE252" s="3">
        <v>1000</v>
      </c>
      <c r="AF252" s="4">
        <v>17913.599999999999</v>
      </c>
      <c r="AG252" s="4">
        <v>54158.400000000001</v>
      </c>
      <c r="AH252" s="4">
        <v>4528904</v>
      </c>
      <c r="AI252" s="4" t="s">
        <v>542</v>
      </c>
      <c r="AJ252" s="4" t="s">
        <v>1051</v>
      </c>
      <c r="AL252" s="4">
        <v>140146</v>
      </c>
      <c r="AM252" s="5">
        <v>158443.6</v>
      </c>
      <c r="AN252" s="4" t="s">
        <v>124</v>
      </c>
      <c r="AO252" s="4">
        <v>97</v>
      </c>
    </row>
    <row r="253" spans="1:42" x14ac:dyDescent="0.25">
      <c r="A253" s="3">
        <v>4601044</v>
      </c>
      <c r="B253" s="3" t="s">
        <v>77</v>
      </c>
      <c r="C253" s="3" t="s">
        <v>1042</v>
      </c>
      <c r="D253" s="3">
        <v>10000686</v>
      </c>
      <c r="E253" s="4">
        <v>4530394</v>
      </c>
      <c r="F253" s="3" t="s">
        <v>49</v>
      </c>
      <c r="G253" s="4" t="s">
        <v>1064</v>
      </c>
      <c r="H253" s="4" t="s">
        <v>1065</v>
      </c>
      <c r="I253" s="5">
        <v>773300</v>
      </c>
      <c r="J253" s="3" t="s">
        <v>1066</v>
      </c>
      <c r="K253" s="3" t="s">
        <v>1067</v>
      </c>
      <c r="L253" s="3" t="s">
        <v>54</v>
      </c>
      <c r="M253" s="4" t="s">
        <v>1065</v>
      </c>
      <c r="N253" s="3" t="s">
        <v>25</v>
      </c>
      <c r="Y253" s="4" t="s">
        <v>1068</v>
      </c>
      <c r="Z253" s="4" t="s">
        <v>1069</v>
      </c>
      <c r="AA253" s="4" t="s">
        <v>1070</v>
      </c>
      <c r="AD253" s="3" t="s">
        <v>77</v>
      </c>
      <c r="AE253" s="3">
        <v>1000</v>
      </c>
      <c r="AI253" s="4" t="s">
        <v>1071</v>
      </c>
      <c r="AJ253" s="4" t="s">
        <v>1072</v>
      </c>
      <c r="AL253" s="4">
        <v>49247</v>
      </c>
      <c r="AM253" s="5">
        <v>773300</v>
      </c>
      <c r="AN253" s="4" t="s">
        <v>124</v>
      </c>
      <c r="AO253" s="4">
        <v>99</v>
      </c>
      <c r="AP253" s="4">
        <v>92120000</v>
      </c>
    </row>
    <row r="254" spans="1:42" x14ac:dyDescent="0.25">
      <c r="A254" s="3">
        <v>4601430</v>
      </c>
      <c r="B254" s="3" t="s">
        <v>1052</v>
      </c>
      <c r="C254" s="3" t="s">
        <v>1042</v>
      </c>
      <c r="D254" s="3">
        <v>10001460</v>
      </c>
      <c r="E254" s="4">
        <v>4530780</v>
      </c>
      <c r="F254" s="3" t="s">
        <v>49</v>
      </c>
      <c r="G254" s="4" t="s">
        <v>1073</v>
      </c>
      <c r="H254" s="4" t="s">
        <v>1074</v>
      </c>
      <c r="I254" s="5">
        <v>1261000</v>
      </c>
      <c r="J254" s="3" t="s">
        <v>1075</v>
      </c>
      <c r="K254" s="3" t="s">
        <v>77</v>
      </c>
      <c r="L254" s="3" t="s">
        <v>119</v>
      </c>
      <c r="M254" s="4" t="s">
        <v>1074</v>
      </c>
      <c r="N254" s="3" t="s">
        <v>25</v>
      </c>
      <c r="Y254" s="4" t="s">
        <v>604</v>
      </c>
      <c r="Z254" s="4" t="s">
        <v>605</v>
      </c>
      <c r="AA254" s="4" t="s">
        <v>1076</v>
      </c>
      <c r="AD254" s="3" t="s">
        <v>1052</v>
      </c>
      <c r="AE254" s="3">
        <v>1000</v>
      </c>
      <c r="AI254" s="4" t="s">
        <v>608</v>
      </c>
      <c r="AJ254" s="4" t="s">
        <v>609</v>
      </c>
      <c r="AL254" s="4">
        <v>40523</v>
      </c>
      <c r="AM254" s="5">
        <v>1261000</v>
      </c>
      <c r="AN254" s="4" t="s">
        <v>124</v>
      </c>
      <c r="AO254" s="4">
        <v>96</v>
      </c>
      <c r="AP254" s="4">
        <v>76110000</v>
      </c>
    </row>
    <row r="255" spans="1:42" x14ac:dyDescent="0.25">
      <c r="A255" s="3">
        <v>4601453</v>
      </c>
      <c r="B255" s="3" t="s">
        <v>422</v>
      </c>
      <c r="C255" s="3" t="s">
        <v>1042</v>
      </c>
      <c r="D255" s="3">
        <v>10001466</v>
      </c>
      <c r="E255" s="4">
        <v>4530804</v>
      </c>
      <c r="F255" s="3" t="s">
        <v>49</v>
      </c>
      <c r="G255" s="4" t="s">
        <v>1077</v>
      </c>
      <c r="H255" s="4" t="s">
        <v>1078</v>
      </c>
      <c r="I255" s="5">
        <v>1168228.6000000001</v>
      </c>
      <c r="J255" s="3" t="s">
        <v>574</v>
      </c>
      <c r="K255" s="3" t="s">
        <v>575</v>
      </c>
      <c r="L255" s="3" t="s">
        <v>119</v>
      </c>
      <c r="M255" s="4" t="s">
        <v>1078</v>
      </c>
      <c r="N255" s="3" t="s">
        <v>56</v>
      </c>
      <c r="Y255" s="4" t="s">
        <v>1079</v>
      </c>
      <c r="Z255" s="4" t="s">
        <v>605</v>
      </c>
      <c r="AA255" s="4" t="s">
        <v>1080</v>
      </c>
      <c r="AB255" s="3" t="s">
        <v>1081</v>
      </c>
      <c r="AC255" s="3" t="s">
        <v>1082</v>
      </c>
      <c r="AD255" s="3" t="s">
        <v>365</v>
      </c>
      <c r="AE255" s="3">
        <v>1000</v>
      </c>
      <c r="AI255" s="4" t="s">
        <v>1083</v>
      </c>
      <c r="AJ255" s="4" t="s">
        <v>609</v>
      </c>
      <c r="AL255" s="4">
        <v>140517</v>
      </c>
      <c r="AM255" s="5">
        <v>1168228.6000000001</v>
      </c>
      <c r="AN255" s="4" t="s">
        <v>124</v>
      </c>
      <c r="AO255" s="4">
        <v>97</v>
      </c>
      <c r="AP255" s="4">
        <v>83100000</v>
      </c>
    </row>
    <row r="256" spans="1:42" x14ac:dyDescent="0.25">
      <c r="A256" s="3">
        <v>4602570</v>
      </c>
      <c r="B256" s="3" t="s">
        <v>1084</v>
      </c>
      <c r="C256" s="3" t="s">
        <v>1042</v>
      </c>
      <c r="D256" s="3">
        <v>10002087</v>
      </c>
      <c r="E256" s="4">
        <v>4531921</v>
      </c>
      <c r="F256" s="3" t="s">
        <v>49</v>
      </c>
      <c r="G256" s="4" t="s">
        <v>1085</v>
      </c>
      <c r="H256" s="4" t="s">
        <v>1086</v>
      </c>
      <c r="I256" s="5">
        <v>922238.35</v>
      </c>
      <c r="J256" s="3" t="s">
        <v>1087</v>
      </c>
      <c r="K256" s="3" t="s">
        <v>1088</v>
      </c>
      <c r="L256" s="3" t="s">
        <v>119</v>
      </c>
      <c r="M256" s="4" t="s">
        <v>1089</v>
      </c>
      <c r="N256" s="3" t="s">
        <v>56</v>
      </c>
      <c r="Y256" s="4" t="s">
        <v>1056</v>
      </c>
      <c r="Z256" s="4" t="s">
        <v>1090</v>
      </c>
      <c r="AD256" s="3" t="s">
        <v>183</v>
      </c>
      <c r="AE256" s="3">
        <v>1000</v>
      </c>
      <c r="AI256" s="4" t="s">
        <v>1058</v>
      </c>
      <c r="AJ256" s="4" t="s">
        <v>1091</v>
      </c>
      <c r="AL256" s="4">
        <v>30502</v>
      </c>
      <c r="AM256" s="5">
        <v>922238.35</v>
      </c>
      <c r="AN256" s="4" t="s">
        <v>124</v>
      </c>
      <c r="AO256" s="4">
        <v>99</v>
      </c>
    </row>
    <row r="257" spans="1:42" x14ac:dyDescent="0.25">
      <c r="A257" s="3">
        <v>4602726</v>
      </c>
      <c r="B257" s="3" t="s">
        <v>211</v>
      </c>
      <c r="C257" s="3" t="s">
        <v>1042</v>
      </c>
      <c r="D257" s="3">
        <v>10002587</v>
      </c>
      <c r="E257" s="4">
        <v>4532077</v>
      </c>
      <c r="F257" s="3" t="s">
        <v>49</v>
      </c>
      <c r="G257" s="4" t="s">
        <v>1092</v>
      </c>
      <c r="H257" s="4" t="s">
        <v>1093</v>
      </c>
      <c r="I257" s="5">
        <v>637290</v>
      </c>
      <c r="J257" s="3" t="s">
        <v>68</v>
      </c>
      <c r="K257" s="3" t="s">
        <v>77</v>
      </c>
      <c r="L257" s="3" t="s">
        <v>54</v>
      </c>
      <c r="M257" s="4" t="s">
        <v>1094</v>
      </c>
      <c r="N257" s="3" t="s">
        <v>56</v>
      </c>
      <c r="Y257" s="4" t="s">
        <v>1056</v>
      </c>
      <c r="Z257" s="4" t="s">
        <v>1090</v>
      </c>
      <c r="AA257" s="4" t="s">
        <v>1095</v>
      </c>
      <c r="AB257" s="3" t="s">
        <v>1096</v>
      </c>
      <c r="AC257" s="3" t="s">
        <v>1097</v>
      </c>
      <c r="AD257" s="3" t="s">
        <v>211</v>
      </c>
      <c r="AE257" s="3">
        <v>1000</v>
      </c>
      <c r="AI257" s="4" t="s">
        <v>1058</v>
      </c>
      <c r="AJ257" s="4" t="s">
        <v>1091</v>
      </c>
      <c r="AL257" s="4">
        <v>45870</v>
      </c>
      <c r="AM257" s="5">
        <v>637290</v>
      </c>
      <c r="AN257" s="4" t="s">
        <v>124</v>
      </c>
      <c r="AO257" s="4">
        <v>99</v>
      </c>
      <c r="AP257" s="4">
        <v>44100000</v>
      </c>
    </row>
    <row r="258" spans="1:42" x14ac:dyDescent="0.25">
      <c r="A258" s="3">
        <v>4603096</v>
      </c>
      <c r="B258" s="3" t="s">
        <v>1098</v>
      </c>
      <c r="C258" s="3" t="s">
        <v>1042</v>
      </c>
      <c r="D258" s="3">
        <v>10002915</v>
      </c>
      <c r="E258" s="4">
        <v>4532447</v>
      </c>
      <c r="F258" s="3" t="s">
        <v>49</v>
      </c>
      <c r="G258" s="4" t="s">
        <v>1099</v>
      </c>
      <c r="H258" s="4" t="s">
        <v>1100</v>
      </c>
      <c r="I258" s="5">
        <v>1417890.72</v>
      </c>
      <c r="J258" s="3" t="s">
        <v>1101</v>
      </c>
      <c r="K258" s="3" t="s">
        <v>1102</v>
      </c>
      <c r="L258" s="3" t="s">
        <v>54</v>
      </c>
      <c r="M258" s="4" t="s">
        <v>1103</v>
      </c>
      <c r="N258" s="3" t="s">
        <v>56</v>
      </c>
      <c r="Y258" s="4" t="s">
        <v>1056</v>
      </c>
      <c r="Z258" s="4" t="s">
        <v>1090</v>
      </c>
      <c r="AA258" s="4" t="s">
        <v>1104</v>
      </c>
      <c r="AB258" s="3" t="s">
        <v>1104</v>
      </c>
      <c r="AC258" s="3" t="s">
        <v>1105</v>
      </c>
      <c r="AD258" s="3" t="s">
        <v>1098</v>
      </c>
      <c r="AE258" s="3">
        <v>1000</v>
      </c>
      <c r="AI258" s="4" t="s">
        <v>1058</v>
      </c>
      <c r="AJ258" s="4" t="s">
        <v>1091</v>
      </c>
      <c r="AL258" s="4">
        <v>140163</v>
      </c>
      <c r="AM258" s="5">
        <v>1417890.72</v>
      </c>
      <c r="AN258" s="4" t="s">
        <v>124</v>
      </c>
      <c r="AO258" s="4">
        <v>99</v>
      </c>
      <c r="AP258" s="4">
        <v>43222500</v>
      </c>
    </row>
    <row r="259" spans="1:42" x14ac:dyDescent="0.25">
      <c r="A259" s="3">
        <v>4603104</v>
      </c>
      <c r="B259" s="3" t="s">
        <v>1106</v>
      </c>
      <c r="C259" s="3" t="s">
        <v>1042</v>
      </c>
      <c r="D259" s="3">
        <v>10002943</v>
      </c>
      <c r="E259" s="4">
        <v>4532455</v>
      </c>
      <c r="F259" s="3" t="s">
        <v>49</v>
      </c>
      <c r="G259" s="4" t="s">
        <v>599</v>
      </c>
      <c r="H259" s="4" t="s">
        <v>600</v>
      </c>
      <c r="I259" s="5">
        <v>3733.83</v>
      </c>
      <c r="J259" s="3" t="s">
        <v>1107</v>
      </c>
      <c r="K259" s="3" t="s">
        <v>932</v>
      </c>
      <c r="L259" s="3" t="s">
        <v>54</v>
      </c>
      <c r="M259" s="4" t="s">
        <v>1108</v>
      </c>
      <c r="N259" s="3" t="s">
        <v>56</v>
      </c>
      <c r="Y259" s="4" t="s">
        <v>604</v>
      </c>
      <c r="Z259" s="4" t="s">
        <v>605</v>
      </c>
      <c r="AA259" s="4" t="s">
        <v>606</v>
      </c>
      <c r="AB259" s="3" t="s">
        <v>606</v>
      </c>
      <c r="AC259" s="3" t="s">
        <v>607</v>
      </c>
      <c r="AD259" s="3" t="s">
        <v>1109</v>
      </c>
      <c r="AE259" s="3">
        <v>1000</v>
      </c>
      <c r="AI259" s="4" t="s">
        <v>608</v>
      </c>
      <c r="AJ259" s="4" t="s">
        <v>609</v>
      </c>
      <c r="AL259" s="4">
        <v>44723</v>
      </c>
      <c r="AM259" s="5">
        <v>3733.83</v>
      </c>
      <c r="AN259" s="4" t="s">
        <v>124</v>
      </c>
      <c r="AO259" s="4">
        <v>99</v>
      </c>
      <c r="AP259" s="4">
        <v>78111809</v>
      </c>
    </row>
    <row r="260" spans="1:42" x14ac:dyDescent="0.25">
      <c r="A260" s="3">
        <v>4603170</v>
      </c>
      <c r="B260" s="3" t="s">
        <v>1110</v>
      </c>
      <c r="C260" s="3" t="s">
        <v>1042</v>
      </c>
      <c r="D260" s="3">
        <v>10003021</v>
      </c>
      <c r="E260" s="4">
        <v>4532521</v>
      </c>
      <c r="F260" s="3" t="s">
        <v>49</v>
      </c>
      <c r="G260" s="4" t="s">
        <v>1111</v>
      </c>
      <c r="H260" s="4" t="s">
        <v>1112</v>
      </c>
      <c r="I260" s="5">
        <v>27375</v>
      </c>
      <c r="J260" s="3" t="s">
        <v>1113</v>
      </c>
      <c r="K260" s="3" t="s">
        <v>1114</v>
      </c>
      <c r="L260" s="3" t="s">
        <v>1115</v>
      </c>
      <c r="M260" s="4" t="s">
        <v>1116</v>
      </c>
      <c r="N260" s="3" t="s">
        <v>25</v>
      </c>
      <c r="Y260" s="4" t="s">
        <v>1056</v>
      </c>
      <c r="Z260" s="4" t="s">
        <v>1090</v>
      </c>
      <c r="AD260" s="3" t="s">
        <v>1117</v>
      </c>
      <c r="AE260" s="3">
        <v>1000</v>
      </c>
      <c r="AI260" s="4" t="s">
        <v>1058</v>
      </c>
      <c r="AJ260" s="4" t="s">
        <v>1091</v>
      </c>
      <c r="AL260" s="4">
        <v>30004</v>
      </c>
      <c r="AM260" s="5">
        <v>27375</v>
      </c>
      <c r="AN260" s="4" t="s">
        <v>124</v>
      </c>
      <c r="AO260" s="4">
        <v>99</v>
      </c>
      <c r="AP260" s="4">
        <v>83120000</v>
      </c>
    </row>
    <row r="261" spans="1:42" x14ac:dyDescent="0.25">
      <c r="A261" s="3">
        <v>4603195</v>
      </c>
      <c r="B261" s="3" t="s">
        <v>287</v>
      </c>
      <c r="C261" s="3" t="s">
        <v>1042</v>
      </c>
      <c r="D261" s="3">
        <v>10003047</v>
      </c>
      <c r="E261" s="4">
        <v>4532546</v>
      </c>
      <c r="F261" s="3" t="s">
        <v>49</v>
      </c>
      <c r="G261" s="4" t="s">
        <v>1118</v>
      </c>
      <c r="H261" s="4" t="s">
        <v>1119</v>
      </c>
      <c r="I261" s="5">
        <v>38940</v>
      </c>
      <c r="J261" s="3" t="s">
        <v>1120</v>
      </c>
      <c r="K261" s="3" t="s">
        <v>363</v>
      </c>
      <c r="L261" s="3" t="s">
        <v>196</v>
      </c>
      <c r="M261" s="4" t="s">
        <v>1119</v>
      </c>
      <c r="N261" s="3" t="s">
        <v>25</v>
      </c>
      <c r="Y261" s="4" t="s">
        <v>540</v>
      </c>
      <c r="Z261" s="4" t="s">
        <v>1090</v>
      </c>
      <c r="AD261" s="3" t="s">
        <v>287</v>
      </c>
      <c r="AE261" s="3">
        <v>1000</v>
      </c>
      <c r="AI261" s="4" t="s">
        <v>542</v>
      </c>
      <c r="AJ261" s="4" t="s">
        <v>1091</v>
      </c>
      <c r="AL261" s="4">
        <v>140597</v>
      </c>
      <c r="AM261" s="5">
        <v>38940</v>
      </c>
      <c r="AN261" s="4" t="s">
        <v>124</v>
      </c>
      <c r="AO261" s="4">
        <v>98</v>
      </c>
      <c r="AP261" s="4">
        <v>46171619</v>
      </c>
    </row>
    <row r="262" spans="1:42" x14ac:dyDescent="0.25">
      <c r="A262" s="3">
        <v>4603323</v>
      </c>
      <c r="B262" s="3" t="s">
        <v>1121</v>
      </c>
      <c r="C262" s="3" t="s">
        <v>1042</v>
      </c>
      <c r="D262" s="3">
        <v>10003119</v>
      </c>
      <c r="E262" s="4">
        <v>4532674</v>
      </c>
      <c r="F262" s="3" t="s">
        <v>49</v>
      </c>
      <c r="G262" s="4" t="s">
        <v>1122</v>
      </c>
      <c r="H262" s="4" t="s">
        <v>1123</v>
      </c>
      <c r="I262" s="5">
        <v>1350000</v>
      </c>
      <c r="J262" s="3" t="s">
        <v>1124</v>
      </c>
      <c r="K262" s="3" t="s">
        <v>1125</v>
      </c>
      <c r="L262" s="3" t="s">
        <v>119</v>
      </c>
      <c r="M262" s="4" t="s">
        <v>1126</v>
      </c>
      <c r="N262" s="3" t="s">
        <v>56</v>
      </c>
      <c r="Y262" s="4" t="s">
        <v>1056</v>
      </c>
      <c r="Z262" s="4" t="s">
        <v>1090</v>
      </c>
      <c r="AA262" s="4" t="s">
        <v>1127</v>
      </c>
      <c r="AB262" s="3" t="s">
        <v>1128</v>
      </c>
      <c r="AC262" s="3" t="s">
        <v>1129</v>
      </c>
      <c r="AD262" s="3" t="s">
        <v>1121</v>
      </c>
      <c r="AE262" s="3">
        <v>1000</v>
      </c>
      <c r="AI262" s="4" t="s">
        <v>1058</v>
      </c>
      <c r="AJ262" s="4" t="s">
        <v>1091</v>
      </c>
      <c r="AL262" s="4">
        <v>140258</v>
      </c>
      <c r="AM262" s="5">
        <v>1350000</v>
      </c>
      <c r="AN262" s="4" t="s">
        <v>124</v>
      </c>
      <c r="AO262" s="4">
        <v>99</v>
      </c>
      <c r="AP262" s="4">
        <v>80131500</v>
      </c>
    </row>
    <row r="263" spans="1:42" x14ac:dyDescent="0.25">
      <c r="A263" s="3">
        <v>4603347</v>
      </c>
      <c r="B263" s="3" t="s">
        <v>1130</v>
      </c>
      <c r="C263" s="3" t="s">
        <v>1042</v>
      </c>
      <c r="D263" s="3">
        <v>10003194</v>
      </c>
      <c r="E263" s="4">
        <v>4532698</v>
      </c>
      <c r="F263" s="3" t="s">
        <v>49</v>
      </c>
      <c r="G263" s="4" t="s">
        <v>1131</v>
      </c>
      <c r="H263" s="4" t="s">
        <v>1132</v>
      </c>
      <c r="I263" s="5">
        <v>43000</v>
      </c>
      <c r="J263" s="3" t="s">
        <v>1133</v>
      </c>
      <c r="K263" s="3" t="s">
        <v>1134</v>
      </c>
      <c r="L263" s="3" t="s">
        <v>119</v>
      </c>
      <c r="M263" s="4" t="s">
        <v>1132</v>
      </c>
      <c r="N263" s="3" t="s">
        <v>25</v>
      </c>
      <c r="Y263" s="4" t="s">
        <v>540</v>
      </c>
      <c r="Z263" s="4" t="s">
        <v>1090</v>
      </c>
      <c r="AA263" s="4" t="s">
        <v>1135</v>
      </c>
      <c r="AD263" s="3" t="s">
        <v>1130</v>
      </c>
      <c r="AE263" s="3">
        <v>1000</v>
      </c>
      <c r="AI263" s="4" t="s">
        <v>542</v>
      </c>
      <c r="AJ263" s="4" t="s">
        <v>1091</v>
      </c>
      <c r="AL263" s="4">
        <v>49690</v>
      </c>
      <c r="AM263" s="5">
        <v>43000</v>
      </c>
      <c r="AN263" s="4" t="s">
        <v>124</v>
      </c>
      <c r="AO263" s="4">
        <v>99</v>
      </c>
      <c r="AP263" s="4">
        <v>76110000</v>
      </c>
    </row>
    <row r="264" spans="1:42" x14ac:dyDescent="0.25">
      <c r="A264" s="3">
        <v>4603598</v>
      </c>
      <c r="B264" s="3" t="s">
        <v>1136</v>
      </c>
      <c r="C264" s="3" t="s">
        <v>1042</v>
      </c>
      <c r="D264" s="3">
        <v>10003413</v>
      </c>
      <c r="E264" s="4">
        <v>4532949</v>
      </c>
      <c r="F264" s="3" t="s">
        <v>49</v>
      </c>
      <c r="G264" s="4" t="s">
        <v>1137</v>
      </c>
      <c r="H264" s="4" t="s">
        <v>1138</v>
      </c>
      <c r="I264" s="5">
        <v>5431.77</v>
      </c>
      <c r="J264" s="3" t="s">
        <v>1139</v>
      </c>
      <c r="K264" s="3" t="s">
        <v>513</v>
      </c>
      <c r="L264" s="3" t="s">
        <v>54</v>
      </c>
      <c r="M264" s="4" t="s">
        <v>1140</v>
      </c>
      <c r="N264" s="3" t="s">
        <v>56</v>
      </c>
      <c r="Y264" s="4" t="s">
        <v>1141</v>
      </c>
      <c r="Z264" s="4" t="s">
        <v>1090</v>
      </c>
      <c r="AA264" s="4" t="s">
        <v>1142</v>
      </c>
      <c r="AB264" s="3" t="s">
        <v>1142</v>
      </c>
      <c r="AC264" s="3" t="s">
        <v>1143</v>
      </c>
      <c r="AD264" s="3" t="s">
        <v>1136</v>
      </c>
      <c r="AE264" s="3">
        <v>1000</v>
      </c>
      <c r="AI264" s="4" t="s">
        <v>1144</v>
      </c>
      <c r="AJ264" s="4" t="s">
        <v>1091</v>
      </c>
      <c r="AL264" s="4">
        <v>141215</v>
      </c>
      <c r="AM264" s="5">
        <v>5431.77</v>
      </c>
      <c r="AN264" s="4" t="s">
        <v>124</v>
      </c>
      <c r="AO264" s="4">
        <v>99</v>
      </c>
      <c r="AP264" s="4">
        <v>78111809</v>
      </c>
    </row>
    <row r="265" spans="1:42" x14ac:dyDescent="0.25">
      <c r="A265" s="3">
        <v>4603599</v>
      </c>
      <c r="B265" s="3" t="s">
        <v>77</v>
      </c>
      <c r="C265" s="3" t="s">
        <v>1042</v>
      </c>
      <c r="D265" s="3">
        <v>10003442</v>
      </c>
      <c r="E265" s="4">
        <v>4532950</v>
      </c>
      <c r="F265" s="3" t="s">
        <v>49</v>
      </c>
      <c r="G265" s="4" t="s">
        <v>1137</v>
      </c>
      <c r="H265" s="4" t="s">
        <v>1138</v>
      </c>
      <c r="I265" s="5">
        <v>35000</v>
      </c>
      <c r="J265" s="3" t="s">
        <v>1145</v>
      </c>
      <c r="K265" s="3" t="s">
        <v>237</v>
      </c>
      <c r="L265" s="3" t="s">
        <v>54</v>
      </c>
      <c r="M265" s="4" t="s">
        <v>1146</v>
      </c>
      <c r="N265" s="3" t="s">
        <v>56</v>
      </c>
      <c r="Y265" s="4" t="s">
        <v>1141</v>
      </c>
      <c r="Z265" s="4" t="s">
        <v>1090</v>
      </c>
      <c r="AA265" s="4" t="s">
        <v>1142</v>
      </c>
      <c r="AB265" s="3" t="s">
        <v>1142</v>
      </c>
      <c r="AC265" s="3" t="s">
        <v>1143</v>
      </c>
      <c r="AD265" s="3" t="s">
        <v>77</v>
      </c>
      <c r="AE265" s="3">
        <v>1000</v>
      </c>
      <c r="AI265" s="4" t="s">
        <v>1144</v>
      </c>
      <c r="AJ265" s="4" t="s">
        <v>1091</v>
      </c>
      <c r="AL265" s="4">
        <v>141215</v>
      </c>
      <c r="AM265" s="5">
        <v>35000</v>
      </c>
      <c r="AN265" s="4" t="s">
        <v>124</v>
      </c>
      <c r="AO265" s="4">
        <v>99</v>
      </c>
      <c r="AP265" s="4">
        <v>78111809</v>
      </c>
    </row>
    <row r="266" spans="1:42" x14ac:dyDescent="0.25">
      <c r="A266" s="3">
        <v>4603600</v>
      </c>
      <c r="B266" s="3" t="s">
        <v>77</v>
      </c>
      <c r="C266" s="3" t="s">
        <v>1042</v>
      </c>
      <c r="D266" s="3">
        <v>10003443</v>
      </c>
      <c r="E266" s="4">
        <v>4532951</v>
      </c>
      <c r="F266" s="3" t="s">
        <v>49</v>
      </c>
      <c r="G266" s="4" t="s">
        <v>1137</v>
      </c>
      <c r="H266" s="4" t="s">
        <v>1147</v>
      </c>
      <c r="I266" s="5">
        <v>30000</v>
      </c>
      <c r="J266" s="3" t="s">
        <v>1148</v>
      </c>
      <c r="K266" s="3" t="s">
        <v>365</v>
      </c>
      <c r="L266" s="3" t="s">
        <v>54</v>
      </c>
      <c r="M266" s="4" t="s">
        <v>1149</v>
      </c>
      <c r="N266" s="3" t="s">
        <v>56</v>
      </c>
      <c r="Y266" s="4" t="s">
        <v>1068</v>
      </c>
      <c r="Z266" s="4" t="s">
        <v>1090</v>
      </c>
      <c r="AA266" s="4" t="s">
        <v>1142</v>
      </c>
      <c r="AB266" s="3" t="s">
        <v>1142</v>
      </c>
      <c r="AC266" s="3" t="s">
        <v>1143</v>
      </c>
      <c r="AD266" s="3" t="s">
        <v>77</v>
      </c>
      <c r="AE266" s="3">
        <v>1000</v>
      </c>
      <c r="AI266" s="4" t="s">
        <v>1071</v>
      </c>
      <c r="AJ266" s="4" t="s">
        <v>1091</v>
      </c>
      <c r="AL266" s="4">
        <v>141215</v>
      </c>
      <c r="AM266" s="5">
        <v>30000</v>
      </c>
      <c r="AN266" s="4" t="s">
        <v>124</v>
      </c>
      <c r="AO266" s="4">
        <v>99</v>
      </c>
      <c r="AP266" s="4">
        <v>78111809</v>
      </c>
    </row>
    <row r="267" spans="1:42" x14ac:dyDescent="0.25">
      <c r="A267" s="3">
        <v>4603609</v>
      </c>
      <c r="B267" s="3" t="s">
        <v>516</v>
      </c>
      <c r="C267" s="3" t="s">
        <v>1042</v>
      </c>
      <c r="D267" s="3">
        <v>10003450</v>
      </c>
      <c r="E267" s="4">
        <v>4532960</v>
      </c>
      <c r="F267" s="3" t="s">
        <v>49</v>
      </c>
      <c r="G267" s="4" t="s">
        <v>1150</v>
      </c>
      <c r="H267" s="4" t="s">
        <v>1151</v>
      </c>
      <c r="I267" s="5">
        <v>149728</v>
      </c>
      <c r="J267" s="3" t="s">
        <v>955</v>
      </c>
      <c r="K267" s="3" t="s">
        <v>1152</v>
      </c>
      <c r="L267" s="3" t="s">
        <v>196</v>
      </c>
      <c r="M267" s="4" t="s">
        <v>1151</v>
      </c>
      <c r="N267" s="3" t="s">
        <v>25</v>
      </c>
      <c r="Y267" s="4" t="s">
        <v>1068</v>
      </c>
      <c r="Z267" s="4" t="s">
        <v>1090</v>
      </c>
      <c r="AD267" s="3" t="s">
        <v>419</v>
      </c>
      <c r="AE267" s="3">
        <v>1000</v>
      </c>
      <c r="AI267" s="4" t="s">
        <v>1071</v>
      </c>
      <c r="AJ267" s="4" t="s">
        <v>1091</v>
      </c>
      <c r="AL267" s="4">
        <v>49719</v>
      </c>
      <c r="AM267" s="5">
        <v>149728</v>
      </c>
      <c r="AN267" s="4" t="s">
        <v>124</v>
      </c>
      <c r="AO267" s="4">
        <v>98</v>
      </c>
      <c r="AP267" s="4">
        <v>46171619</v>
      </c>
    </row>
    <row r="268" spans="1:42" x14ac:dyDescent="0.25">
      <c r="A268" s="3">
        <v>4603664</v>
      </c>
      <c r="B268" s="3" t="s">
        <v>527</v>
      </c>
      <c r="C268" s="3" t="s">
        <v>1042</v>
      </c>
      <c r="D268" s="3">
        <v>10003503</v>
      </c>
      <c r="E268" s="4">
        <v>4533015</v>
      </c>
      <c r="F268" s="3" t="s">
        <v>49</v>
      </c>
      <c r="G268" s="4" t="s">
        <v>1153</v>
      </c>
      <c r="H268" s="4" t="s">
        <v>1154</v>
      </c>
      <c r="I268" s="5">
        <v>291289.65999999997</v>
      </c>
      <c r="J268" s="3" t="s">
        <v>1155</v>
      </c>
      <c r="K268" s="3" t="s">
        <v>1156</v>
      </c>
      <c r="L268" s="3" t="s">
        <v>119</v>
      </c>
      <c r="M268" s="4" t="s">
        <v>1154</v>
      </c>
      <c r="N268" s="3" t="s">
        <v>25</v>
      </c>
      <c r="Y268" s="4" t="s">
        <v>1157</v>
      </c>
      <c r="Z268" s="4" t="s">
        <v>1090</v>
      </c>
      <c r="AA268" s="4" t="s">
        <v>1158</v>
      </c>
      <c r="AD268" s="3" t="s">
        <v>1159</v>
      </c>
      <c r="AE268" s="3">
        <v>1000</v>
      </c>
      <c r="AI268" s="4" t="s">
        <v>1160</v>
      </c>
      <c r="AJ268" s="4" t="s">
        <v>1091</v>
      </c>
      <c r="AL268" s="4">
        <v>141225</v>
      </c>
      <c r="AM268" s="5">
        <v>291289.65999999997</v>
      </c>
      <c r="AN268" s="4" t="s">
        <v>124</v>
      </c>
      <c r="AO268" s="4">
        <v>99</v>
      </c>
      <c r="AP268" s="4">
        <v>81111700</v>
      </c>
    </row>
    <row r="269" spans="1:42" x14ac:dyDescent="0.25">
      <c r="A269" s="3">
        <v>4603668</v>
      </c>
      <c r="B269" s="3" t="s">
        <v>1161</v>
      </c>
      <c r="C269" s="3" t="s">
        <v>1042</v>
      </c>
      <c r="D269" s="3">
        <v>10003498</v>
      </c>
      <c r="E269" s="4">
        <v>4533019</v>
      </c>
      <c r="F269" s="3" t="s">
        <v>49</v>
      </c>
      <c r="G269" s="4" t="s">
        <v>929</v>
      </c>
      <c r="H269" s="4" t="s">
        <v>1162</v>
      </c>
      <c r="I269" s="5">
        <v>296034</v>
      </c>
      <c r="J269" s="3" t="s">
        <v>247</v>
      </c>
      <c r="K269" s="3" t="s">
        <v>575</v>
      </c>
      <c r="L269" s="3" t="s">
        <v>1115</v>
      </c>
      <c r="M269" s="4" t="s">
        <v>1163</v>
      </c>
      <c r="N269" s="3" t="s">
        <v>25</v>
      </c>
      <c r="Y269" s="4" t="s">
        <v>1079</v>
      </c>
      <c r="Z269" s="4" t="s">
        <v>1090</v>
      </c>
      <c r="AD269" s="3" t="s">
        <v>516</v>
      </c>
      <c r="AE269" s="3">
        <v>1000</v>
      </c>
      <c r="AI269" s="4" t="s">
        <v>1083</v>
      </c>
      <c r="AJ269" s="4" t="s">
        <v>1091</v>
      </c>
      <c r="AL269" s="4">
        <v>140851</v>
      </c>
      <c r="AM269" s="5">
        <v>296034</v>
      </c>
      <c r="AN269" s="4" t="s">
        <v>124</v>
      </c>
      <c r="AO269" s="4">
        <v>99</v>
      </c>
      <c r="AP269" s="4">
        <v>80131500</v>
      </c>
    </row>
    <row r="270" spans="1:42" x14ac:dyDescent="0.25">
      <c r="A270" s="3">
        <v>4603694</v>
      </c>
      <c r="B270" s="3" t="s">
        <v>211</v>
      </c>
      <c r="C270" s="3" t="s">
        <v>1042</v>
      </c>
      <c r="D270" s="3">
        <v>10003543</v>
      </c>
      <c r="E270" s="4">
        <v>4533045</v>
      </c>
      <c r="F270" s="3" t="s">
        <v>49</v>
      </c>
      <c r="G270" s="4" t="s">
        <v>1164</v>
      </c>
      <c r="H270" s="4" t="s">
        <v>1165</v>
      </c>
      <c r="I270" s="5">
        <v>693954.1</v>
      </c>
      <c r="J270" s="3" t="s">
        <v>1166</v>
      </c>
      <c r="K270" s="3" t="s">
        <v>1167</v>
      </c>
      <c r="L270" s="3" t="s">
        <v>196</v>
      </c>
      <c r="M270" s="4" t="s">
        <v>1168</v>
      </c>
      <c r="N270" s="3" t="s">
        <v>25</v>
      </c>
      <c r="Y270" s="4" t="s">
        <v>1056</v>
      </c>
      <c r="Z270" s="4" t="s">
        <v>1090</v>
      </c>
      <c r="AD270" s="3" t="s">
        <v>284</v>
      </c>
      <c r="AE270" s="3">
        <v>1000</v>
      </c>
      <c r="AI270" s="4" t="s">
        <v>1058</v>
      </c>
      <c r="AJ270" s="4" t="s">
        <v>1091</v>
      </c>
      <c r="AL270" s="4">
        <v>45277</v>
      </c>
      <c r="AM270" s="5">
        <v>693954.1</v>
      </c>
      <c r="AN270" s="4" t="s">
        <v>124</v>
      </c>
      <c r="AO270" s="4">
        <v>97</v>
      </c>
      <c r="AP270" s="4">
        <v>83112200</v>
      </c>
    </row>
    <row r="271" spans="1:42" x14ac:dyDescent="0.25">
      <c r="A271" s="3">
        <v>4603707</v>
      </c>
      <c r="B271" s="3" t="s">
        <v>1169</v>
      </c>
      <c r="C271" s="3" t="s">
        <v>1042</v>
      </c>
      <c r="D271" s="3">
        <v>10003561</v>
      </c>
      <c r="E271" s="4">
        <v>4533058</v>
      </c>
      <c r="F271" s="3" t="s">
        <v>49</v>
      </c>
      <c r="G271" s="4" t="s">
        <v>1170</v>
      </c>
      <c r="H271" s="4" t="s">
        <v>1171</v>
      </c>
      <c r="I271" s="5">
        <v>17700</v>
      </c>
      <c r="J271" s="3" t="s">
        <v>1172</v>
      </c>
      <c r="K271" s="3" t="s">
        <v>324</v>
      </c>
      <c r="L271" s="3" t="s">
        <v>119</v>
      </c>
      <c r="M271" s="4" t="s">
        <v>1171</v>
      </c>
      <c r="N271" s="3" t="s">
        <v>56</v>
      </c>
      <c r="Y271" s="4" t="s">
        <v>1056</v>
      </c>
      <c r="Z271" s="4" t="s">
        <v>1090</v>
      </c>
      <c r="AA271" s="4" t="s">
        <v>1095</v>
      </c>
      <c r="AB271" s="3" t="s">
        <v>1173</v>
      </c>
      <c r="AC271" s="3" t="s">
        <v>1097</v>
      </c>
      <c r="AD271" s="3" t="s">
        <v>1169</v>
      </c>
      <c r="AE271" s="3">
        <v>1000</v>
      </c>
      <c r="AI271" s="4" t="s">
        <v>1058</v>
      </c>
      <c r="AJ271" s="4" t="s">
        <v>1091</v>
      </c>
      <c r="AL271" s="4">
        <v>41114</v>
      </c>
      <c r="AM271" s="5">
        <v>17700</v>
      </c>
      <c r="AN271" s="4" t="s">
        <v>124</v>
      </c>
      <c r="AO271" s="4">
        <v>99</v>
      </c>
      <c r="AP271" s="4">
        <v>44100000</v>
      </c>
    </row>
    <row r="272" spans="1:42" x14ac:dyDescent="0.25">
      <c r="A272" s="3">
        <v>4603721</v>
      </c>
      <c r="B272" s="3" t="s">
        <v>634</v>
      </c>
      <c r="C272" s="3" t="s">
        <v>1042</v>
      </c>
      <c r="D272" s="3">
        <v>10003578</v>
      </c>
      <c r="E272" s="4">
        <v>4533072</v>
      </c>
      <c r="F272" s="3" t="s">
        <v>49</v>
      </c>
      <c r="G272" s="4" t="s">
        <v>1174</v>
      </c>
      <c r="H272" s="4" t="s">
        <v>1175</v>
      </c>
      <c r="I272" s="5">
        <v>644000</v>
      </c>
      <c r="J272" s="3" t="s">
        <v>631</v>
      </c>
      <c r="K272" s="3" t="s">
        <v>575</v>
      </c>
      <c r="L272" s="3" t="s">
        <v>119</v>
      </c>
      <c r="M272" s="4" t="s">
        <v>1175</v>
      </c>
      <c r="N272" s="3" t="s">
        <v>56</v>
      </c>
      <c r="O272" s="3" t="s">
        <v>139</v>
      </c>
      <c r="P272" s="4" t="s">
        <v>282</v>
      </c>
      <c r="Y272" s="4" t="s">
        <v>1176</v>
      </c>
      <c r="Z272" s="4" t="s">
        <v>565</v>
      </c>
      <c r="AA272" s="4" t="s">
        <v>754</v>
      </c>
      <c r="AB272" s="3" t="s">
        <v>1177</v>
      </c>
      <c r="AC272" s="3" t="s">
        <v>756</v>
      </c>
      <c r="AD272" s="3" t="s">
        <v>527</v>
      </c>
      <c r="AE272" s="3">
        <v>1000</v>
      </c>
      <c r="AI272" s="4" t="s">
        <v>1178</v>
      </c>
      <c r="AJ272" s="4" t="s">
        <v>569</v>
      </c>
      <c r="AK272" s="3" t="s">
        <v>286</v>
      </c>
      <c r="AL272" s="4">
        <v>42811</v>
      </c>
      <c r="AM272" s="5">
        <v>644000</v>
      </c>
      <c r="AN272" s="4" t="s">
        <v>124</v>
      </c>
      <c r="AO272" s="4">
        <v>99</v>
      </c>
      <c r="AP272" s="4">
        <v>80101510</v>
      </c>
    </row>
    <row r="273" spans="1:42" x14ac:dyDescent="0.25">
      <c r="A273" s="3">
        <v>4603792</v>
      </c>
      <c r="B273" s="3" t="s">
        <v>1179</v>
      </c>
      <c r="C273" s="3" t="s">
        <v>1042</v>
      </c>
      <c r="D273" s="3">
        <v>10003633</v>
      </c>
      <c r="E273" s="4">
        <v>4533143</v>
      </c>
      <c r="F273" s="3" t="s">
        <v>49</v>
      </c>
      <c r="G273" s="4" t="s">
        <v>1137</v>
      </c>
      <c r="H273" s="4" t="s">
        <v>1147</v>
      </c>
      <c r="I273" s="5">
        <v>40000</v>
      </c>
      <c r="J273" s="3" t="s">
        <v>634</v>
      </c>
      <c r="K273" s="3" t="s">
        <v>543</v>
      </c>
      <c r="L273" s="3" t="s">
        <v>119</v>
      </c>
      <c r="M273" s="4" t="s">
        <v>1180</v>
      </c>
      <c r="N273" s="3" t="s">
        <v>56</v>
      </c>
      <c r="Y273" s="4" t="s">
        <v>540</v>
      </c>
      <c r="Z273" s="4" t="s">
        <v>1090</v>
      </c>
      <c r="AA273" s="4" t="s">
        <v>1181</v>
      </c>
      <c r="AB273" s="3" t="s">
        <v>1142</v>
      </c>
      <c r="AC273" s="3" t="s">
        <v>1143</v>
      </c>
      <c r="AD273" s="3" t="s">
        <v>1179</v>
      </c>
      <c r="AE273" s="3">
        <v>1000</v>
      </c>
      <c r="AI273" s="4" t="s">
        <v>542</v>
      </c>
      <c r="AJ273" s="4" t="s">
        <v>1091</v>
      </c>
      <c r="AL273" s="4">
        <v>141215</v>
      </c>
      <c r="AM273" s="5">
        <v>40000</v>
      </c>
      <c r="AN273" s="4" t="s">
        <v>124</v>
      </c>
      <c r="AO273" s="4">
        <v>99</v>
      </c>
      <c r="AP273" s="4">
        <v>78111809</v>
      </c>
    </row>
    <row r="274" spans="1:42" x14ac:dyDescent="0.25">
      <c r="A274" s="3">
        <v>4603844</v>
      </c>
      <c r="B274" s="3" t="s">
        <v>1182</v>
      </c>
      <c r="C274" s="3" t="s">
        <v>1042</v>
      </c>
      <c r="D274" s="3">
        <v>10003661</v>
      </c>
      <c r="E274" s="4">
        <v>4533195</v>
      </c>
      <c r="F274" s="3" t="s">
        <v>49</v>
      </c>
      <c r="G274" s="4" t="s">
        <v>1183</v>
      </c>
      <c r="H274" s="4" t="s">
        <v>1184</v>
      </c>
      <c r="I274" s="5">
        <v>212675</v>
      </c>
      <c r="J274" s="3" t="s">
        <v>150</v>
      </c>
      <c r="K274" s="3" t="s">
        <v>1185</v>
      </c>
      <c r="L274" s="3" t="s">
        <v>196</v>
      </c>
      <c r="M274" s="4" t="s">
        <v>1186</v>
      </c>
      <c r="N274" s="3" t="s">
        <v>25</v>
      </c>
      <c r="Y274" s="4" t="s">
        <v>1056</v>
      </c>
      <c r="Z274" s="4" t="s">
        <v>605</v>
      </c>
      <c r="AD274" s="3" t="s">
        <v>297</v>
      </c>
      <c r="AE274" s="3">
        <v>1000</v>
      </c>
      <c r="AI274" s="4" t="s">
        <v>1058</v>
      </c>
      <c r="AJ274" s="4" t="s">
        <v>609</v>
      </c>
      <c r="AL274" s="4">
        <v>141437</v>
      </c>
      <c r="AM274" s="5">
        <v>212675</v>
      </c>
      <c r="AN274" s="4" t="s">
        <v>124</v>
      </c>
      <c r="AO274" s="4">
        <v>99</v>
      </c>
      <c r="AP274" s="4">
        <v>43230000</v>
      </c>
    </row>
    <row r="275" spans="1:42" x14ac:dyDescent="0.25">
      <c r="A275" s="3">
        <v>4603845</v>
      </c>
      <c r="B275" s="3" t="s">
        <v>589</v>
      </c>
      <c r="C275" s="3" t="s">
        <v>1042</v>
      </c>
      <c r="D275" s="3">
        <v>10003666</v>
      </c>
      <c r="E275" s="4">
        <v>4533196</v>
      </c>
      <c r="F275" s="3" t="s">
        <v>49</v>
      </c>
      <c r="G275" s="4" t="s">
        <v>1187</v>
      </c>
      <c r="H275" s="4" t="s">
        <v>1188</v>
      </c>
      <c r="I275" s="5">
        <v>6174004.0999999996</v>
      </c>
      <c r="J275" s="3" t="s">
        <v>631</v>
      </c>
      <c r="K275" s="3" t="s">
        <v>77</v>
      </c>
      <c r="L275" s="3" t="s">
        <v>1046</v>
      </c>
      <c r="M275" s="4" t="s">
        <v>1189</v>
      </c>
      <c r="N275" s="3" t="s">
        <v>56</v>
      </c>
      <c r="Y275" s="4" t="s">
        <v>1190</v>
      </c>
      <c r="Z275" s="4" t="s">
        <v>1191</v>
      </c>
      <c r="AA275" s="4" t="s">
        <v>1192</v>
      </c>
      <c r="AB275" s="3" t="s">
        <v>1192</v>
      </c>
      <c r="AC275" s="3" t="s">
        <v>1193</v>
      </c>
      <c r="AD275" s="3" t="s">
        <v>1194</v>
      </c>
      <c r="AE275" s="3">
        <v>5000</v>
      </c>
      <c r="AI275" s="4" t="s">
        <v>1195</v>
      </c>
      <c r="AJ275" s="4" t="s">
        <v>1196</v>
      </c>
      <c r="AL275" s="4">
        <v>140182</v>
      </c>
      <c r="AM275" s="5">
        <v>6174004.0999999996</v>
      </c>
      <c r="AN275" s="4" t="s">
        <v>31</v>
      </c>
      <c r="AO275" s="4">
        <v>98</v>
      </c>
      <c r="AP275" s="4">
        <v>80141602</v>
      </c>
    </row>
    <row r="276" spans="1:42" x14ac:dyDescent="0.25">
      <c r="A276" s="3">
        <v>4603855</v>
      </c>
      <c r="B276" s="3" t="s">
        <v>636</v>
      </c>
      <c r="C276" s="3" t="s">
        <v>1042</v>
      </c>
      <c r="D276" s="3">
        <v>10003664</v>
      </c>
      <c r="E276" s="4">
        <v>4533206</v>
      </c>
      <c r="F276" s="3" t="s">
        <v>49</v>
      </c>
      <c r="G276" s="4" t="s">
        <v>1197</v>
      </c>
      <c r="H276" s="4" t="s">
        <v>1198</v>
      </c>
      <c r="I276" s="5">
        <v>48682.7</v>
      </c>
      <c r="J276" s="3" t="s">
        <v>631</v>
      </c>
      <c r="K276" s="3" t="s">
        <v>575</v>
      </c>
      <c r="L276" s="3" t="s">
        <v>196</v>
      </c>
      <c r="M276" s="4" t="s">
        <v>1199</v>
      </c>
      <c r="N276" s="3" t="s">
        <v>25</v>
      </c>
      <c r="O276" s="3" t="s">
        <v>139</v>
      </c>
      <c r="P276" s="4" t="s">
        <v>282</v>
      </c>
      <c r="Y276" s="4" t="s">
        <v>1200</v>
      </c>
      <c r="Z276" s="4" t="s">
        <v>1200</v>
      </c>
      <c r="AA276" s="4" t="s">
        <v>1201</v>
      </c>
      <c r="AD276" s="3" t="s">
        <v>634</v>
      </c>
      <c r="AE276" s="3">
        <v>1000</v>
      </c>
      <c r="AI276" s="4" t="s">
        <v>1202</v>
      </c>
      <c r="AJ276" s="4" t="s">
        <v>1202</v>
      </c>
      <c r="AK276" s="3" t="s">
        <v>286</v>
      </c>
      <c r="AL276" s="4">
        <v>140121</v>
      </c>
      <c r="AM276" s="5">
        <v>48682.7</v>
      </c>
      <c r="AN276" s="4" t="s">
        <v>124</v>
      </c>
      <c r="AO276" s="4">
        <v>99</v>
      </c>
      <c r="AP276" s="4">
        <v>84111600</v>
      </c>
    </row>
    <row r="277" spans="1:42" x14ac:dyDescent="0.25">
      <c r="A277" s="3">
        <v>4603856</v>
      </c>
      <c r="B277" s="3" t="s">
        <v>636</v>
      </c>
      <c r="C277" s="3" t="s">
        <v>1042</v>
      </c>
      <c r="D277" s="3">
        <v>10003662</v>
      </c>
      <c r="E277" s="4">
        <v>4533207</v>
      </c>
      <c r="F277" s="3" t="s">
        <v>49</v>
      </c>
      <c r="G277" s="4" t="s">
        <v>1203</v>
      </c>
      <c r="H277" s="4" t="s">
        <v>1204</v>
      </c>
      <c r="I277" s="5">
        <v>90151.6</v>
      </c>
      <c r="J277" s="3" t="s">
        <v>631</v>
      </c>
      <c r="K277" s="3" t="s">
        <v>575</v>
      </c>
      <c r="L277" s="3" t="s">
        <v>196</v>
      </c>
      <c r="M277" s="4" t="s">
        <v>1204</v>
      </c>
      <c r="N277" s="3" t="s">
        <v>25</v>
      </c>
      <c r="O277" s="3" t="s">
        <v>139</v>
      </c>
      <c r="P277" s="4" t="s">
        <v>282</v>
      </c>
      <c r="Y277" s="4" t="s">
        <v>1200</v>
      </c>
      <c r="Z277" s="4" t="s">
        <v>1200</v>
      </c>
      <c r="AA277" s="4" t="s">
        <v>1205</v>
      </c>
      <c r="AD277" s="3" t="s">
        <v>634</v>
      </c>
      <c r="AE277" s="3">
        <v>1000</v>
      </c>
      <c r="AI277" s="4" t="s">
        <v>1202</v>
      </c>
      <c r="AJ277" s="4" t="s">
        <v>1202</v>
      </c>
      <c r="AK277" s="3" t="s">
        <v>286</v>
      </c>
      <c r="AL277" s="4">
        <v>49532</v>
      </c>
      <c r="AM277" s="5">
        <v>90151.6</v>
      </c>
      <c r="AN277" s="4" t="s">
        <v>124</v>
      </c>
      <c r="AO277" s="4">
        <v>99</v>
      </c>
      <c r="AP277" s="4">
        <v>84111600</v>
      </c>
    </row>
    <row r="278" spans="1:42" x14ac:dyDescent="0.25">
      <c r="A278" s="3">
        <v>4603881</v>
      </c>
      <c r="B278" s="3" t="s">
        <v>439</v>
      </c>
      <c r="C278" s="3" t="s">
        <v>1042</v>
      </c>
      <c r="D278" s="3">
        <v>10003682</v>
      </c>
      <c r="E278" s="4">
        <v>4533232</v>
      </c>
      <c r="F278" s="3" t="s">
        <v>49</v>
      </c>
      <c r="G278" s="4" t="s">
        <v>1206</v>
      </c>
      <c r="H278" s="4" t="s">
        <v>1207</v>
      </c>
      <c r="I278" s="5">
        <v>420978.64</v>
      </c>
      <c r="J278" s="3" t="s">
        <v>65</v>
      </c>
      <c r="K278" s="3" t="s">
        <v>1208</v>
      </c>
      <c r="L278" s="3" t="s">
        <v>196</v>
      </c>
      <c r="M278" s="4" t="s">
        <v>1207</v>
      </c>
      <c r="N278" s="3" t="s">
        <v>25</v>
      </c>
      <c r="Y278" s="4" t="s">
        <v>1079</v>
      </c>
      <c r="Z278" s="4" t="s">
        <v>605</v>
      </c>
      <c r="AD278" s="3" t="s">
        <v>1209</v>
      </c>
      <c r="AE278" s="3">
        <v>1000</v>
      </c>
      <c r="AI278" s="4" t="s">
        <v>1083</v>
      </c>
      <c r="AJ278" s="4" t="s">
        <v>609</v>
      </c>
      <c r="AL278" s="4">
        <v>141161</v>
      </c>
      <c r="AM278" s="5">
        <v>420978.64</v>
      </c>
      <c r="AN278" s="4" t="s">
        <v>124</v>
      </c>
      <c r="AO278" s="4">
        <v>99</v>
      </c>
      <c r="AP278" s="4">
        <v>80131500</v>
      </c>
    </row>
    <row r="279" spans="1:42" x14ac:dyDescent="0.25">
      <c r="A279" s="3">
        <v>4603965</v>
      </c>
      <c r="B279" s="3" t="s">
        <v>748</v>
      </c>
      <c r="C279" s="3" t="s">
        <v>1042</v>
      </c>
      <c r="D279" s="3">
        <v>10003725</v>
      </c>
      <c r="E279" s="4">
        <v>4533316</v>
      </c>
      <c r="F279" s="3" t="s">
        <v>49</v>
      </c>
      <c r="G279" s="4" t="s">
        <v>1210</v>
      </c>
      <c r="H279" s="4" t="s">
        <v>1211</v>
      </c>
      <c r="I279" s="5">
        <v>2352000</v>
      </c>
      <c r="J279" s="3" t="s">
        <v>631</v>
      </c>
      <c r="K279" s="3" t="s">
        <v>807</v>
      </c>
      <c r="L279" s="3" t="s">
        <v>1046</v>
      </c>
      <c r="M279" s="4" t="s">
        <v>1212</v>
      </c>
      <c r="N279" s="3" t="s">
        <v>56</v>
      </c>
      <c r="U279" s="4" t="s">
        <v>139</v>
      </c>
      <c r="V279" s="4" t="s">
        <v>427</v>
      </c>
      <c r="W279" s="4" t="s">
        <v>428</v>
      </c>
      <c r="Y279" s="4" t="s">
        <v>1213</v>
      </c>
      <c r="Z279" s="4" t="s">
        <v>1191</v>
      </c>
      <c r="AA279" s="4" t="s">
        <v>1214</v>
      </c>
      <c r="AB279" s="3" t="s">
        <v>1215</v>
      </c>
      <c r="AC279" s="3" t="s">
        <v>1216</v>
      </c>
      <c r="AD279" s="3" t="s">
        <v>518</v>
      </c>
      <c r="AE279" s="3">
        <v>5000</v>
      </c>
      <c r="AI279" s="4" t="s">
        <v>1217</v>
      </c>
      <c r="AJ279" s="4" t="s">
        <v>1196</v>
      </c>
      <c r="AL279" s="4">
        <v>140037</v>
      </c>
      <c r="AM279" s="5">
        <v>2352000</v>
      </c>
      <c r="AN279" s="4" t="s">
        <v>31</v>
      </c>
      <c r="AO279" s="4">
        <v>96</v>
      </c>
      <c r="AP279" s="4">
        <v>83110000</v>
      </c>
    </row>
    <row r="280" spans="1:42" x14ac:dyDescent="0.25">
      <c r="A280" s="3">
        <v>4604014</v>
      </c>
      <c r="B280" s="3" t="s">
        <v>712</v>
      </c>
      <c r="C280" s="3" t="s">
        <v>1042</v>
      </c>
      <c r="D280" s="3">
        <v>10003771</v>
      </c>
      <c r="E280" s="4">
        <v>4533365</v>
      </c>
      <c r="F280" s="3" t="s">
        <v>49</v>
      </c>
      <c r="G280" s="4" t="s">
        <v>1218</v>
      </c>
      <c r="H280" s="4" t="s">
        <v>1219</v>
      </c>
      <c r="I280" s="5">
        <v>4400</v>
      </c>
      <c r="J280" s="3" t="s">
        <v>1220</v>
      </c>
      <c r="K280" s="3" t="s">
        <v>1052</v>
      </c>
      <c r="L280" s="3" t="s">
        <v>119</v>
      </c>
      <c r="M280" s="4" t="s">
        <v>1221</v>
      </c>
      <c r="N280" s="3" t="s">
        <v>56</v>
      </c>
      <c r="Y280" s="4" t="s">
        <v>1222</v>
      </c>
      <c r="Z280" s="4" t="s">
        <v>1090</v>
      </c>
      <c r="AA280" s="4" t="s">
        <v>1223</v>
      </c>
      <c r="AB280" s="3" t="s">
        <v>1224</v>
      </c>
      <c r="AC280" s="3" t="s">
        <v>1225</v>
      </c>
      <c r="AD280" s="3" t="s">
        <v>1121</v>
      </c>
      <c r="AE280" s="3">
        <v>1000</v>
      </c>
      <c r="AI280" s="4" t="s">
        <v>1226</v>
      </c>
      <c r="AJ280" s="4" t="s">
        <v>1091</v>
      </c>
      <c r="AL280" s="4">
        <v>140192</v>
      </c>
      <c r="AM280" s="5">
        <v>4400</v>
      </c>
      <c r="AN280" s="4" t="s">
        <v>124</v>
      </c>
      <c r="AO280" s="4">
        <v>99</v>
      </c>
      <c r="AP280" s="4">
        <v>80111600</v>
      </c>
    </row>
    <row r="281" spans="1:42" x14ac:dyDescent="0.25">
      <c r="A281" s="3">
        <v>4604038</v>
      </c>
      <c r="B281" s="3" t="s">
        <v>1227</v>
      </c>
      <c r="C281" s="3" t="s">
        <v>1042</v>
      </c>
      <c r="D281" s="3">
        <v>10003762</v>
      </c>
      <c r="E281" s="4">
        <v>4533389</v>
      </c>
      <c r="F281" s="3" t="s">
        <v>49</v>
      </c>
      <c r="G281" s="4" t="s">
        <v>1228</v>
      </c>
      <c r="H281" s="4" t="s">
        <v>1229</v>
      </c>
      <c r="I281" s="5">
        <v>30000</v>
      </c>
      <c r="J281" s="3" t="s">
        <v>645</v>
      </c>
      <c r="K281" s="3" t="s">
        <v>1230</v>
      </c>
      <c r="L281" s="3" t="s">
        <v>196</v>
      </c>
      <c r="M281" s="4" t="s">
        <v>1231</v>
      </c>
      <c r="N281" s="3" t="s">
        <v>25</v>
      </c>
      <c r="Q281" s="3" t="s">
        <v>139</v>
      </c>
      <c r="R281" s="3" t="s">
        <v>215</v>
      </c>
      <c r="S281" s="4" t="s">
        <v>216</v>
      </c>
      <c r="Y281" s="4" t="s">
        <v>1232</v>
      </c>
      <c r="Z281" s="4" t="s">
        <v>1232</v>
      </c>
      <c r="AD281" s="3" t="s">
        <v>1227</v>
      </c>
      <c r="AE281" s="3">
        <v>1000</v>
      </c>
      <c r="AI281" s="4" t="s">
        <v>1233</v>
      </c>
      <c r="AJ281" s="4" t="s">
        <v>1233</v>
      </c>
      <c r="AL281" s="4">
        <v>44880</v>
      </c>
      <c r="AM281" s="5">
        <v>30000</v>
      </c>
      <c r="AN281" s="4" t="s">
        <v>124</v>
      </c>
      <c r="AO281" s="4">
        <v>99</v>
      </c>
      <c r="AP281" s="4">
        <v>84120000</v>
      </c>
    </row>
    <row r="282" spans="1:42" x14ac:dyDescent="0.25">
      <c r="A282" s="3">
        <v>4604051</v>
      </c>
      <c r="B282" s="3" t="s">
        <v>1182</v>
      </c>
      <c r="C282" s="3" t="s">
        <v>1042</v>
      </c>
      <c r="D282" s="3">
        <v>10003821</v>
      </c>
      <c r="E282" s="4">
        <v>4533402</v>
      </c>
      <c r="F282" s="3" t="s">
        <v>49</v>
      </c>
      <c r="G282" s="4" t="s">
        <v>1234</v>
      </c>
      <c r="H282" s="4" t="s">
        <v>1235</v>
      </c>
      <c r="I282" s="5">
        <v>84000</v>
      </c>
      <c r="J282" s="3" t="s">
        <v>631</v>
      </c>
      <c r="K282" s="3" t="s">
        <v>1236</v>
      </c>
      <c r="L282" s="3" t="s">
        <v>119</v>
      </c>
      <c r="M282" s="4" t="s">
        <v>1235</v>
      </c>
      <c r="N282" s="3" t="s">
        <v>56</v>
      </c>
      <c r="Y282" s="4" t="s">
        <v>267</v>
      </c>
      <c r="Z282" s="4" t="s">
        <v>1237</v>
      </c>
      <c r="AA282" s="4" t="s">
        <v>1238</v>
      </c>
      <c r="AB282" s="3" t="s">
        <v>1238</v>
      </c>
      <c r="AC282" s="3" t="s">
        <v>1239</v>
      </c>
      <c r="AD282" s="3" t="s">
        <v>1240</v>
      </c>
      <c r="AE282" s="3">
        <v>1000</v>
      </c>
      <c r="AI282" s="4" t="s">
        <v>270</v>
      </c>
      <c r="AJ282" s="4" t="s">
        <v>1241</v>
      </c>
      <c r="AL282" s="4">
        <v>43497</v>
      </c>
      <c r="AM282" s="5">
        <v>84000</v>
      </c>
      <c r="AN282" s="4" t="s">
        <v>124</v>
      </c>
      <c r="AO282" s="4">
        <v>98</v>
      </c>
      <c r="AP282" s="4">
        <v>80110000</v>
      </c>
    </row>
    <row r="283" spans="1:42" x14ac:dyDescent="0.25">
      <c r="A283" s="3">
        <v>4604087</v>
      </c>
      <c r="B283" s="3" t="s">
        <v>527</v>
      </c>
      <c r="C283" s="3" t="s">
        <v>1042</v>
      </c>
      <c r="D283" s="3">
        <v>10003840</v>
      </c>
      <c r="E283" s="4">
        <v>4533438</v>
      </c>
      <c r="F283" s="3" t="s">
        <v>49</v>
      </c>
      <c r="G283" s="4" t="s">
        <v>1242</v>
      </c>
      <c r="H283" s="4" t="s">
        <v>1243</v>
      </c>
      <c r="I283" s="5">
        <v>1706550</v>
      </c>
      <c r="J283" s="3" t="s">
        <v>650</v>
      </c>
      <c r="K283" s="3" t="s">
        <v>374</v>
      </c>
      <c r="L283" s="3" t="s">
        <v>196</v>
      </c>
      <c r="M283" s="4" t="s">
        <v>1244</v>
      </c>
      <c r="N283" s="3" t="s">
        <v>25</v>
      </c>
      <c r="Y283" s="4" t="s">
        <v>540</v>
      </c>
      <c r="Z283" s="4" t="s">
        <v>605</v>
      </c>
      <c r="AD283" s="3" t="s">
        <v>527</v>
      </c>
      <c r="AE283" s="3">
        <v>1000</v>
      </c>
      <c r="AI283" s="4" t="s">
        <v>542</v>
      </c>
      <c r="AJ283" s="4" t="s">
        <v>609</v>
      </c>
      <c r="AL283" s="4">
        <v>46975</v>
      </c>
      <c r="AM283" s="5">
        <v>1706550</v>
      </c>
      <c r="AN283" s="4" t="s">
        <v>124</v>
      </c>
      <c r="AO283" s="4">
        <v>96</v>
      </c>
      <c r="AP283" s="4">
        <v>80131500</v>
      </c>
    </row>
    <row r="284" spans="1:42" x14ac:dyDescent="0.25">
      <c r="A284" s="3">
        <v>4604106</v>
      </c>
      <c r="B284" s="3" t="s">
        <v>195</v>
      </c>
      <c r="C284" s="3" t="s">
        <v>1042</v>
      </c>
      <c r="D284" s="3">
        <v>10003880</v>
      </c>
      <c r="E284" s="4">
        <v>4533457</v>
      </c>
      <c r="F284" s="3" t="s">
        <v>49</v>
      </c>
      <c r="G284" s="4" t="s">
        <v>1245</v>
      </c>
      <c r="H284" s="4" t="s">
        <v>1246</v>
      </c>
      <c r="I284" s="5">
        <v>13000</v>
      </c>
      <c r="J284" s="3" t="s">
        <v>1247</v>
      </c>
      <c r="K284" s="3" t="s">
        <v>832</v>
      </c>
      <c r="L284" s="3" t="s">
        <v>196</v>
      </c>
      <c r="M284" s="4" t="s">
        <v>1248</v>
      </c>
      <c r="N284" s="3" t="s">
        <v>25</v>
      </c>
      <c r="Y284" s="4" t="s">
        <v>1249</v>
      </c>
      <c r="Z284" s="4" t="s">
        <v>1090</v>
      </c>
      <c r="AD284" s="3" t="s">
        <v>577</v>
      </c>
      <c r="AE284" s="3">
        <v>1000</v>
      </c>
      <c r="AI284" s="4" t="s">
        <v>1250</v>
      </c>
      <c r="AJ284" s="4" t="s">
        <v>1091</v>
      </c>
      <c r="AL284" s="4">
        <v>140158</v>
      </c>
      <c r="AM284" s="5">
        <v>13000</v>
      </c>
      <c r="AN284" s="4" t="s">
        <v>124</v>
      </c>
      <c r="AO284" s="4">
        <v>99</v>
      </c>
      <c r="AP284" s="4">
        <v>76111500</v>
      </c>
    </row>
    <row r="285" spans="1:42" x14ac:dyDescent="0.25">
      <c r="A285" s="3">
        <v>4604118</v>
      </c>
      <c r="B285" s="3" t="s">
        <v>1052</v>
      </c>
      <c r="C285" s="3" t="s">
        <v>1042</v>
      </c>
      <c r="D285" s="3">
        <v>10003886</v>
      </c>
      <c r="E285" s="4">
        <v>4533469</v>
      </c>
      <c r="F285" s="3" t="s">
        <v>49</v>
      </c>
      <c r="G285" s="4" t="s">
        <v>1251</v>
      </c>
      <c r="H285" s="4" t="s">
        <v>1252</v>
      </c>
      <c r="I285" s="5">
        <v>495000</v>
      </c>
      <c r="J285" s="3" t="s">
        <v>1253</v>
      </c>
      <c r="K285" s="3" t="s">
        <v>575</v>
      </c>
      <c r="L285" s="3" t="s">
        <v>119</v>
      </c>
      <c r="M285" s="4" t="s">
        <v>1252</v>
      </c>
      <c r="N285" s="3" t="s">
        <v>56</v>
      </c>
      <c r="Y285" s="4" t="s">
        <v>1056</v>
      </c>
      <c r="Z285" s="4" t="s">
        <v>1090</v>
      </c>
      <c r="AA285" s="4" t="s">
        <v>1254</v>
      </c>
      <c r="AB285" s="3" t="s">
        <v>1255</v>
      </c>
      <c r="AC285" s="3" t="s">
        <v>1256</v>
      </c>
      <c r="AD285" s="3" t="s">
        <v>1052</v>
      </c>
      <c r="AE285" s="3">
        <v>1000</v>
      </c>
      <c r="AI285" s="4" t="s">
        <v>1058</v>
      </c>
      <c r="AJ285" s="4" t="s">
        <v>1091</v>
      </c>
      <c r="AL285" s="4">
        <v>48564</v>
      </c>
      <c r="AM285" s="5">
        <v>495000</v>
      </c>
      <c r="AN285" s="4" t="s">
        <v>124</v>
      </c>
      <c r="AO285" s="4">
        <v>99</v>
      </c>
      <c r="AP285" s="4">
        <v>43230000</v>
      </c>
    </row>
    <row r="286" spans="1:42" x14ac:dyDescent="0.25">
      <c r="A286" s="3">
        <v>4604121</v>
      </c>
      <c r="B286" s="3" t="s">
        <v>654</v>
      </c>
      <c r="C286" s="3" t="s">
        <v>1042</v>
      </c>
      <c r="D286" s="3">
        <v>10003236</v>
      </c>
      <c r="E286" s="4">
        <v>4533472</v>
      </c>
      <c r="F286" s="3" t="s">
        <v>49</v>
      </c>
      <c r="G286" s="4" t="s">
        <v>1085</v>
      </c>
      <c r="H286" s="4" t="s">
        <v>1257</v>
      </c>
      <c r="I286" s="5">
        <v>278804.07</v>
      </c>
      <c r="J286" s="3" t="s">
        <v>1258</v>
      </c>
      <c r="K286" s="3" t="s">
        <v>1259</v>
      </c>
      <c r="L286" s="3" t="s">
        <v>54</v>
      </c>
      <c r="M286" s="4" t="s">
        <v>1260</v>
      </c>
      <c r="N286" s="3" t="s">
        <v>56</v>
      </c>
      <c r="Y286" s="4" t="s">
        <v>1056</v>
      </c>
      <c r="Z286" s="4" t="s">
        <v>1090</v>
      </c>
      <c r="AD286" s="3" t="s">
        <v>654</v>
      </c>
      <c r="AE286" s="3">
        <v>1000</v>
      </c>
      <c r="AI286" s="4" t="s">
        <v>1058</v>
      </c>
      <c r="AJ286" s="4" t="s">
        <v>1091</v>
      </c>
      <c r="AL286" s="4">
        <v>30502</v>
      </c>
      <c r="AM286" s="5">
        <v>278804.07</v>
      </c>
      <c r="AN286" s="4" t="s">
        <v>124</v>
      </c>
      <c r="AO286" s="4">
        <v>99</v>
      </c>
    </row>
    <row r="287" spans="1:42" x14ac:dyDescent="0.25">
      <c r="A287" s="3">
        <v>4604258</v>
      </c>
      <c r="B287" s="3" t="s">
        <v>1247</v>
      </c>
      <c r="C287" s="3" t="s">
        <v>1042</v>
      </c>
      <c r="D287" s="3">
        <v>10004019</v>
      </c>
      <c r="E287" s="4">
        <v>4533609</v>
      </c>
      <c r="F287" s="3" t="s">
        <v>49</v>
      </c>
      <c r="G287" s="4" t="s">
        <v>1261</v>
      </c>
      <c r="H287" s="4" t="s">
        <v>1262</v>
      </c>
      <c r="I287" s="5">
        <v>91682.2</v>
      </c>
      <c r="J287" s="3" t="s">
        <v>1263</v>
      </c>
      <c r="K287" s="3" t="s">
        <v>1264</v>
      </c>
      <c r="L287" s="3" t="s">
        <v>119</v>
      </c>
      <c r="M287" s="4" t="s">
        <v>1262</v>
      </c>
      <c r="N287" s="3" t="s">
        <v>25</v>
      </c>
      <c r="Y287" s="4" t="s">
        <v>267</v>
      </c>
      <c r="Z287" s="4" t="s">
        <v>267</v>
      </c>
      <c r="AA287" s="4" t="s">
        <v>1265</v>
      </c>
      <c r="AD287" s="3" t="s">
        <v>304</v>
      </c>
      <c r="AE287" s="3">
        <v>1000</v>
      </c>
      <c r="AI287" s="4" t="s">
        <v>270</v>
      </c>
      <c r="AJ287" s="4" t="s">
        <v>270</v>
      </c>
      <c r="AL287" s="4">
        <v>43889</v>
      </c>
      <c r="AM287" s="5">
        <v>91682.2</v>
      </c>
      <c r="AN287" s="4" t="s">
        <v>124</v>
      </c>
      <c r="AO287" s="4">
        <v>98</v>
      </c>
      <c r="AP287" s="4">
        <v>80111700</v>
      </c>
    </row>
    <row r="288" spans="1:42" x14ac:dyDescent="0.25">
      <c r="A288" s="3">
        <v>4604402</v>
      </c>
      <c r="B288" s="3" t="s">
        <v>1266</v>
      </c>
      <c r="C288" s="3" t="s">
        <v>1042</v>
      </c>
      <c r="D288" s="3">
        <v>10003682</v>
      </c>
      <c r="E288" s="4">
        <v>4533753</v>
      </c>
      <c r="F288" s="3" t="s">
        <v>49</v>
      </c>
      <c r="G288" s="4" t="s">
        <v>1267</v>
      </c>
      <c r="H288" s="4" t="s">
        <v>1207</v>
      </c>
      <c r="I288" s="5">
        <v>75063.7</v>
      </c>
      <c r="J288" s="3" t="s">
        <v>1268</v>
      </c>
      <c r="K288" s="3" t="s">
        <v>1269</v>
      </c>
      <c r="L288" s="3" t="s">
        <v>196</v>
      </c>
      <c r="M288" s="4" t="s">
        <v>1207</v>
      </c>
      <c r="N288" s="3" t="s">
        <v>25</v>
      </c>
      <c r="Y288" s="4" t="s">
        <v>540</v>
      </c>
      <c r="Z288" s="4" t="s">
        <v>1090</v>
      </c>
      <c r="AD288" s="3" t="s">
        <v>359</v>
      </c>
      <c r="AE288" s="3">
        <v>1000</v>
      </c>
      <c r="AI288" s="4" t="s">
        <v>542</v>
      </c>
      <c r="AJ288" s="4" t="s">
        <v>1091</v>
      </c>
      <c r="AL288" s="4">
        <v>49881</v>
      </c>
      <c r="AM288" s="5">
        <v>75063.7</v>
      </c>
      <c r="AN288" s="4" t="s">
        <v>124</v>
      </c>
      <c r="AO288" s="4">
        <v>99</v>
      </c>
      <c r="AP288" s="4">
        <v>78111807</v>
      </c>
    </row>
    <row r="289" spans="1:42" x14ac:dyDescent="0.25">
      <c r="A289" s="3">
        <v>4604557</v>
      </c>
      <c r="B289" s="3" t="s">
        <v>559</v>
      </c>
      <c r="C289" s="3" t="s">
        <v>1042</v>
      </c>
      <c r="D289" s="3">
        <v>10004017</v>
      </c>
      <c r="E289" s="4">
        <v>4533908</v>
      </c>
      <c r="F289" s="3" t="s">
        <v>49</v>
      </c>
      <c r="G289" s="4" t="s">
        <v>1174</v>
      </c>
      <c r="H289" s="4" t="s">
        <v>1270</v>
      </c>
      <c r="I289" s="5">
        <v>15400</v>
      </c>
      <c r="J289" s="3" t="s">
        <v>1271</v>
      </c>
      <c r="K289" s="3" t="s">
        <v>395</v>
      </c>
      <c r="L289" s="3" t="s">
        <v>196</v>
      </c>
      <c r="M289" s="4" t="s">
        <v>1270</v>
      </c>
      <c r="N289" s="3" t="s">
        <v>25</v>
      </c>
      <c r="Y289" s="4" t="s">
        <v>540</v>
      </c>
      <c r="Z289" s="4" t="s">
        <v>540</v>
      </c>
      <c r="AD289" s="3" t="s">
        <v>577</v>
      </c>
      <c r="AE289" s="3">
        <v>1000</v>
      </c>
      <c r="AI289" s="4" t="s">
        <v>542</v>
      </c>
      <c r="AJ289" s="4" t="s">
        <v>542</v>
      </c>
      <c r="AL289" s="4">
        <v>42811</v>
      </c>
      <c r="AM289" s="5">
        <v>15400</v>
      </c>
      <c r="AN289" s="4" t="s">
        <v>124</v>
      </c>
      <c r="AO289" s="4">
        <v>99</v>
      </c>
      <c r="AP289" s="4">
        <v>43230000</v>
      </c>
    </row>
    <row r="290" spans="1:42" x14ac:dyDescent="0.25">
      <c r="A290" s="3">
        <v>4604705</v>
      </c>
      <c r="B290" s="3" t="s">
        <v>1272</v>
      </c>
      <c r="C290" s="3" t="s">
        <v>1042</v>
      </c>
      <c r="D290" s="3">
        <v>10003002</v>
      </c>
      <c r="E290" s="4">
        <v>4534056</v>
      </c>
      <c r="F290" s="3" t="s">
        <v>49</v>
      </c>
      <c r="G290" s="4" t="s">
        <v>1273</v>
      </c>
      <c r="H290" s="4" t="s">
        <v>1274</v>
      </c>
      <c r="I290" s="5">
        <v>19738418.68</v>
      </c>
      <c r="J290" s="3" t="s">
        <v>1275</v>
      </c>
      <c r="K290" s="3" t="s">
        <v>1276</v>
      </c>
      <c r="L290" s="3" t="s">
        <v>1115</v>
      </c>
      <c r="M290" s="4" t="s">
        <v>1274</v>
      </c>
      <c r="N290" s="3" t="s">
        <v>25</v>
      </c>
      <c r="Y290" s="4" t="s">
        <v>1079</v>
      </c>
      <c r="Z290" s="4" t="s">
        <v>540</v>
      </c>
      <c r="AD290" s="3" t="s">
        <v>441</v>
      </c>
      <c r="AE290" s="3">
        <v>1000</v>
      </c>
      <c r="AI290" s="4" t="s">
        <v>1083</v>
      </c>
      <c r="AJ290" s="4" t="s">
        <v>542</v>
      </c>
      <c r="AL290" s="4">
        <v>141802</v>
      </c>
      <c r="AM290" s="5">
        <v>19738418.68</v>
      </c>
      <c r="AN290" s="4" t="s">
        <v>124</v>
      </c>
      <c r="AO290" s="4">
        <v>99</v>
      </c>
    </row>
    <row r="291" spans="1:42" x14ac:dyDescent="0.25">
      <c r="A291" s="3">
        <v>4604309</v>
      </c>
      <c r="B291" s="3" t="s">
        <v>1277</v>
      </c>
      <c r="C291" s="3" t="s">
        <v>1278</v>
      </c>
      <c r="D291" s="3">
        <v>10004082</v>
      </c>
      <c r="E291" s="4">
        <v>4533660</v>
      </c>
      <c r="F291" s="3" t="s">
        <v>49</v>
      </c>
      <c r="G291" s="4" t="s">
        <v>1279</v>
      </c>
      <c r="I291" s="5">
        <v>5500</v>
      </c>
      <c r="J291" s="3" t="s">
        <v>230</v>
      </c>
      <c r="K291" s="3" t="s">
        <v>807</v>
      </c>
      <c r="L291" s="3" t="s">
        <v>196</v>
      </c>
      <c r="M291" s="4" t="s">
        <v>1280</v>
      </c>
      <c r="N291" s="3" t="s">
        <v>25</v>
      </c>
      <c r="Y291" s="4" t="s">
        <v>604</v>
      </c>
      <c r="Z291" s="4" t="s">
        <v>1090</v>
      </c>
      <c r="AD291" s="3" t="s">
        <v>1277</v>
      </c>
      <c r="AE291" s="3">
        <v>1000</v>
      </c>
      <c r="AI291" s="4" t="s">
        <v>608</v>
      </c>
      <c r="AJ291" s="4" t="s">
        <v>1091</v>
      </c>
      <c r="AL291" s="4">
        <v>46318</v>
      </c>
      <c r="AM291" s="5">
        <v>5500</v>
      </c>
      <c r="AN291" s="4" t="s">
        <v>124</v>
      </c>
    </row>
    <row r="292" spans="1:42" x14ac:dyDescent="0.25">
      <c r="A292" s="3">
        <v>4604315</v>
      </c>
      <c r="B292" s="3" t="s">
        <v>492</v>
      </c>
      <c r="C292" s="3" t="s">
        <v>1278</v>
      </c>
      <c r="D292" s="3">
        <v>10004089</v>
      </c>
      <c r="E292" s="4">
        <v>4533666</v>
      </c>
      <c r="F292" s="3" t="s">
        <v>49</v>
      </c>
      <c r="G292" s="4" t="s">
        <v>1174</v>
      </c>
      <c r="H292" s="4" t="s">
        <v>1281</v>
      </c>
      <c r="I292" s="5">
        <v>8897</v>
      </c>
      <c r="J292" s="3" t="s">
        <v>1282</v>
      </c>
      <c r="K292" s="3" t="s">
        <v>137</v>
      </c>
      <c r="L292" s="3" t="s">
        <v>119</v>
      </c>
      <c r="M292" s="4" t="s">
        <v>1283</v>
      </c>
      <c r="N292" s="3" t="s">
        <v>56</v>
      </c>
      <c r="O292" s="3" t="s">
        <v>139</v>
      </c>
      <c r="P292" s="4" t="s">
        <v>140</v>
      </c>
      <c r="Y292" s="4" t="s">
        <v>260</v>
      </c>
      <c r="Z292" s="4" t="s">
        <v>38</v>
      </c>
      <c r="AA292" s="4" t="s">
        <v>1284</v>
      </c>
      <c r="AB292" s="3" t="s">
        <v>1285</v>
      </c>
      <c r="AC292" s="3" t="s">
        <v>1286</v>
      </c>
      <c r="AD292" s="3" t="s">
        <v>492</v>
      </c>
      <c r="AE292" s="3">
        <v>1000</v>
      </c>
      <c r="AI292" s="4" t="s">
        <v>261</v>
      </c>
      <c r="AJ292" s="4" t="s">
        <v>40</v>
      </c>
      <c r="AK292" s="3" t="s">
        <v>143</v>
      </c>
      <c r="AL292" s="4">
        <v>42811</v>
      </c>
      <c r="AM292" s="5">
        <v>8897</v>
      </c>
      <c r="AN292" s="4" t="s">
        <v>124</v>
      </c>
      <c r="AO292" s="4">
        <v>99</v>
      </c>
      <c r="AP292" s="4">
        <v>80100000</v>
      </c>
    </row>
    <row r="293" spans="1:42" x14ac:dyDescent="0.25">
      <c r="A293" s="3">
        <v>4604316</v>
      </c>
      <c r="B293" s="3" t="s">
        <v>1282</v>
      </c>
      <c r="C293" s="3" t="s">
        <v>1278</v>
      </c>
      <c r="D293" s="3">
        <v>10004089</v>
      </c>
      <c r="E293" s="4">
        <v>4533667</v>
      </c>
      <c r="F293" s="3" t="s">
        <v>49</v>
      </c>
      <c r="G293" s="4" t="s">
        <v>1174</v>
      </c>
      <c r="H293" s="4" t="s">
        <v>1287</v>
      </c>
      <c r="I293" s="5">
        <v>15252</v>
      </c>
      <c r="J293" s="3" t="s">
        <v>1282</v>
      </c>
      <c r="K293" s="3" t="s">
        <v>137</v>
      </c>
      <c r="L293" s="3" t="s">
        <v>119</v>
      </c>
      <c r="M293" s="4" t="s">
        <v>1287</v>
      </c>
      <c r="N293" s="3" t="s">
        <v>56</v>
      </c>
      <c r="O293" s="3" t="s">
        <v>139</v>
      </c>
      <c r="P293" s="4" t="s">
        <v>140</v>
      </c>
      <c r="Y293" s="4" t="s">
        <v>38</v>
      </c>
      <c r="Z293" s="4" t="s">
        <v>38</v>
      </c>
      <c r="AA293" s="4" t="s">
        <v>1284</v>
      </c>
      <c r="AB293" s="3" t="s">
        <v>1285</v>
      </c>
      <c r="AC293" s="3" t="s">
        <v>1286</v>
      </c>
      <c r="AD293" s="3" t="s">
        <v>847</v>
      </c>
      <c r="AE293" s="3">
        <v>1000</v>
      </c>
      <c r="AI293" s="4" t="s">
        <v>40</v>
      </c>
      <c r="AJ293" s="4" t="s">
        <v>40</v>
      </c>
      <c r="AK293" s="3" t="s">
        <v>143</v>
      </c>
      <c r="AL293" s="4">
        <v>42811</v>
      </c>
      <c r="AM293" s="5">
        <v>15252</v>
      </c>
      <c r="AN293" s="4" t="s">
        <v>124</v>
      </c>
      <c r="AO293" s="4">
        <v>99</v>
      </c>
      <c r="AP293" s="4">
        <v>80100000</v>
      </c>
    </row>
    <row r="294" spans="1:42" x14ac:dyDescent="0.25">
      <c r="A294" s="3">
        <v>4604325</v>
      </c>
      <c r="B294" s="3" t="s">
        <v>230</v>
      </c>
      <c r="C294" s="3" t="s">
        <v>1278</v>
      </c>
      <c r="D294" s="3">
        <v>10004095</v>
      </c>
      <c r="E294" s="4">
        <v>4533676</v>
      </c>
      <c r="F294" s="3" t="s">
        <v>49</v>
      </c>
      <c r="G294" s="4" t="s">
        <v>1288</v>
      </c>
      <c r="H294" s="4" t="s">
        <v>1289</v>
      </c>
      <c r="I294" s="5">
        <v>99975.27</v>
      </c>
      <c r="J294" s="3" t="s">
        <v>230</v>
      </c>
      <c r="K294" s="3" t="s">
        <v>807</v>
      </c>
      <c r="L294" s="3" t="s">
        <v>196</v>
      </c>
      <c r="M294" s="4" t="s">
        <v>1290</v>
      </c>
      <c r="N294" s="3" t="s">
        <v>25</v>
      </c>
      <c r="Y294" s="4" t="s">
        <v>1048</v>
      </c>
      <c r="Z294" s="4" t="s">
        <v>1048</v>
      </c>
      <c r="AD294" s="3" t="s">
        <v>1291</v>
      </c>
      <c r="AE294" s="3">
        <v>1000</v>
      </c>
      <c r="AI294" s="4" t="s">
        <v>1051</v>
      </c>
      <c r="AJ294" s="4" t="s">
        <v>1051</v>
      </c>
      <c r="AL294" s="4">
        <v>40217</v>
      </c>
      <c r="AM294" s="5">
        <v>99975.27</v>
      </c>
      <c r="AN294" s="4" t="s">
        <v>124</v>
      </c>
      <c r="AO294" s="4">
        <v>99</v>
      </c>
      <c r="AP294" s="4">
        <v>81112200</v>
      </c>
    </row>
    <row r="295" spans="1:42" x14ac:dyDescent="0.25">
      <c r="A295" s="3">
        <v>4604329</v>
      </c>
      <c r="B295" s="3" t="s">
        <v>1292</v>
      </c>
      <c r="C295" s="3" t="s">
        <v>1278</v>
      </c>
      <c r="D295" s="3">
        <v>10004104</v>
      </c>
      <c r="E295" s="4">
        <v>4533680</v>
      </c>
      <c r="F295" s="3" t="s">
        <v>49</v>
      </c>
      <c r="G295" s="4" t="s">
        <v>1293</v>
      </c>
      <c r="H295" s="4" t="s">
        <v>1294</v>
      </c>
      <c r="I295" s="5">
        <v>44661.93</v>
      </c>
      <c r="J295" s="3" t="s">
        <v>1292</v>
      </c>
      <c r="K295" s="3" t="s">
        <v>807</v>
      </c>
      <c r="L295" s="3" t="s">
        <v>196</v>
      </c>
      <c r="M295" s="4" t="s">
        <v>1295</v>
      </c>
      <c r="N295" s="3" t="s">
        <v>25</v>
      </c>
      <c r="Y295" s="4" t="s">
        <v>1056</v>
      </c>
      <c r="Z295" s="4" t="s">
        <v>1090</v>
      </c>
      <c r="AD295" s="3" t="s">
        <v>1292</v>
      </c>
      <c r="AE295" s="3">
        <v>1000</v>
      </c>
      <c r="AI295" s="4" t="s">
        <v>1058</v>
      </c>
      <c r="AJ295" s="4" t="s">
        <v>1091</v>
      </c>
      <c r="AL295" s="4">
        <v>40424</v>
      </c>
      <c r="AM295" s="5">
        <v>44661.93</v>
      </c>
      <c r="AN295" s="4" t="s">
        <v>124</v>
      </c>
      <c r="AO295" s="4">
        <v>99</v>
      </c>
      <c r="AP295" s="4">
        <v>43230000</v>
      </c>
    </row>
    <row r="296" spans="1:42" x14ac:dyDescent="0.25">
      <c r="A296" s="3">
        <v>4604340</v>
      </c>
      <c r="B296" s="3" t="s">
        <v>1296</v>
      </c>
      <c r="C296" s="3" t="s">
        <v>1278</v>
      </c>
      <c r="D296" s="3">
        <v>10004118</v>
      </c>
      <c r="E296" s="4">
        <v>4533691</v>
      </c>
      <c r="F296" s="3" t="s">
        <v>49</v>
      </c>
      <c r="G296" s="4" t="s">
        <v>1245</v>
      </c>
      <c r="I296" s="5">
        <v>2439.8000000000002</v>
      </c>
      <c r="J296" s="3" t="s">
        <v>725</v>
      </c>
      <c r="K296" s="3" t="s">
        <v>728</v>
      </c>
      <c r="L296" s="3" t="s">
        <v>196</v>
      </c>
      <c r="M296" s="4" t="s">
        <v>1297</v>
      </c>
      <c r="N296" s="3" t="s">
        <v>25</v>
      </c>
      <c r="Y296" s="4" t="s">
        <v>1249</v>
      </c>
      <c r="Z296" s="4" t="s">
        <v>1090</v>
      </c>
      <c r="AD296" s="3" t="s">
        <v>1296</v>
      </c>
      <c r="AE296" s="3">
        <v>1000</v>
      </c>
      <c r="AI296" s="4" t="s">
        <v>1250</v>
      </c>
      <c r="AJ296" s="4" t="s">
        <v>1091</v>
      </c>
      <c r="AL296" s="4">
        <v>140158</v>
      </c>
      <c r="AM296" s="5">
        <v>2439.8000000000002</v>
      </c>
      <c r="AN296" s="4" t="s">
        <v>124</v>
      </c>
    </row>
    <row r="297" spans="1:42" x14ac:dyDescent="0.25">
      <c r="A297" s="3">
        <v>4604346</v>
      </c>
      <c r="B297" s="3" t="s">
        <v>1298</v>
      </c>
      <c r="C297" s="3" t="s">
        <v>1278</v>
      </c>
      <c r="D297" s="3">
        <v>10004120</v>
      </c>
      <c r="E297" s="4">
        <v>4533697</v>
      </c>
      <c r="F297" s="3" t="s">
        <v>49</v>
      </c>
      <c r="G297" s="4" t="s">
        <v>1299</v>
      </c>
      <c r="H297" s="4" t="s">
        <v>1300</v>
      </c>
      <c r="I297" s="5">
        <v>12900</v>
      </c>
      <c r="J297" s="3" t="s">
        <v>701</v>
      </c>
      <c r="K297" s="3" t="s">
        <v>321</v>
      </c>
      <c r="L297" s="3" t="s">
        <v>196</v>
      </c>
      <c r="M297" s="4" t="s">
        <v>1301</v>
      </c>
      <c r="N297" s="3" t="s">
        <v>25</v>
      </c>
      <c r="Y297" s="4" t="s">
        <v>1056</v>
      </c>
      <c r="Z297" s="4" t="s">
        <v>1090</v>
      </c>
      <c r="AD297" s="3" t="s">
        <v>1302</v>
      </c>
      <c r="AE297" s="3">
        <v>1000</v>
      </c>
      <c r="AI297" s="4" t="s">
        <v>1058</v>
      </c>
      <c r="AJ297" s="4" t="s">
        <v>1091</v>
      </c>
      <c r="AL297" s="4">
        <v>30951</v>
      </c>
      <c r="AM297" s="5">
        <v>12900</v>
      </c>
      <c r="AN297" s="4" t="s">
        <v>124</v>
      </c>
      <c r="AO297" s="4">
        <v>99</v>
      </c>
      <c r="AP297" s="4">
        <v>43222500</v>
      </c>
    </row>
    <row r="298" spans="1:42" x14ac:dyDescent="0.25">
      <c r="A298" s="3">
        <v>4604349</v>
      </c>
      <c r="B298" s="3" t="s">
        <v>1298</v>
      </c>
      <c r="C298" s="3" t="s">
        <v>1278</v>
      </c>
      <c r="D298" s="3">
        <v>10004130</v>
      </c>
      <c r="E298" s="4">
        <v>4533700</v>
      </c>
      <c r="F298" s="3" t="s">
        <v>49</v>
      </c>
      <c r="G298" s="4" t="s">
        <v>1303</v>
      </c>
      <c r="H298" s="4" t="s">
        <v>1304</v>
      </c>
      <c r="I298" s="5">
        <v>33137.5</v>
      </c>
      <c r="J298" s="3" t="s">
        <v>1298</v>
      </c>
      <c r="K298" s="3" t="s">
        <v>959</v>
      </c>
      <c r="L298" s="3" t="s">
        <v>196</v>
      </c>
      <c r="M298" s="4" t="s">
        <v>1304</v>
      </c>
      <c r="N298" s="3" t="s">
        <v>25</v>
      </c>
      <c r="Y298" s="4" t="s">
        <v>1305</v>
      </c>
      <c r="Z298" s="4" t="s">
        <v>1305</v>
      </c>
      <c r="AD298" s="3" t="s">
        <v>1302</v>
      </c>
      <c r="AE298" s="3">
        <v>1000</v>
      </c>
      <c r="AI298" s="4" t="s">
        <v>1306</v>
      </c>
      <c r="AJ298" s="4" t="s">
        <v>1306</v>
      </c>
      <c r="AL298" s="4">
        <v>141677</v>
      </c>
      <c r="AM298" s="5">
        <v>33137.5</v>
      </c>
      <c r="AN298" s="4" t="s">
        <v>124</v>
      </c>
      <c r="AO298" s="4">
        <v>99</v>
      </c>
      <c r="AP298" s="4">
        <v>43230000</v>
      </c>
    </row>
    <row r="299" spans="1:42" x14ac:dyDescent="0.25">
      <c r="A299" s="3">
        <v>4604356</v>
      </c>
      <c r="B299" s="3" t="s">
        <v>701</v>
      </c>
      <c r="C299" s="3" t="s">
        <v>1278</v>
      </c>
      <c r="D299" s="3">
        <v>10004072</v>
      </c>
      <c r="E299" s="4">
        <v>4533707</v>
      </c>
      <c r="F299" s="3" t="s">
        <v>49</v>
      </c>
      <c r="G299" s="4" t="s">
        <v>347</v>
      </c>
      <c r="H299" s="4" t="s">
        <v>1307</v>
      </c>
      <c r="I299" s="5">
        <v>975405.53</v>
      </c>
      <c r="J299" s="3" t="s">
        <v>1308</v>
      </c>
      <c r="K299" s="3" t="s">
        <v>1037</v>
      </c>
      <c r="L299" s="3" t="s">
        <v>119</v>
      </c>
      <c r="M299" s="4" t="s">
        <v>1307</v>
      </c>
      <c r="N299" s="3" t="s">
        <v>56</v>
      </c>
      <c r="Y299" s="4" t="s">
        <v>1309</v>
      </c>
      <c r="Z299" s="4" t="s">
        <v>1309</v>
      </c>
      <c r="AA299" s="4" t="s">
        <v>1310</v>
      </c>
      <c r="AB299" s="3" t="s">
        <v>1311</v>
      </c>
      <c r="AC299" s="3" t="s">
        <v>1312</v>
      </c>
      <c r="AD299" s="3" t="s">
        <v>265</v>
      </c>
      <c r="AE299" s="3">
        <v>1000</v>
      </c>
      <c r="AI299" s="4" t="s">
        <v>1313</v>
      </c>
      <c r="AJ299" s="4" t="s">
        <v>1313</v>
      </c>
      <c r="AL299" s="4">
        <v>40471</v>
      </c>
      <c r="AM299" s="5">
        <v>975405.53</v>
      </c>
      <c r="AN299" s="4" t="s">
        <v>124</v>
      </c>
      <c r="AO299" s="4">
        <v>99</v>
      </c>
      <c r="AP299" s="4">
        <v>82111900</v>
      </c>
    </row>
    <row r="300" spans="1:42" x14ac:dyDescent="0.25">
      <c r="A300" s="3">
        <v>4604390</v>
      </c>
      <c r="B300" s="3" t="s">
        <v>1314</v>
      </c>
      <c r="C300" s="3" t="s">
        <v>1278</v>
      </c>
      <c r="D300" s="3">
        <v>10004181</v>
      </c>
      <c r="E300" s="4">
        <v>4533741</v>
      </c>
      <c r="F300" s="3" t="s">
        <v>49</v>
      </c>
      <c r="G300" s="4" t="s">
        <v>174</v>
      </c>
      <c r="H300" s="4" t="s">
        <v>1315</v>
      </c>
      <c r="I300" s="5">
        <v>143615</v>
      </c>
      <c r="J300" s="3" t="s">
        <v>1314</v>
      </c>
      <c r="K300" s="3" t="s">
        <v>807</v>
      </c>
      <c r="L300" s="3" t="s">
        <v>119</v>
      </c>
      <c r="M300" s="4" t="s">
        <v>1316</v>
      </c>
      <c r="N300" s="3" t="s">
        <v>56</v>
      </c>
      <c r="Y300" s="4" t="s">
        <v>179</v>
      </c>
      <c r="Z300" s="4" t="s">
        <v>179</v>
      </c>
      <c r="AA300" s="4" t="s">
        <v>188</v>
      </c>
      <c r="AB300" s="3" t="s">
        <v>401</v>
      </c>
      <c r="AC300" s="3" t="s">
        <v>190</v>
      </c>
      <c r="AD300" s="3" t="s">
        <v>447</v>
      </c>
      <c r="AE300" s="3">
        <v>5000</v>
      </c>
      <c r="AI300" s="4" t="s">
        <v>182</v>
      </c>
      <c r="AJ300" s="4" t="s">
        <v>182</v>
      </c>
      <c r="AL300" s="4">
        <v>40476</v>
      </c>
      <c r="AM300" s="5">
        <v>143615</v>
      </c>
      <c r="AN300" s="4" t="s">
        <v>31</v>
      </c>
      <c r="AO300" s="4">
        <v>99</v>
      </c>
      <c r="AP300" s="4">
        <v>80111600</v>
      </c>
    </row>
    <row r="301" spans="1:42" x14ac:dyDescent="0.25">
      <c r="A301" s="3">
        <v>4604398</v>
      </c>
      <c r="B301" s="3" t="s">
        <v>287</v>
      </c>
      <c r="C301" s="3" t="s">
        <v>1278</v>
      </c>
      <c r="D301" s="3">
        <v>10004189</v>
      </c>
      <c r="E301" s="4">
        <v>4533749</v>
      </c>
      <c r="F301" s="3" t="s">
        <v>49</v>
      </c>
      <c r="G301" s="4" t="s">
        <v>318</v>
      </c>
      <c r="H301" s="4" t="s">
        <v>1317</v>
      </c>
      <c r="I301" s="5">
        <v>138038.87</v>
      </c>
      <c r="J301" s="3" t="s">
        <v>1318</v>
      </c>
      <c r="K301" s="3" t="s">
        <v>77</v>
      </c>
      <c r="L301" s="3" t="s">
        <v>119</v>
      </c>
      <c r="M301" s="4" t="s">
        <v>1319</v>
      </c>
      <c r="N301" s="3" t="s">
        <v>56</v>
      </c>
      <c r="Y301" s="4" t="s">
        <v>179</v>
      </c>
      <c r="Z301" s="4" t="s">
        <v>179</v>
      </c>
      <c r="AA301" s="4" t="s">
        <v>188</v>
      </c>
      <c r="AB301" s="3" t="s">
        <v>1320</v>
      </c>
      <c r="AC301" s="3" t="s">
        <v>190</v>
      </c>
      <c r="AD301" s="3" t="s">
        <v>77</v>
      </c>
      <c r="AE301" s="3">
        <v>5000</v>
      </c>
      <c r="AI301" s="4" t="s">
        <v>182</v>
      </c>
      <c r="AJ301" s="4" t="s">
        <v>182</v>
      </c>
      <c r="AL301" s="4">
        <v>141551</v>
      </c>
      <c r="AM301" s="5">
        <v>138038.87</v>
      </c>
      <c r="AN301" s="4" t="s">
        <v>31</v>
      </c>
      <c r="AO301" s="4">
        <v>98</v>
      </c>
      <c r="AP301" s="4">
        <v>80111600</v>
      </c>
    </row>
    <row r="302" spans="1:42" x14ac:dyDescent="0.25">
      <c r="A302" s="3">
        <v>4604434</v>
      </c>
      <c r="B302" s="3" t="s">
        <v>1052</v>
      </c>
      <c r="C302" s="3" t="s">
        <v>1278</v>
      </c>
      <c r="D302" s="3">
        <v>10004180</v>
      </c>
      <c r="E302" s="4">
        <v>4533785</v>
      </c>
      <c r="F302" s="3" t="s">
        <v>49</v>
      </c>
      <c r="G302" s="4" t="s">
        <v>1321</v>
      </c>
      <c r="H302" s="4" t="s">
        <v>1322</v>
      </c>
      <c r="I302" s="5">
        <v>62700</v>
      </c>
      <c r="J302" s="3" t="s">
        <v>1323</v>
      </c>
      <c r="K302" s="3" t="s">
        <v>1052</v>
      </c>
      <c r="L302" s="3" t="s">
        <v>119</v>
      </c>
      <c r="M302" s="4" t="s">
        <v>1322</v>
      </c>
      <c r="N302" s="3" t="s">
        <v>56</v>
      </c>
      <c r="Y302" s="4" t="s">
        <v>1309</v>
      </c>
      <c r="Z302" s="4" t="s">
        <v>1309</v>
      </c>
      <c r="AA302" s="4" t="s">
        <v>1324</v>
      </c>
      <c r="AB302" s="3" t="s">
        <v>1325</v>
      </c>
      <c r="AC302" s="3" t="s">
        <v>1326</v>
      </c>
      <c r="AD302" s="3" t="s">
        <v>577</v>
      </c>
      <c r="AE302" s="3">
        <v>1000</v>
      </c>
      <c r="AI302" s="4" t="s">
        <v>1313</v>
      </c>
      <c r="AJ302" s="4" t="s">
        <v>1313</v>
      </c>
      <c r="AL302" s="4">
        <v>140474</v>
      </c>
      <c r="AM302" s="5">
        <v>62700</v>
      </c>
      <c r="AN302" s="4" t="s">
        <v>124</v>
      </c>
      <c r="AO302" s="4">
        <v>99</v>
      </c>
      <c r="AP302" s="4">
        <v>83110000</v>
      </c>
    </row>
    <row r="303" spans="1:42" x14ac:dyDescent="0.25">
      <c r="A303" s="3">
        <v>4604447</v>
      </c>
      <c r="B303" s="3" t="s">
        <v>1327</v>
      </c>
      <c r="C303" s="3" t="s">
        <v>1278</v>
      </c>
      <c r="D303" s="3">
        <v>10004241</v>
      </c>
      <c r="E303" s="4">
        <v>4533798</v>
      </c>
      <c r="F303" s="3" t="s">
        <v>49</v>
      </c>
      <c r="G303" s="4" t="s">
        <v>174</v>
      </c>
      <c r="I303" s="5">
        <v>1466.68</v>
      </c>
      <c r="J303" s="3" t="s">
        <v>1327</v>
      </c>
      <c r="K303" s="3" t="s">
        <v>187</v>
      </c>
      <c r="L303" s="3" t="s">
        <v>119</v>
      </c>
      <c r="M303" s="4" t="s">
        <v>1328</v>
      </c>
      <c r="N303" s="3" t="s">
        <v>56</v>
      </c>
      <c r="Y303" s="4" t="s">
        <v>179</v>
      </c>
      <c r="Z303" s="4" t="s">
        <v>179</v>
      </c>
      <c r="AD303" s="3" t="s">
        <v>1327</v>
      </c>
      <c r="AE303" s="3">
        <v>1000</v>
      </c>
      <c r="AI303" s="4" t="s">
        <v>182</v>
      </c>
      <c r="AJ303" s="4" t="s">
        <v>182</v>
      </c>
      <c r="AL303" s="4">
        <v>40476</v>
      </c>
      <c r="AM303" s="5">
        <v>1466.68</v>
      </c>
      <c r="AN303" s="4" t="s">
        <v>124</v>
      </c>
    </row>
    <row r="304" spans="1:42" x14ac:dyDescent="0.25">
      <c r="A304" s="3">
        <v>4604449</v>
      </c>
      <c r="B304" s="3" t="s">
        <v>439</v>
      </c>
      <c r="C304" s="3" t="s">
        <v>1278</v>
      </c>
      <c r="D304" s="3">
        <v>10004242</v>
      </c>
      <c r="E304" s="4">
        <v>4533800</v>
      </c>
      <c r="F304" s="3" t="s">
        <v>49</v>
      </c>
      <c r="G304" s="4" t="s">
        <v>1329</v>
      </c>
      <c r="H304" s="4" t="s">
        <v>1330</v>
      </c>
      <c r="I304" s="5">
        <v>220200</v>
      </c>
      <c r="J304" s="3" t="s">
        <v>1331</v>
      </c>
      <c r="K304" s="3" t="s">
        <v>1332</v>
      </c>
      <c r="L304" s="3" t="s">
        <v>196</v>
      </c>
      <c r="M304" s="4" t="s">
        <v>1330</v>
      </c>
      <c r="N304" s="3" t="s">
        <v>25</v>
      </c>
      <c r="Y304" s="4" t="s">
        <v>1068</v>
      </c>
      <c r="Z304" s="4" t="s">
        <v>1090</v>
      </c>
      <c r="AD304" s="3" t="s">
        <v>1209</v>
      </c>
      <c r="AE304" s="3">
        <v>1000</v>
      </c>
      <c r="AI304" s="4" t="s">
        <v>1071</v>
      </c>
      <c r="AJ304" s="4" t="s">
        <v>1091</v>
      </c>
      <c r="AL304" s="4">
        <v>44881</v>
      </c>
      <c r="AM304" s="5">
        <v>220200</v>
      </c>
      <c r="AN304" s="4" t="s">
        <v>124</v>
      </c>
      <c r="AO304" s="4">
        <v>99</v>
      </c>
      <c r="AP304" s="4">
        <v>80131500</v>
      </c>
    </row>
    <row r="305" spans="1:42" x14ac:dyDescent="0.25">
      <c r="A305" s="3">
        <v>4604472</v>
      </c>
      <c r="B305" s="3" t="s">
        <v>1333</v>
      </c>
      <c r="C305" s="3" t="s">
        <v>1278</v>
      </c>
      <c r="D305" s="3">
        <v>10004264</v>
      </c>
      <c r="E305" s="4">
        <v>4533823</v>
      </c>
      <c r="F305" s="3" t="s">
        <v>49</v>
      </c>
      <c r="G305" s="4" t="s">
        <v>1334</v>
      </c>
      <c r="H305" s="4" t="s">
        <v>1334</v>
      </c>
      <c r="I305" s="5">
        <v>28000</v>
      </c>
      <c r="J305" s="3" t="s">
        <v>1335</v>
      </c>
      <c r="K305" s="3" t="s">
        <v>516</v>
      </c>
      <c r="L305" s="3" t="s">
        <v>196</v>
      </c>
      <c r="M305" s="4" t="s">
        <v>1334</v>
      </c>
      <c r="N305" s="3" t="s">
        <v>25</v>
      </c>
      <c r="Y305" s="4" t="s">
        <v>1336</v>
      </c>
      <c r="Z305" s="4" t="s">
        <v>1336</v>
      </c>
      <c r="AD305" s="3" t="s">
        <v>1333</v>
      </c>
      <c r="AE305" s="3">
        <v>1000</v>
      </c>
      <c r="AI305" s="4" t="s">
        <v>1337</v>
      </c>
      <c r="AJ305" s="4" t="s">
        <v>1337</v>
      </c>
      <c r="AL305" s="4">
        <v>141736</v>
      </c>
      <c r="AM305" s="5">
        <v>28000</v>
      </c>
      <c r="AN305" s="4" t="s">
        <v>124</v>
      </c>
      <c r="AO305" s="4">
        <v>99</v>
      </c>
      <c r="AP305" s="4">
        <v>86000000</v>
      </c>
    </row>
    <row r="306" spans="1:42" x14ac:dyDescent="0.25">
      <c r="A306" s="3">
        <v>4604489</v>
      </c>
      <c r="B306" s="3" t="s">
        <v>1084</v>
      </c>
      <c r="C306" s="3" t="s">
        <v>1278</v>
      </c>
      <c r="D306" s="3">
        <v>10004276</v>
      </c>
      <c r="E306" s="4">
        <v>4533840</v>
      </c>
      <c r="F306" s="3" t="s">
        <v>49</v>
      </c>
      <c r="G306" s="4" t="s">
        <v>1053</v>
      </c>
      <c r="H306" s="4" t="s">
        <v>1338</v>
      </c>
      <c r="I306" s="5">
        <v>786720</v>
      </c>
      <c r="J306" s="3" t="s">
        <v>1335</v>
      </c>
      <c r="K306" s="3" t="s">
        <v>77</v>
      </c>
      <c r="L306" s="3" t="s">
        <v>119</v>
      </c>
      <c r="M306" s="4" t="s">
        <v>1339</v>
      </c>
      <c r="N306" s="3" t="s">
        <v>56</v>
      </c>
      <c r="Y306" s="4" t="s">
        <v>1056</v>
      </c>
      <c r="Z306" s="4" t="s">
        <v>1090</v>
      </c>
      <c r="AA306" s="4" t="s">
        <v>1057</v>
      </c>
      <c r="AB306" s="3" t="s">
        <v>1057</v>
      </c>
      <c r="AC306" s="3" t="s">
        <v>1340</v>
      </c>
      <c r="AD306" s="3" t="s">
        <v>1179</v>
      </c>
      <c r="AE306" s="3">
        <v>1000</v>
      </c>
      <c r="AI306" s="4" t="s">
        <v>1058</v>
      </c>
      <c r="AJ306" s="4" t="s">
        <v>1091</v>
      </c>
      <c r="AL306" s="4">
        <v>140248</v>
      </c>
      <c r="AM306" s="5">
        <v>786720</v>
      </c>
      <c r="AN306" s="4" t="s">
        <v>124</v>
      </c>
      <c r="AO306" s="4">
        <v>97</v>
      </c>
      <c r="AP306" s="4">
        <v>81111500</v>
      </c>
    </row>
    <row r="307" spans="1:42" x14ac:dyDescent="0.25">
      <c r="A307" s="3">
        <v>4604500</v>
      </c>
      <c r="B307" s="3" t="s">
        <v>744</v>
      </c>
      <c r="C307" s="3" t="s">
        <v>1278</v>
      </c>
      <c r="D307" s="3">
        <v>10004280</v>
      </c>
      <c r="E307" s="4">
        <v>4533851</v>
      </c>
      <c r="F307" s="3" t="s">
        <v>49</v>
      </c>
      <c r="G307" s="4" t="s">
        <v>1341</v>
      </c>
      <c r="H307" s="4" t="s">
        <v>1342</v>
      </c>
      <c r="I307" s="5">
        <v>47000</v>
      </c>
      <c r="J307" s="3" t="s">
        <v>744</v>
      </c>
      <c r="K307" s="3" t="s">
        <v>997</v>
      </c>
      <c r="L307" s="3" t="s">
        <v>119</v>
      </c>
      <c r="M307" s="4" t="s">
        <v>1343</v>
      </c>
      <c r="N307" s="3" t="s">
        <v>56</v>
      </c>
      <c r="Y307" s="4" t="s">
        <v>1344</v>
      </c>
      <c r="Z307" s="4" t="s">
        <v>1344</v>
      </c>
      <c r="AA307" s="4" t="s">
        <v>1284</v>
      </c>
      <c r="AB307" s="3" t="s">
        <v>1345</v>
      </c>
      <c r="AC307" s="3" t="s">
        <v>1286</v>
      </c>
      <c r="AD307" s="3" t="s">
        <v>183</v>
      </c>
      <c r="AE307" s="3">
        <v>1000</v>
      </c>
      <c r="AI307" s="4" t="s">
        <v>1346</v>
      </c>
      <c r="AJ307" s="4" t="s">
        <v>1346</v>
      </c>
      <c r="AL307" s="4">
        <v>141743</v>
      </c>
      <c r="AM307" s="5">
        <v>47000</v>
      </c>
      <c r="AN307" s="4" t="s">
        <v>124</v>
      </c>
      <c r="AO307" s="4">
        <v>98</v>
      </c>
      <c r="AP307" s="4">
        <v>84111500</v>
      </c>
    </row>
    <row r="308" spans="1:42" x14ac:dyDescent="0.25">
      <c r="A308" s="3">
        <v>4604508</v>
      </c>
      <c r="B308" s="3" t="s">
        <v>818</v>
      </c>
      <c r="C308" s="3" t="s">
        <v>1278</v>
      </c>
      <c r="D308" s="3">
        <v>10004293</v>
      </c>
      <c r="E308" s="4">
        <v>4533859</v>
      </c>
      <c r="F308" s="3" t="s">
        <v>49</v>
      </c>
      <c r="G308" s="4" t="s">
        <v>1347</v>
      </c>
      <c r="H308" s="4" t="s">
        <v>1348</v>
      </c>
      <c r="I308" s="5">
        <v>57800</v>
      </c>
      <c r="J308" s="3" t="s">
        <v>598</v>
      </c>
      <c r="K308" s="3" t="s">
        <v>832</v>
      </c>
      <c r="L308" s="3" t="s">
        <v>196</v>
      </c>
      <c r="M308" s="4" t="s">
        <v>1349</v>
      </c>
      <c r="N308" s="3" t="s">
        <v>25</v>
      </c>
      <c r="Y308" s="4" t="s">
        <v>1350</v>
      </c>
      <c r="Z308" s="4" t="s">
        <v>1090</v>
      </c>
      <c r="AD308" s="3" t="s">
        <v>1351</v>
      </c>
      <c r="AE308" s="3">
        <v>1000</v>
      </c>
      <c r="AI308" s="4" t="s">
        <v>1352</v>
      </c>
      <c r="AJ308" s="4" t="s">
        <v>1091</v>
      </c>
      <c r="AL308" s="4">
        <v>141643</v>
      </c>
      <c r="AM308" s="5">
        <v>57800</v>
      </c>
      <c r="AN308" s="4" t="s">
        <v>124</v>
      </c>
      <c r="AO308" s="4">
        <v>98</v>
      </c>
      <c r="AP308" s="4">
        <v>80101504</v>
      </c>
    </row>
    <row r="309" spans="1:42" x14ac:dyDescent="0.25">
      <c r="A309" s="3">
        <v>4604521</v>
      </c>
      <c r="B309" s="3" t="s">
        <v>750</v>
      </c>
      <c r="C309" s="3" t="s">
        <v>1278</v>
      </c>
      <c r="D309" s="3">
        <v>10004314</v>
      </c>
      <c r="E309" s="4">
        <v>4533872</v>
      </c>
      <c r="F309" s="3" t="s">
        <v>49</v>
      </c>
      <c r="G309" s="4" t="s">
        <v>1353</v>
      </c>
      <c r="H309" s="4" t="s">
        <v>1354</v>
      </c>
      <c r="I309" s="5">
        <v>49106</v>
      </c>
      <c r="J309" s="3" t="s">
        <v>76</v>
      </c>
      <c r="K309" s="3" t="s">
        <v>77</v>
      </c>
      <c r="L309" s="3" t="s">
        <v>119</v>
      </c>
      <c r="M309" s="4" t="s">
        <v>1354</v>
      </c>
      <c r="N309" s="3" t="s">
        <v>56</v>
      </c>
      <c r="Y309" s="4" t="s">
        <v>466</v>
      </c>
      <c r="Z309" s="4" t="s">
        <v>466</v>
      </c>
      <c r="AA309" s="4" t="s">
        <v>1324</v>
      </c>
      <c r="AB309" s="3" t="s">
        <v>1355</v>
      </c>
      <c r="AC309" s="3" t="s">
        <v>1326</v>
      </c>
      <c r="AD309" s="3" t="s">
        <v>1356</v>
      </c>
      <c r="AE309" s="3">
        <v>1000</v>
      </c>
      <c r="AI309" s="4" t="s">
        <v>468</v>
      </c>
      <c r="AJ309" s="4" t="s">
        <v>468</v>
      </c>
      <c r="AL309" s="4">
        <v>140449</v>
      </c>
      <c r="AM309" s="5">
        <v>49106</v>
      </c>
      <c r="AN309" s="4" t="s">
        <v>124</v>
      </c>
      <c r="AO309" s="4">
        <v>99</v>
      </c>
      <c r="AP309" s="4">
        <v>43230000</v>
      </c>
    </row>
    <row r="310" spans="1:42" x14ac:dyDescent="0.25">
      <c r="A310" s="3">
        <v>4604522</v>
      </c>
      <c r="B310" s="3" t="s">
        <v>750</v>
      </c>
      <c r="C310" s="3" t="s">
        <v>1278</v>
      </c>
      <c r="D310" s="3">
        <v>10004314</v>
      </c>
      <c r="E310" s="4">
        <v>4533873</v>
      </c>
      <c r="F310" s="3" t="s">
        <v>49</v>
      </c>
      <c r="G310" s="4" t="s">
        <v>1357</v>
      </c>
      <c r="H310" s="4" t="s">
        <v>1358</v>
      </c>
      <c r="I310" s="5">
        <v>22000</v>
      </c>
      <c r="J310" s="3" t="s">
        <v>76</v>
      </c>
      <c r="K310" s="3" t="s">
        <v>77</v>
      </c>
      <c r="L310" s="3" t="s">
        <v>119</v>
      </c>
      <c r="M310" s="4" t="s">
        <v>1358</v>
      </c>
      <c r="N310" s="3" t="s">
        <v>56</v>
      </c>
      <c r="Y310" s="4" t="s">
        <v>466</v>
      </c>
      <c r="Z310" s="4" t="s">
        <v>466</v>
      </c>
      <c r="AA310" s="4" t="s">
        <v>1324</v>
      </c>
      <c r="AB310" s="3" t="s">
        <v>1359</v>
      </c>
      <c r="AC310" s="3" t="s">
        <v>1326</v>
      </c>
      <c r="AD310" s="3" t="s">
        <v>1356</v>
      </c>
      <c r="AE310" s="3">
        <v>1000</v>
      </c>
      <c r="AI310" s="4" t="s">
        <v>468</v>
      </c>
      <c r="AJ310" s="4" t="s">
        <v>468</v>
      </c>
      <c r="AL310" s="4">
        <v>49941</v>
      </c>
      <c r="AM310" s="5">
        <v>22000</v>
      </c>
      <c r="AN310" s="4" t="s">
        <v>124</v>
      </c>
      <c r="AO310" s="4">
        <v>99</v>
      </c>
      <c r="AP310" s="4">
        <v>43230000</v>
      </c>
    </row>
    <row r="311" spans="1:42" x14ac:dyDescent="0.25">
      <c r="A311" s="3">
        <v>4604523</v>
      </c>
      <c r="B311" s="3" t="s">
        <v>750</v>
      </c>
      <c r="C311" s="3" t="s">
        <v>1278</v>
      </c>
      <c r="D311" s="3">
        <v>10004314</v>
      </c>
      <c r="E311" s="4">
        <v>4533874</v>
      </c>
      <c r="F311" s="3" t="s">
        <v>49</v>
      </c>
      <c r="G311" s="4" t="s">
        <v>1360</v>
      </c>
      <c r="H311" s="4" t="s">
        <v>1361</v>
      </c>
      <c r="I311" s="5">
        <v>201300</v>
      </c>
      <c r="J311" s="3" t="s">
        <v>76</v>
      </c>
      <c r="K311" s="3" t="s">
        <v>77</v>
      </c>
      <c r="L311" s="3" t="s">
        <v>119</v>
      </c>
      <c r="M311" s="4" t="s">
        <v>1362</v>
      </c>
      <c r="N311" s="3" t="s">
        <v>56</v>
      </c>
      <c r="Y311" s="4" t="s">
        <v>466</v>
      </c>
      <c r="Z311" s="4" t="s">
        <v>466</v>
      </c>
      <c r="AA311" s="4" t="s">
        <v>1324</v>
      </c>
      <c r="AB311" s="3" t="s">
        <v>1363</v>
      </c>
      <c r="AC311" s="3" t="s">
        <v>1326</v>
      </c>
      <c r="AD311" s="3" t="s">
        <v>1356</v>
      </c>
      <c r="AE311" s="3">
        <v>1000</v>
      </c>
      <c r="AI311" s="4" t="s">
        <v>468</v>
      </c>
      <c r="AJ311" s="4" t="s">
        <v>468</v>
      </c>
      <c r="AL311" s="4">
        <v>49879</v>
      </c>
      <c r="AM311" s="5">
        <v>201300</v>
      </c>
      <c r="AN311" s="4" t="s">
        <v>124</v>
      </c>
      <c r="AO311" s="4">
        <v>99</v>
      </c>
      <c r="AP311" s="4">
        <v>43230000</v>
      </c>
    </row>
    <row r="312" spans="1:42" x14ac:dyDescent="0.25">
      <c r="A312" s="3">
        <v>4604524</v>
      </c>
      <c r="B312" s="3" t="s">
        <v>750</v>
      </c>
      <c r="C312" s="3" t="s">
        <v>1278</v>
      </c>
      <c r="D312" s="3">
        <v>10004314</v>
      </c>
      <c r="E312" s="4">
        <v>4533875</v>
      </c>
      <c r="F312" s="3" t="s">
        <v>49</v>
      </c>
      <c r="G312" s="4" t="s">
        <v>1353</v>
      </c>
      <c r="H312" s="4" t="s">
        <v>1364</v>
      </c>
      <c r="I312" s="5">
        <v>21780</v>
      </c>
      <c r="J312" s="3" t="s">
        <v>76</v>
      </c>
      <c r="K312" s="3" t="s">
        <v>77</v>
      </c>
      <c r="L312" s="3" t="s">
        <v>119</v>
      </c>
      <c r="M312" s="4" t="s">
        <v>1364</v>
      </c>
      <c r="N312" s="3" t="s">
        <v>56</v>
      </c>
      <c r="Y312" s="4" t="s">
        <v>466</v>
      </c>
      <c r="Z312" s="4" t="s">
        <v>466</v>
      </c>
      <c r="AA312" s="4" t="s">
        <v>1324</v>
      </c>
      <c r="AB312" s="3" t="s">
        <v>1355</v>
      </c>
      <c r="AC312" s="3" t="s">
        <v>1326</v>
      </c>
      <c r="AD312" s="3" t="s">
        <v>1356</v>
      </c>
      <c r="AE312" s="3">
        <v>1000</v>
      </c>
      <c r="AI312" s="4" t="s">
        <v>468</v>
      </c>
      <c r="AJ312" s="4" t="s">
        <v>468</v>
      </c>
      <c r="AL312" s="4">
        <v>140449</v>
      </c>
      <c r="AM312" s="5">
        <v>21780</v>
      </c>
      <c r="AN312" s="4" t="s">
        <v>124</v>
      </c>
      <c r="AO312" s="4">
        <v>99</v>
      </c>
      <c r="AP312" s="4">
        <v>43230000</v>
      </c>
    </row>
    <row r="313" spans="1:42" x14ac:dyDescent="0.25">
      <c r="A313" s="3">
        <v>4604525</v>
      </c>
      <c r="B313" s="3" t="s">
        <v>750</v>
      </c>
      <c r="C313" s="3" t="s">
        <v>1278</v>
      </c>
      <c r="D313" s="3">
        <v>10004314</v>
      </c>
      <c r="E313" s="4">
        <v>4533876</v>
      </c>
      <c r="F313" s="3" t="s">
        <v>49</v>
      </c>
      <c r="G313" s="4" t="s">
        <v>1365</v>
      </c>
      <c r="H313" s="4" t="s">
        <v>1366</v>
      </c>
      <c r="I313" s="5">
        <v>45760</v>
      </c>
      <c r="J313" s="3" t="s">
        <v>76</v>
      </c>
      <c r="K313" s="3" t="s">
        <v>77</v>
      </c>
      <c r="L313" s="3" t="s">
        <v>119</v>
      </c>
      <c r="M313" s="4" t="s">
        <v>1366</v>
      </c>
      <c r="N313" s="3" t="s">
        <v>56</v>
      </c>
      <c r="Y313" s="4" t="s">
        <v>466</v>
      </c>
      <c r="Z313" s="4" t="s">
        <v>466</v>
      </c>
      <c r="AA313" s="4" t="s">
        <v>1367</v>
      </c>
      <c r="AB313" s="3" t="s">
        <v>1367</v>
      </c>
      <c r="AC313" s="3" t="s">
        <v>1368</v>
      </c>
      <c r="AD313" s="3" t="s">
        <v>1356</v>
      </c>
      <c r="AE313" s="3">
        <v>1000</v>
      </c>
      <c r="AI313" s="4" t="s">
        <v>468</v>
      </c>
      <c r="AJ313" s="4" t="s">
        <v>468</v>
      </c>
      <c r="AL313" s="4">
        <v>140286</v>
      </c>
      <c r="AM313" s="5">
        <v>45760</v>
      </c>
      <c r="AN313" s="4" t="s">
        <v>124</v>
      </c>
      <c r="AO313" s="4">
        <v>99</v>
      </c>
      <c r="AP313" s="4">
        <v>43230000</v>
      </c>
    </row>
    <row r="314" spans="1:42" x14ac:dyDescent="0.25">
      <c r="A314" s="3">
        <v>4604526</v>
      </c>
      <c r="B314" s="3" t="s">
        <v>750</v>
      </c>
      <c r="C314" s="3" t="s">
        <v>1278</v>
      </c>
      <c r="D314" s="3">
        <v>10004314</v>
      </c>
      <c r="E314" s="4">
        <v>4533877</v>
      </c>
      <c r="F314" s="3" t="s">
        <v>49</v>
      </c>
      <c r="G314" s="4" t="s">
        <v>1353</v>
      </c>
      <c r="H314" s="4" t="s">
        <v>1369</v>
      </c>
      <c r="I314" s="5">
        <v>138228</v>
      </c>
      <c r="J314" s="3" t="s">
        <v>76</v>
      </c>
      <c r="K314" s="3" t="s">
        <v>77</v>
      </c>
      <c r="L314" s="3" t="s">
        <v>119</v>
      </c>
      <c r="M314" s="4" t="s">
        <v>1369</v>
      </c>
      <c r="N314" s="3" t="s">
        <v>56</v>
      </c>
      <c r="Y314" s="4" t="s">
        <v>466</v>
      </c>
      <c r="Z314" s="4" t="s">
        <v>466</v>
      </c>
      <c r="AA314" s="4" t="s">
        <v>1324</v>
      </c>
      <c r="AB314" s="3" t="s">
        <v>1355</v>
      </c>
      <c r="AC314" s="3" t="s">
        <v>1326</v>
      </c>
      <c r="AD314" s="3" t="s">
        <v>1356</v>
      </c>
      <c r="AE314" s="3">
        <v>1000</v>
      </c>
      <c r="AI314" s="4" t="s">
        <v>468</v>
      </c>
      <c r="AJ314" s="4" t="s">
        <v>468</v>
      </c>
      <c r="AL314" s="4">
        <v>140449</v>
      </c>
      <c r="AM314" s="5">
        <v>138228</v>
      </c>
      <c r="AN314" s="4" t="s">
        <v>124</v>
      </c>
      <c r="AO314" s="4">
        <v>99</v>
      </c>
      <c r="AP314" s="4">
        <v>43230000</v>
      </c>
    </row>
    <row r="315" spans="1:42" x14ac:dyDescent="0.25">
      <c r="A315" s="3">
        <v>4604527</v>
      </c>
      <c r="B315" s="3" t="s">
        <v>750</v>
      </c>
      <c r="C315" s="3" t="s">
        <v>1278</v>
      </c>
      <c r="D315" s="3">
        <v>10004314</v>
      </c>
      <c r="E315" s="4">
        <v>4533878</v>
      </c>
      <c r="F315" s="3" t="s">
        <v>49</v>
      </c>
      <c r="G315" s="4" t="s">
        <v>1370</v>
      </c>
      <c r="H315" s="4" t="s">
        <v>1371</v>
      </c>
      <c r="I315" s="5">
        <v>135930</v>
      </c>
      <c r="J315" s="3" t="s">
        <v>76</v>
      </c>
      <c r="K315" s="3" t="s">
        <v>77</v>
      </c>
      <c r="L315" s="3" t="s">
        <v>119</v>
      </c>
      <c r="M315" s="4" t="s">
        <v>1371</v>
      </c>
      <c r="N315" s="3" t="s">
        <v>56</v>
      </c>
      <c r="Y315" s="4" t="s">
        <v>466</v>
      </c>
      <c r="Z315" s="4" t="s">
        <v>466</v>
      </c>
      <c r="AA315" s="4" t="s">
        <v>1324</v>
      </c>
      <c r="AB315" s="3" t="s">
        <v>1372</v>
      </c>
      <c r="AC315" s="3" t="s">
        <v>1326</v>
      </c>
      <c r="AD315" s="3" t="s">
        <v>1373</v>
      </c>
      <c r="AE315" s="3">
        <v>1000</v>
      </c>
      <c r="AI315" s="4" t="s">
        <v>468</v>
      </c>
      <c r="AJ315" s="4" t="s">
        <v>468</v>
      </c>
      <c r="AL315" s="4">
        <v>140443</v>
      </c>
      <c r="AM315" s="5">
        <v>135930</v>
      </c>
      <c r="AN315" s="4" t="s">
        <v>124</v>
      </c>
      <c r="AO315" s="4">
        <v>99</v>
      </c>
      <c r="AP315" s="4">
        <v>43230000</v>
      </c>
    </row>
    <row r="316" spans="1:42" x14ac:dyDescent="0.25">
      <c r="A316" s="3">
        <v>4604528</v>
      </c>
      <c r="B316" s="3" t="s">
        <v>750</v>
      </c>
      <c r="C316" s="3" t="s">
        <v>1278</v>
      </c>
      <c r="D316" s="3">
        <v>10004314</v>
      </c>
      <c r="E316" s="4">
        <v>4533879</v>
      </c>
      <c r="F316" s="3" t="s">
        <v>49</v>
      </c>
      <c r="G316" s="4" t="s">
        <v>1374</v>
      </c>
      <c r="H316" s="4" t="s">
        <v>1375</v>
      </c>
      <c r="I316" s="5">
        <v>55000</v>
      </c>
      <c r="J316" s="3" t="s">
        <v>76</v>
      </c>
      <c r="K316" s="3" t="s">
        <v>77</v>
      </c>
      <c r="L316" s="3" t="s">
        <v>119</v>
      </c>
      <c r="M316" s="4" t="s">
        <v>1376</v>
      </c>
      <c r="N316" s="3" t="s">
        <v>56</v>
      </c>
      <c r="Y316" s="4" t="s">
        <v>466</v>
      </c>
      <c r="Z316" s="4" t="s">
        <v>466</v>
      </c>
      <c r="AA316" s="4" t="s">
        <v>412</v>
      </c>
      <c r="AB316" s="3" t="s">
        <v>1377</v>
      </c>
      <c r="AC316" s="3" t="s">
        <v>414</v>
      </c>
      <c r="AD316" s="3" t="s">
        <v>1373</v>
      </c>
      <c r="AE316" s="3">
        <v>1000</v>
      </c>
      <c r="AI316" s="4" t="s">
        <v>468</v>
      </c>
      <c r="AJ316" s="4" t="s">
        <v>468</v>
      </c>
      <c r="AL316" s="4">
        <v>141749</v>
      </c>
      <c r="AM316" s="5">
        <v>55000</v>
      </c>
      <c r="AN316" s="4" t="s">
        <v>124</v>
      </c>
      <c r="AO316" s="4">
        <v>99</v>
      </c>
      <c r="AP316" s="4">
        <v>43230000</v>
      </c>
    </row>
    <row r="317" spans="1:42" x14ac:dyDescent="0.25">
      <c r="A317" s="3">
        <v>4604529</v>
      </c>
      <c r="B317" s="3" t="s">
        <v>750</v>
      </c>
      <c r="C317" s="3" t="s">
        <v>1278</v>
      </c>
      <c r="D317" s="3">
        <v>10004314</v>
      </c>
      <c r="E317" s="4">
        <v>4533880</v>
      </c>
      <c r="F317" s="3" t="s">
        <v>49</v>
      </c>
      <c r="G317" s="4" t="s">
        <v>1378</v>
      </c>
      <c r="I317" s="5">
        <v>5500</v>
      </c>
      <c r="J317" s="3" t="s">
        <v>76</v>
      </c>
      <c r="K317" s="3" t="s">
        <v>77</v>
      </c>
      <c r="L317" s="3" t="s">
        <v>119</v>
      </c>
      <c r="M317" s="4" t="s">
        <v>1379</v>
      </c>
      <c r="N317" s="3" t="s">
        <v>56</v>
      </c>
      <c r="Y317" s="4" t="s">
        <v>466</v>
      </c>
      <c r="Z317" s="4" t="s">
        <v>466</v>
      </c>
      <c r="AD317" s="3" t="s">
        <v>1373</v>
      </c>
      <c r="AE317" s="3">
        <v>1000</v>
      </c>
      <c r="AI317" s="4" t="s">
        <v>468</v>
      </c>
      <c r="AJ317" s="4" t="s">
        <v>468</v>
      </c>
      <c r="AL317" s="4">
        <v>42337</v>
      </c>
      <c r="AM317" s="5">
        <v>5500</v>
      </c>
      <c r="AN317" s="4" t="s">
        <v>124</v>
      </c>
    </row>
    <row r="318" spans="1:42" x14ac:dyDescent="0.25">
      <c r="A318" s="3">
        <v>4604530</v>
      </c>
      <c r="B318" s="3" t="s">
        <v>492</v>
      </c>
      <c r="C318" s="3" t="s">
        <v>1278</v>
      </c>
      <c r="D318" s="3">
        <v>10004316</v>
      </c>
      <c r="E318" s="4">
        <v>4533881</v>
      </c>
      <c r="F318" s="3" t="s">
        <v>49</v>
      </c>
      <c r="G318" s="4" t="s">
        <v>1380</v>
      </c>
      <c r="H318" s="4" t="s">
        <v>1381</v>
      </c>
      <c r="I318" s="5">
        <v>81134.09</v>
      </c>
      <c r="J318" s="3" t="s">
        <v>76</v>
      </c>
      <c r="K318" s="3" t="s">
        <v>77</v>
      </c>
      <c r="L318" s="3" t="s">
        <v>196</v>
      </c>
      <c r="M318" s="4" t="s">
        <v>1381</v>
      </c>
      <c r="N318" s="3" t="s">
        <v>25</v>
      </c>
      <c r="Y318" s="4" t="s">
        <v>260</v>
      </c>
      <c r="Z318" s="4" t="s">
        <v>1382</v>
      </c>
      <c r="AD318" s="3" t="s">
        <v>492</v>
      </c>
      <c r="AE318" s="3">
        <v>1000</v>
      </c>
      <c r="AI318" s="4" t="s">
        <v>261</v>
      </c>
      <c r="AJ318" s="4" t="s">
        <v>1383</v>
      </c>
      <c r="AL318" s="4">
        <v>46327</v>
      </c>
      <c r="AM318" s="5">
        <v>81134.09</v>
      </c>
      <c r="AN318" s="4" t="s">
        <v>124</v>
      </c>
      <c r="AO318" s="4">
        <v>99</v>
      </c>
      <c r="AP318" s="4">
        <v>81112200</v>
      </c>
    </row>
    <row r="319" spans="1:42" x14ac:dyDescent="0.25">
      <c r="A319" s="3">
        <v>4604537</v>
      </c>
      <c r="B319" s="3" t="s">
        <v>1384</v>
      </c>
      <c r="C319" s="3" t="s">
        <v>1278</v>
      </c>
      <c r="D319" s="3">
        <v>10004318</v>
      </c>
      <c r="E319" s="4">
        <v>4533888</v>
      </c>
      <c r="F319" s="3" t="s">
        <v>49</v>
      </c>
      <c r="G319" s="4" t="s">
        <v>1385</v>
      </c>
      <c r="H319" s="4" t="s">
        <v>1386</v>
      </c>
      <c r="I319" s="5">
        <v>80022.8</v>
      </c>
      <c r="J319" s="3" t="s">
        <v>1356</v>
      </c>
      <c r="K319" s="3" t="s">
        <v>474</v>
      </c>
      <c r="L319" s="3" t="s">
        <v>196</v>
      </c>
      <c r="M319" s="4" t="s">
        <v>1387</v>
      </c>
      <c r="N319" s="3" t="s">
        <v>25</v>
      </c>
      <c r="Y319" s="4" t="s">
        <v>1056</v>
      </c>
      <c r="Z319" s="4" t="s">
        <v>1090</v>
      </c>
      <c r="AD319" s="3" t="s">
        <v>1384</v>
      </c>
      <c r="AE319" s="3">
        <v>1000</v>
      </c>
      <c r="AI319" s="4" t="s">
        <v>1058</v>
      </c>
      <c r="AJ319" s="4" t="s">
        <v>1091</v>
      </c>
      <c r="AL319" s="4">
        <v>49327</v>
      </c>
      <c r="AM319" s="5">
        <v>80022.8</v>
      </c>
      <c r="AN319" s="4" t="s">
        <v>124</v>
      </c>
      <c r="AO319" s="4">
        <v>99</v>
      </c>
      <c r="AP319" s="4">
        <v>43230000</v>
      </c>
    </row>
    <row r="320" spans="1:42" x14ac:dyDescent="0.25">
      <c r="A320" s="3">
        <v>4604539</v>
      </c>
      <c r="B320" s="3" t="s">
        <v>265</v>
      </c>
      <c r="C320" s="3" t="s">
        <v>1278</v>
      </c>
      <c r="D320" s="3">
        <v>10004326</v>
      </c>
      <c r="E320" s="4">
        <v>4533890</v>
      </c>
      <c r="F320" s="3" t="s">
        <v>49</v>
      </c>
      <c r="G320" s="4" t="s">
        <v>1388</v>
      </c>
      <c r="H320" s="4" t="s">
        <v>1389</v>
      </c>
      <c r="I320" s="5">
        <v>25200</v>
      </c>
      <c r="J320" s="3" t="s">
        <v>265</v>
      </c>
      <c r="K320" s="3" t="s">
        <v>494</v>
      </c>
      <c r="L320" s="3" t="s">
        <v>119</v>
      </c>
      <c r="M320" s="4" t="s">
        <v>1389</v>
      </c>
      <c r="N320" s="3" t="s">
        <v>56</v>
      </c>
      <c r="O320" s="3" t="s">
        <v>139</v>
      </c>
      <c r="P320" s="4" t="s">
        <v>282</v>
      </c>
      <c r="Y320" s="4" t="s">
        <v>1200</v>
      </c>
      <c r="Z320" s="4" t="s">
        <v>1200</v>
      </c>
      <c r="AA320" s="4" t="s">
        <v>1284</v>
      </c>
      <c r="AB320" s="3" t="s">
        <v>1390</v>
      </c>
      <c r="AC320" s="3" t="s">
        <v>1286</v>
      </c>
      <c r="AD320" s="3" t="s">
        <v>324</v>
      </c>
      <c r="AE320" s="3">
        <v>1000</v>
      </c>
      <c r="AI320" s="4" t="s">
        <v>1202</v>
      </c>
      <c r="AJ320" s="4" t="s">
        <v>1202</v>
      </c>
      <c r="AK320" s="3" t="s">
        <v>286</v>
      </c>
      <c r="AL320" s="4">
        <v>141312</v>
      </c>
      <c r="AM320" s="5">
        <v>25200</v>
      </c>
      <c r="AN320" s="4" t="s">
        <v>124</v>
      </c>
      <c r="AO320" s="4">
        <v>99</v>
      </c>
      <c r="AP320" s="4">
        <v>80101510</v>
      </c>
    </row>
    <row r="321" spans="1:42" x14ac:dyDescent="0.25">
      <c r="A321" s="3">
        <v>4604548</v>
      </c>
      <c r="B321" s="3" t="s">
        <v>76</v>
      </c>
      <c r="C321" s="3" t="s">
        <v>1278</v>
      </c>
      <c r="D321" s="3">
        <v>10004333</v>
      </c>
      <c r="E321" s="4">
        <v>4533899</v>
      </c>
      <c r="F321" s="3" t="s">
        <v>49</v>
      </c>
      <c r="G321" s="4" t="s">
        <v>1391</v>
      </c>
      <c r="H321" s="4" t="s">
        <v>1392</v>
      </c>
      <c r="I321" s="5">
        <v>150000</v>
      </c>
      <c r="J321" s="3" t="s">
        <v>76</v>
      </c>
      <c r="K321" s="3" t="s">
        <v>77</v>
      </c>
      <c r="L321" s="3" t="s">
        <v>196</v>
      </c>
      <c r="M321" s="4" t="s">
        <v>1392</v>
      </c>
      <c r="N321" s="3" t="s">
        <v>25</v>
      </c>
      <c r="Y321" s="4" t="s">
        <v>1393</v>
      </c>
      <c r="Z321" s="4" t="s">
        <v>1393</v>
      </c>
      <c r="AD321" s="3" t="s">
        <v>1394</v>
      </c>
      <c r="AE321" s="3">
        <v>1000</v>
      </c>
      <c r="AI321" s="4" t="s">
        <v>1395</v>
      </c>
      <c r="AJ321" s="4" t="s">
        <v>1395</v>
      </c>
      <c r="AL321" s="4">
        <v>40349</v>
      </c>
      <c r="AM321" s="5">
        <v>150000</v>
      </c>
      <c r="AN321" s="4" t="s">
        <v>124</v>
      </c>
      <c r="AO321" s="4">
        <v>99</v>
      </c>
      <c r="AP321" s="4">
        <v>93150000</v>
      </c>
    </row>
    <row r="322" spans="1:42" x14ac:dyDescent="0.25">
      <c r="A322" s="3">
        <v>4604549</v>
      </c>
      <c r="B322" s="3" t="s">
        <v>1396</v>
      </c>
      <c r="C322" s="3" t="s">
        <v>1278</v>
      </c>
      <c r="D322" s="3">
        <v>10004335</v>
      </c>
      <c r="E322" s="4">
        <v>4533900</v>
      </c>
      <c r="F322" s="3" t="s">
        <v>49</v>
      </c>
      <c r="G322" s="4" t="s">
        <v>1397</v>
      </c>
      <c r="H322" s="4" t="s">
        <v>1398</v>
      </c>
      <c r="I322" s="5">
        <v>35000</v>
      </c>
      <c r="J322" s="3" t="s">
        <v>1396</v>
      </c>
      <c r="K322" s="3" t="s">
        <v>807</v>
      </c>
      <c r="L322" s="3" t="s">
        <v>196</v>
      </c>
      <c r="M322" s="4" t="s">
        <v>1398</v>
      </c>
      <c r="N322" s="3" t="s">
        <v>25</v>
      </c>
      <c r="Y322" s="4" t="s">
        <v>1393</v>
      </c>
      <c r="Z322" s="4" t="s">
        <v>1393</v>
      </c>
      <c r="AD322" s="3" t="s">
        <v>195</v>
      </c>
      <c r="AE322" s="3">
        <v>1000</v>
      </c>
      <c r="AI322" s="4" t="s">
        <v>1395</v>
      </c>
      <c r="AJ322" s="4" t="s">
        <v>1395</v>
      </c>
      <c r="AL322" s="4">
        <v>141758</v>
      </c>
      <c r="AM322" s="5">
        <v>35000</v>
      </c>
      <c r="AN322" s="4" t="s">
        <v>124</v>
      </c>
      <c r="AO322" s="4">
        <v>99</v>
      </c>
      <c r="AP322" s="4">
        <v>80100000</v>
      </c>
    </row>
    <row r="323" spans="1:42" x14ac:dyDescent="0.25">
      <c r="A323" s="3">
        <v>4604554</v>
      </c>
      <c r="B323" s="3" t="s">
        <v>776</v>
      </c>
      <c r="C323" s="3" t="s">
        <v>1278</v>
      </c>
      <c r="D323" s="3">
        <v>10004341</v>
      </c>
      <c r="E323" s="4">
        <v>4533905</v>
      </c>
      <c r="F323" s="3" t="s">
        <v>49</v>
      </c>
      <c r="G323" s="4" t="s">
        <v>1399</v>
      </c>
      <c r="H323" s="4" t="s">
        <v>1400</v>
      </c>
      <c r="I323" s="5">
        <v>153629.07999999999</v>
      </c>
      <c r="J323" s="3" t="s">
        <v>76</v>
      </c>
      <c r="K323" s="3" t="s">
        <v>77</v>
      </c>
      <c r="L323" s="3" t="s">
        <v>196</v>
      </c>
      <c r="M323" s="4" t="s">
        <v>1401</v>
      </c>
      <c r="N323" s="3" t="s">
        <v>25</v>
      </c>
      <c r="Y323" s="4" t="s">
        <v>1222</v>
      </c>
      <c r="Z323" s="4" t="s">
        <v>1090</v>
      </c>
      <c r="AD323" s="3" t="s">
        <v>776</v>
      </c>
      <c r="AE323" s="3">
        <v>1000</v>
      </c>
      <c r="AI323" s="4" t="s">
        <v>1226</v>
      </c>
      <c r="AJ323" s="4" t="s">
        <v>1091</v>
      </c>
      <c r="AL323" s="4">
        <v>42451</v>
      </c>
      <c r="AM323" s="5">
        <v>153629.07999999999</v>
      </c>
      <c r="AN323" s="4" t="s">
        <v>124</v>
      </c>
      <c r="AO323" s="4">
        <v>99</v>
      </c>
      <c r="AP323" s="4">
        <v>81112200</v>
      </c>
    </row>
    <row r="324" spans="1:42" x14ac:dyDescent="0.25">
      <c r="A324" s="3">
        <v>4604559</v>
      </c>
      <c r="B324" s="3" t="s">
        <v>76</v>
      </c>
      <c r="C324" s="3" t="s">
        <v>1278</v>
      </c>
      <c r="D324" s="3">
        <v>10004299</v>
      </c>
      <c r="E324" s="4">
        <v>4533910</v>
      </c>
      <c r="F324" s="3" t="s">
        <v>49</v>
      </c>
      <c r="G324" s="4" t="s">
        <v>1402</v>
      </c>
      <c r="H324" s="4" t="s">
        <v>1403</v>
      </c>
      <c r="I324" s="5">
        <v>476135</v>
      </c>
      <c r="J324" s="3" t="s">
        <v>76</v>
      </c>
      <c r="K324" s="3" t="s">
        <v>77</v>
      </c>
      <c r="L324" s="3" t="s">
        <v>119</v>
      </c>
      <c r="M324" s="4" t="s">
        <v>1403</v>
      </c>
      <c r="N324" s="3" t="s">
        <v>56</v>
      </c>
      <c r="Y324" s="4" t="s">
        <v>1309</v>
      </c>
      <c r="Z324" s="4" t="s">
        <v>1309</v>
      </c>
      <c r="AA324" s="4" t="s">
        <v>356</v>
      </c>
      <c r="AB324" s="3" t="s">
        <v>1404</v>
      </c>
      <c r="AC324" s="3" t="s">
        <v>358</v>
      </c>
      <c r="AD324" s="3" t="s">
        <v>122</v>
      </c>
      <c r="AE324" s="3">
        <v>5000</v>
      </c>
      <c r="AI324" s="4" t="s">
        <v>1313</v>
      </c>
      <c r="AJ324" s="4" t="s">
        <v>1313</v>
      </c>
      <c r="AL324" s="4">
        <v>49275</v>
      </c>
      <c r="AM324" s="5">
        <v>476135</v>
      </c>
      <c r="AN324" s="4" t="s">
        <v>31</v>
      </c>
      <c r="AO324" s="4">
        <v>99</v>
      </c>
      <c r="AP324" s="4">
        <v>80141500</v>
      </c>
    </row>
    <row r="325" spans="1:42" x14ac:dyDescent="0.25">
      <c r="A325" s="3">
        <v>4604560</v>
      </c>
      <c r="B325" s="3" t="s">
        <v>776</v>
      </c>
      <c r="C325" s="3" t="s">
        <v>1278</v>
      </c>
      <c r="D325" s="3">
        <v>10004342</v>
      </c>
      <c r="E325" s="4">
        <v>4533911</v>
      </c>
      <c r="F325" s="3" t="s">
        <v>49</v>
      </c>
      <c r="G325" s="4" t="s">
        <v>1405</v>
      </c>
      <c r="H325" s="4" t="s">
        <v>1406</v>
      </c>
      <c r="I325" s="5">
        <v>163206.47</v>
      </c>
      <c r="J325" s="3" t="s">
        <v>76</v>
      </c>
      <c r="K325" s="3" t="s">
        <v>77</v>
      </c>
      <c r="L325" s="3" t="s">
        <v>119</v>
      </c>
      <c r="M325" s="4" t="s">
        <v>1407</v>
      </c>
      <c r="N325" s="3" t="s">
        <v>56</v>
      </c>
      <c r="Y325" s="4" t="s">
        <v>1056</v>
      </c>
      <c r="Z325" s="4" t="s">
        <v>1090</v>
      </c>
      <c r="AA325" s="4" t="s">
        <v>1254</v>
      </c>
      <c r="AB325" s="3" t="s">
        <v>1255</v>
      </c>
      <c r="AC325" s="3" t="s">
        <v>1256</v>
      </c>
      <c r="AD325" s="3" t="s">
        <v>776</v>
      </c>
      <c r="AE325" s="3">
        <v>1000</v>
      </c>
      <c r="AI325" s="4" t="s">
        <v>1058</v>
      </c>
      <c r="AJ325" s="4" t="s">
        <v>1091</v>
      </c>
      <c r="AL325" s="4">
        <v>48469</v>
      </c>
      <c r="AM325" s="5">
        <v>163206.47</v>
      </c>
      <c r="AN325" s="4" t="s">
        <v>124</v>
      </c>
      <c r="AO325" s="4">
        <v>99</v>
      </c>
      <c r="AP325" s="4">
        <v>43230000</v>
      </c>
    </row>
    <row r="326" spans="1:42" x14ac:dyDescent="0.25">
      <c r="A326" s="3">
        <v>4604563</v>
      </c>
      <c r="B326" s="3" t="s">
        <v>776</v>
      </c>
      <c r="C326" s="3" t="s">
        <v>1278</v>
      </c>
      <c r="D326" s="3">
        <v>10004347</v>
      </c>
      <c r="E326" s="4">
        <v>4533914</v>
      </c>
      <c r="F326" s="3" t="s">
        <v>49</v>
      </c>
      <c r="G326" s="4" t="s">
        <v>1408</v>
      </c>
      <c r="H326" s="4" t="s">
        <v>1409</v>
      </c>
      <c r="I326" s="5">
        <v>60000</v>
      </c>
      <c r="J326" s="3" t="s">
        <v>776</v>
      </c>
      <c r="K326" s="3" t="s">
        <v>223</v>
      </c>
      <c r="L326" s="3" t="s">
        <v>196</v>
      </c>
      <c r="M326" s="4" t="s">
        <v>1409</v>
      </c>
      <c r="N326" s="3" t="s">
        <v>25</v>
      </c>
      <c r="Y326" s="4" t="s">
        <v>396</v>
      </c>
      <c r="Z326" s="4" t="s">
        <v>396</v>
      </c>
      <c r="AD326" s="3" t="s">
        <v>776</v>
      </c>
      <c r="AE326" s="3">
        <v>1000</v>
      </c>
      <c r="AI326" s="4" t="s">
        <v>397</v>
      </c>
      <c r="AJ326" s="4" t="s">
        <v>397</v>
      </c>
      <c r="AL326" s="4">
        <v>141697</v>
      </c>
      <c r="AM326" s="5">
        <v>60000</v>
      </c>
      <c r="AN326" s="4" t="s">
        <v>124</v>
      </c>
      <c r="AO326" s="4">
        <v>99</v>
      </c>
      <c r="AP326" s="4">
        <v>80101505</v>
      </c>
    </row>
    <row r="327" spans="1:42" x14ac:dyDescent="0.25">
      <c r="A327" s="3">
        <v>4604565</v>
      </c>
      <c r="B327" s="3" t="s">
        <v>1410</v>
      </c>
      <c r="C327" s="3" t="s">
        <v>1278</v>
      </c>
      <c r="D327" s="3">
        <v>10004228</v>
      </c>
      <c r="E327" s="4">
        <v>4533916</v>
      </c>
      <c r="F327" s="3" t="s">
        <v>49</v>
      </c>
      <c r="G327" s="4" t="s">
        <v>1174</v>
      </c>
      <c r="H327" s="4" t="s">
        <v>1411</v>
      </c>
      <c r="I327" s="5">
        <v>85000</v>
      </c>
      <c r="J327" s="3" t="s">
        <v>735</v>
      </c>
      <c r="K327" s="3" t="s">
        <v>223</v>
      </c>
      <c r="L327" s="3" t="s">
        <v>119</v>
      </c>
      <c r="M327" s="4" t="s">
        <v>1411</v>
      </c>
      <c r="N327" s="3" t="s">
        <v>56</v>
      </c>
      <c r="O327" s="3" t="s">
        <v>139</v>
      </c>
      <c r="P327" s="4" t="s">
        <v>282</v>
      </c>
      <c r="Y327" s="4" t="s">
        <v>1344</v>
      </c>
      <c r="Z327" s="4" t="s">
        <v>1344</v>
      </c>
      <c r="AA327" s="4" t="s">
        <v>754</v>
      </c>
      <c r="AB327" s="3" t="s">
        <v>1177</v>
      </c>
      <c r="AC327" s="3" t="s">
        <v>756</v>
      </c>
      <c r="AD327" s="3" t="s">
        <v>202</v>
      </c>
      <c r="AE327" s="3">
        <v>1000</v>
      </c>
      <c r="AI327" s="4" t="s">
        <v>1346</v>
      </c>
      <c r="AJ327" s="4" t="s">
        <v>1346</v>
      </c>
      <c r="AK327" s="3" t="s">
        <v>286</v>
      </c>
      <c r="AL327" s="4">
        <v>42811</v>
      </c>
      <c r="AM327" s="5">
        <v>85000</v>
      </c>
      <c r="AN327" s="4" t="s">
        <v>124</v>
      </c>
      <c r="AO327" s="4">
        <v>99</v>
      </c>
      <c r="AP327" s="4">
        <v>84111500</v>
      </c>
    </row>
    <row r="328" spans="1:42" x14ac:dyDescent="0.25">
      <c r="A328" s="3">
        <v>4604566</v>
      </c>
      <c r="B328" s="3" t="s">
        <v>200</v>
      </c>
      <c r="C328" s="3" t="s">
        <v>1278</v>
      </c>
      <c r="D328" s="3">
        <v>10004322</v>
      </c>
      <c r="E328" s="4">
        <v>4533917</v>
      </c>
      <c r="F328" s="3" t="s">
        <v>49</v>
      </c>
      <c r="G328" s="4" t="s">
        <v>1412</v>
      </c>
      <c r="H328" s="4" t="s">
        <v>1413</v>
      </c>
      <c r="I328" s="5">
        <v>185944</v>
      </c>
      <c r="J328" s="3" t="s">
        <v>76</v>
      </c>
      <c r="K328" s="3" t="s">
        <v>77</v>
      </c>
      <c r="L328" s="3" t="s">
        <v>119</v>
      </c>
      <c r="M328" s="4" t="s">
        <v>1413</v>
      </c>
      <c r="N328" s="3" t="s">
        <v>56</v>
      </c>
      <c r="Y328" s="4" t="s">
        <v>1047</v>
      </c>
      <c r="Z328" s="4" t="s">
        <v>1048</v>
      </c>
      <c r="AA328" s="4" t="s">
        <v>1414</v>
      </c>
      <c r="AB328" s="3" t="s">
        <v>1415</v>
      </c>
      <c r="AC328" s="3" t="s">
        <v>1416</v>
      </c>
      <c r="AD328" s="3" t="s">
        <v>474</v>
      </c>
      <c r="AE328" s="3">
        <v>1000</v>
      </c>
      <c r="AI328" s="4" t="s">
        <v>1050</v>
      </c>
      <c r="AJ328" s="4" t="s">
        <v>1051</v>
      </c>
      <c r="AL328" s="4">
        <v>40924</v>
      </c>
      <c r="AM328" s="5">
        <v>185944</v>
      </c>
      <c r="AN328" s="4" t="s">
        <v>124</v>
      </c>
      <c r="AO328" s="4">
        <v>97</v>
      </c>
      <c r="AP328" s="4">
        <v>81112200</v>
      </c>
    </row>
    <row r="329" spans="1:42" x14ac:dyDescent="0.25">
      <c r="A329" s="3">
        <v>4604568</v>
      </c>
      <c r="B329" s="3" t="s">
        <v>776</v>
      </c>
      <c r="C329" s="3" t="s">
        <v>1278</v>
      </c>
      <c r="D329" s="3">
        <v>10004298</v>
      </c>
      <c r="E329" s="4">
        <v>4533919</v>
      </c>
      <c r="F329" s="3" t="s">
        <v>49</v>
      </c>
      <c r="G329" s="4" t="s">
        <v>1417</v>
      </c>
      <c r="H329" s="4" t="s">
        <v>1418</v>
      </c>
      <c r="I329" s="5">
        <v>299552</v>
      </c>
      <c r="J329" s="3" t="s">
        <v>76</v>
      </c>
      <c r="K329" s="3" t="s">
        <v>321</v>
      </c>
      <c r="L329" s="3" t="s">
        <v>1046</v>
      </c>
      <c r="M329" s="4" t="s">
        <v>1418</v>
      </c>
      <c r="N329" s="3" t="s">
        <v>56</v>
      </c>
      <c r="Y329" s="4" t="s">
        <v>1309</v>
      </c>
      <c r="Z329" s="4" t="s">
        <v>1309</v>
      </c>
      <c r="AA329" s="4" t="s">
        <v>1419</v>
      </c>
      <c r="AB329" s="3" t="s">
        <v>1419</v>
      </c>
      <c r="AC329" s="3" t="s">
        <v>1420</v>
      </c>
      <c r="AD329" s="3" t="s">
        <v>202</v>
      </c>
      <c r="AE329" s="3">
        <v>5000</v>
      </c>
      <c r="AI329" s="4" t="s">
        <v>1313</v>
      </c>
      <c r="AJ329" s="4" t="s">
        <v>1313</v>
      </c>
      <c r="AL329" s="4">
        <v>47549</v>
      </c>
      <c r="AM329" s="5">
        <v>299552</v>
      </c>
      <c r="AN329" s="4" t="s">
        <v>31</v>
      </c>
      <c r="AO329" s="4">
        <v>99</v>
      </c>
      <c r="AP329" s="4">
        <v>80141602</v>
      </c>
    </row>
    <row r="330" spans="1:42" x14ac:dyDescent="0.25">
      <c r="A330" s="3">
        <v>4604569</v>
      </c>
      <c r="B330" s="3" t="s">
        <v>200</v>
      </c>
      <c r="C330" s="3" t="s">
        <v>1278</v>
      </c>
      <c r="D330" s="3">
        <v>10004314</v>
      </c>
      <c r="E330" s="4">
        <v>4533920</v>
      </c>
      <c r="F330" s="3" t="s">
        <v>49</v>
      </c>
      <c r="G330" s="4" t="s">
        <v>1353</v>
      </c>
      <c r="H330" s="4" t="s">
        <v>1364</v>
      </c>
      <c r="I330" s="5">
        <v>17820</v>
      </c>
      <c r="J330" s="3" t="s">
        <v>76</v>
      </c>
      <c r="K330" s="3" t="s">
        <v>77</v>
      </c>
      <c r="L330" s="3" t="s">
        <v>119</v>
      </c>
      <c r="M330" s="4" t="s">
        <v>1364</v>
      </c>
      <c r="N330" s="3" t="s">
        <v>56</v>
      </c>
      <c r="Y330" s="4" t="s">
        <v>466</v>
      </c>
      <c r="Z330" s="4" t="s">
        <v>466</v>
      </c>
      <c r="AA330" s="4" t="s">
        <v>1324</v>
      </c>
      <c r="AB330" s="3" t="s">
        <v>1355</v>
      </c>
      <c r="AC330" s="3" t="s">
        <v>1326</v>
      </c>
      <c r="AD330" s="3" t="s">
        <v>1098</v>
      </c>
      <c r="AE330" s="3">
        <v>1000</v>
      </c>
      <c r="AI330" s="4" t="s">
        <v>468</v>
      </c>
      <c r="AJ330" s="4" t="s">
        <v>468</v>
      </c>
      <c r="AL330" s="4">
        <v>140449</v>
      </c>
      <c r="AM330" s="5">
        <v>17820</v>
      </c>
      <c r="AN330" s="4" t="s">
        <v>124</v>
      </c>
      <c r="AO330" s="4">
        <v>99</v>
      </c>
      <c r="AP330" s="4">
        <v>43230000</v>
      </c>
    </row>
    <row r="331" spans="1:42" x14ac:dyDescent="0.25">
      <c r="A331" s="3">
        <v>4604573</v>
      </c>
      <c r="B331" s="3" t="s">
        <v>1098</v>
      </c>
      <c r="C331" s="3" t="s">
        <v>1278</v>
      </c>
      <c r="D331" s="3">
        <v>10004352</v>
      </c>
      <c r="E331" s="4">
        <v>4533924</v>
      </c>
      <c r="F331" s="3" t="s">
        <v>49</v>
      </c>
      <c r="G331" s="4" t="s">
        <v>1421</v>
      </c>
      <c r="H331" s="4" t="s">
        <v>1422</v>
      </c>
      <c r="I331" s="5">
        <v>128356.8</v>
      </c>
      <c r="J331" s="3" t="s">
        <v>76</v>
      </c>
      <c r="K331" s="3" t="s">
        <v>77</v>
      </c>
      <c r="L331" s="3" t="s">
        <v>119</v>
      </c>
      <c r="M331" s="4" t="s">
        <v>1423</v>
      </c>
      <c r="N331" s="3" t="s">
        <v>56</v>
      </c>
      <c r="Y331" s="4" t="s">
        <v>1056</v>
      </c>
      <c r="Z331" s="4" t="s">
        <v>1090</v>
      </c>
      <c r="AA331" s="4" t="s">
        <v>412</v>
      </c>
      <c r="AB331" s="3" t="s">
        <v>1424</v>
      </c>
      <c r="AC331" s="3" t="s">
        <v>414</v>
      </c>
      <c r="AD331" s="3" t="s">
        <v>492</v>
      </c>
      <c r="AE331" s="3">
        <v>1000</v>
      </c>
      <c r="AI331" s="4" t="s">
        <v>1058</v>
      </c>
      <c r="AJ331" s="4" t="s">
        <v>1091</v>
      </c>
      <c r="AL331" s="4">
        <v>141575</v>
      </c>
      <c r="AM331" s="5">
        <v>128356.8</v>
      </c>
      <c r="AN331" s="4" t="s">
        <v>124</v>
      </c>
      <c r="AO331" s="4">
        <v>98</v>
      </c>
      <c r="AP331" s="4">
        <v>43220000</v>
      </c>
    </row>
    <row r="332" spans="1:42" x14ac:dyDescent="0.25">
      <c r="A332" s="3">
        <v>4604575</v>
      </c>
      <c r="B332" s="3" t="s">
        <v>1425</v>
      </c>
      <c r="C332" s="3" t="s">
        <v>1278</v>
      </c>
      <c r="D332" s="3">
        <v>10004356</v>
      </c>
      <c r="E332" s="4">
        <v>4533926</v>
      </c>
      <c r="F332" s="3" t="s">
        <v>49</v>
      </c>
      <c r="G332" s="4" t="s">
        <v>1357</v>
      </c>
      <c r="H332" s="4" t="s">
        <v>1426</v>
      </c>
      <c r="I332" s="5">
        <v>60335</v>
      </c>
      <c r="J332" s="3" t="s">
        <v>1052</v>
      </c>
      <c r="K332" s="3" t="s">
        <v>77</v>
      </c>
      <c r="L332" s="3" t="s">
        <v>196</v>
      </c>
      <c r="M332" s="4" t="s">
        <v>1426</v>
      </c>
      <c r="N332" s="3" t="s">
        <v>25</v>
      </c>
      <c r="Y332" s="4" t="s">
        <v>466</v>
      </c>
      <c r="Z332" s="4" t="s">
        <v>466</v>
      </c>
      <c r="AD332" s="3" t="s">
        <v>1425</v>
      </c>
      <c r="AE332" s="3">
        <v>1000</v>
      </c>
      <c r="AI332" s="4" t="s">
        <v>468</v>
      </c>
      <c r="AJ332" s="4" t="s">
        <v>468</v>
      </c>
      <c r="AL332" s="4">
        <v>49941</v>
      </c>
      <c r="AM332" s="5">
        <v>60335</v>
      </c>
      <c r="AN332" s="4" t="s">
        <v>124</v>
      </c>
      <c r="AO332" s="4">
        <v>99</v>
      </c>
      <c r="AP332" s="4">
        <v>43230000</v>
      </c>
    </row>
    <row r="333" spans="1:42" x14ac:dyDescent="0.25">
      <c r="A333" s="3">
        <v>4604576</v>
      </c>
      <c r="B333" s="3" t="s">
        <v>200</v>
      </c>
      <c r="C333" s="3" t="s">
        <v>1278</v>
      </c>
      <c r="D333" s="3">
        <v>10004354</v>
      </c>
      <c r="E333" s="4">
        <v>4533927</v>
      </c>
      <c r="F333" s="3" t="s">
        <v>49</v>
      </c>
      <c r="G333" s="4" t="s">
        <v>1427</v>
      </c>
      <c r="H333" s="4" t="s">
        <v>1428</v>
      </c>
      <c r="I333" s="5">
        <v>45500</v>
      </c>
      <c r="J333" s="3" t="s">
        <v>200</v>
      </c>
      <c r="K333" s="3" t="s">
        <v>77</v>
      </c>
      <c r="L333" s="3" t="s">
        <v>196</v>
      </c>
      <c r="M333" s="4" t="s">
        <v>1428</v>
      </c>
      <c r="N333" s="3" t="s">
        <v>25</v>
      </c>
      <c r="Y333" s="4" t="s">
        <v>1429</v>
      </c>
      <c r="Z333" s="4" t="s">
        <v>1430</v>
      </c>
      <c r="AD333" s="3" t="s">
        <v>200</v>
      </c>
      <c r="AE333" s="3">
        <v>1000</v>
      </c>
      <c r="AI333" s="4" t="s">
        <v>1431</v>
      </c>
      <c r="AJ333" s="4" t="s">
        <v>1432</v>
      </c>
      <c r="AL333" s="4">
        <v>141764</v>
      </c>
      <c r="AM333" s="5">
        <v>45500</v>
      </c>
      <c r="AN333" s="4" t="s">
        <v>124</v>
      </c>
      <c r="AO333" s="4">
        <v>99</v>
      </c>
      <c r="AP333" s="4">
        <v>80110000</v>
      </c>
    </row>
    <row r="334" spans="1:42" x14ac:dyDescent="0.25">
      <c r="A334" s="3">
        <v>4604580</v>
      </c>
      <c r="B334" s="3" t="s">
        <v>1098</v>
      </c>
      <c r="C334" s="3" t="s">
        <v>1278</v>
      </c>
      <c r="D334" s="3">
        <v>10004300</v>
      </c>
      <c r="E334" s="4">
        <v>4533931</v>
      </c>
      <c r="F334" s="3" t="s">
        <v>49</v>
      </c>
      <c r="G334" s="4" t="s">
        <v>1433</v>
      </c>
      <c r="H334" s="4" t="s">
        <v>1434</v>
      </c>
      <c r="I334" s="5">
        <v>408000</v>
      </c>
      <c r="J334" s="3" t="s">
        <v>76</v>
      </c>
      <c r="K334" s="3" t="s">
        <v>77</v>
      </c>
      <c r="L334" s="3" t="s">
        <v>1046</v>
      </c>
      <c r="M334" s="4" t="s">
        <v>1434</v>
      </c>
      <c r="N334" s="3" t="s">
        <v>56</v>
      </c>
      <c r="Y334" s="4" t="s">
        <v>1309</v>
      </c>
      <c r="Z334" s="4" t="s">
        <v>1309</v>
      </c>
      <c r="AA334" s="4" t="s">
        <v>1435</v>
      </c>
      <c r="AB334" s="3" t="s">
        <v>1435</v>
      </c>
      <c r="AC334" s="3" t="s">
        <v>1436</v>
      </c>
      <c r="AD334" s="3" t="s">
        <v>455</v>
      </c>
      <c r="AE334" s="3">
        <v>5000</v>
      </c>
      <c r="AI334" s="4" t="s">
        <v>1313</v>
      </c>
      <c r="AJ334" s="4" t="s">
        <v>1313</v>
      </c>
      <c r="AL334" s="4">
        <v>49940</v>
      </c>
      <c r="AM334" s="5">
        <v>408000</v>
      </c>
      <c r="AN334" s="4" t="s">
        <v>31</v>
      </c>
      <c r="AO334" s="4">
        <v>98</v>
      </c>
      <c r="AP334" s="4">
        <v>82100000</v>
      </c>
    </row>
    <row r="335" spans="1:42" x14ac:dyDescent="0.25">
      <c r="A335" s="3">
        <v>4604585</v>
      </c>
      <c r="B335" s="3" t="s">
        <v>77</v>
      </c>
      <c r="C335" s="3" t="s">
        <v>1278</v>
      </c>
      <c r="D335" s="3">
        <v>10004364</v>
      </c>
      <c r="E335" s="4">
        <v>4533936</v>
      </c>
      <c r="F335" s="3" t="s">
        <v>49</v>
      </c>
      <c r="G335" s="4" t="s">
        <v>1437</v>
      </c>
      <c r="H335" s="4" t="s">
        <v>1438</v>
      </c>
      <c r="I335" s="5">
        <v>10319</v>
      </c>
      <c r="J335" s="3" t="s">
        <v>76</v>
      </c>
      <c r="K335" s="3" t="s">
        <v>77</v>
      </c>
      <c r="L335" s="3" t="s">
        <v>196</v>
      </c>
      <c r="M335" s="4" t="s">
        <v>1438</v>
      </c>
      <c r="N335" s="3" t="s">
        <v>25</v>
      </c>
      <c r="Y335" s="4" t="s">
        <v>1068</v>
      </c>
      <c r="Z335" s="4" t="s">
        <v>1090</v>
      </c>
      <c r="AD335" s="3" t="s">
        <v>77</v>
      </c>
      <c r="AE335" s="3">
        <v>1000</v>
      </c>
      <c r="AI335" s="4" t="s">
        <v>1071</v>
      </c>
      <c r="AJ335" s="4" t="s">
        <v>1091</v>
      </c>
      <c r="AL335" s="4">
        <v>49501</v>
      </c>
      <c r="AM335" s="5">
        <v>10319</v>
      </c>
      <c r="AN335" s="4" t="s">
        <v>124</v>
      </c>
      <c r="AO335" s="4">
        <v>99</v>
      </c>
      <c r="AP335" s="4">
        <v>50000000</v>
      </c>
    </row>
    <row r="336" spans="1:42" x14ac:dyDescent="0.25">
      <c r="A336" s="3">
        <v>4604586</v>
      </c>
      <c r="B336" s="3" t="s">
        <v>627</v>
      </c>
      <c r="C336" s="3" t="s">
        <v>1278</v>
      </c>
      <c r="D336" s="3">
        <v>10004365</v>
      </c>
      <c r="E336" s="4">
        <v>4533937</v>
      </c>
      <c r="F336" s="3" t="s">
        <v>49</v>
      </c>
      <c r="G336" s="4" t="s">
        <v>1439</v>
      </c>
      <c r="I336" s="5">
        <v>5000</v>
      </c>
      <c r="J336" s="3" t="s">
        <v>76</v>
      </c>
      <c r="K336" s="3" t="s">
        <v>77</v>
      </c>
      <c r="L336" s="3" t="s">
        <v>196</v>
      </c>
      <c r="M336" s="4" t="s">
        <v>1440</v>
      </c>
      <c r="N336" s="3" t="s">
        <v>25</v>
      </c>
      <c r="Y336" s="4" t="s">
        <v>604</v>
      </c>
      <c r="Z336" s="4" t="s">
        <v>1090</v>
      </c>
      <c r="AD336" s="3" t="s">
        <v>627</v>
      </c>
      <c r="AE336" s="3">
        <v>1000</v>
      </c>
      <c r="AI336" s="4" t="s">
        <v>608</v>
      </c>
      <c r="AJ336" s="4" t="s">
        <v>1091</v>
      </c>
      <c r="AL336" s="4">
        <v>141576</v>
      </c>
      <c r="AM336" s="5">
        <v>5000</v>
      </c>
      <c r="AN336" s="4" t="s">
        <v>124</v>
      </c>
    </row>
    <row r="337" spans="1:42" x14ac:dyDescent="0.25">
      <c r="A337" s="3">
        <v>4604587</v>
      </c>
      <c r="B337" s="3" t="s">
        <v>287</v>
      </c>
      <c r="C337" s="3" t="s">
        <v>1278</v>
      </c>
      <c r="D337" s="3">
        <v>10004366</v>
      </c>
      <c r="E337" s="4">
        <v>4533938</v>
      </c>
      <c r="F337" s="3" t="s">
        <v>49</v>
      </c>
      <c r="G337" s="4" t="s">
        <v>1441</v>
      </c>
      <c r="H337" s="4" t="s">
        <v>1442</v>
      </c>
      <c r="I337" s="5">
        <v>11210</v>
      </c>
      <c r="J337" s="3" t="s">
        <v>76</v>
      </c>
      <c r="K337" s="3" t="s">
        <v>77</v>
      </c>
      <c r="L337" s="3" t="s">
        <v>196</v>
      </c>
      <c r="M337" s="4" t="s">
        <v>1442</v>
      </c>
      <c r="N337" s="3" t="s">
        <v>25</v>
      </c>
      <c r="Y337" s="4" t="s">
        <v>1068</v>
      </c>
      <c r="Z337" s="4" t="s">
        <v>1090</v>
      </c>
      <c r="AD337" s="3" t="s">
        <v>287</v>
      </c>
      <c r="AE337" s="3">
        <v>1000</v>
      </c>
      <c r="AI337" s="4" t="s">
        <v>1071</v>
      </c>
      <c r="AJ337" s="4" t="s">
        <v>1091</v>
      </c>
      <c r="AL337" s="4">
        <v>40407</v>
      </c>
      <c r="AM337" s="5">
        <v>11210</v>
      </c>
      <c r="AN337" s="4" t="s">
        <v>124</v>
      </c>
      <c r="AO337" s="4">
        <v>99</v>
      </c>
      <c r="AP337" s="4">
        <v>46151600</v>
      </c>
    </row>
    <row r="338" spans="1:42" x14ac:dyDescent="0.25">
      <c r="A338" s="3">
        <v>4604588</v>
      </c>
      <c r="B338" s="3" t="s">
        <v>627</v>
      </c>
      <c r="C338" s="3" t="s">
        <v>1278</v>
      </c>
      <c r="D338" s="3">
        <v>10004367</v>
      </c>
      <c r="E338" s="4">
        <v>4533939</v>
      </c>
      <c r="F338" s="3" t="s">
        <v>49</v>
      </c>
      <c r="G338" s="4" t="s">
        <v>1443</v>
      </c>
      <c r="I338" s="5">
        <v>9000</v>
      </c>
      <c r="J338" s="3" t="s">
        <v>76</v>
      </c>
      <c r="K338" s="3" t="s">
        <v>77</v>
      </c>
      <c r="L338" s="3" t="s">
        <v>196</v>
      </c>
      <c r="M338" s="4" t="s">
        <v>1444</v>
      </c>
      <c r="N338" s="3" t="s">
        <v>25</v>
      </c>
      <c r="Y338" s="4" t="s">
        <v>604</v>
      </c>
      <c r="Z338" s="4" t="s">
        <v>1090</v>
      </c>
      <c r="AD338" s="3" t="s">
        <v>627</v>
      </c>
      <c r="AE338" s="3">
        <v>1000</v>
      </c>
      <c r="AI338" s="4" t="s">
        <v>608</v>
      </c>
      <c r="AJ338" s="4" t="s">
        <v>1091</v>
      </c>
      <c r="AL338" s="4">
        <v>45460</v>
      </c>
      <c r="AM338" s="5">
        <v>9000</v>
      </c>
      <c r="AN338" s="4" t="s">
        <v>124</v>
      </c>
    </row>
    <row r="339" spans="1:42" x14ac:dyDescent="0.25">
      <c r="A339" s="3">
        <v>4604590</v>
      </c>
      <c r="B339" s="3" t="s">
        <v>77</v>
      </c>
      <c r="C339" s="3" t="s">
        <v>1278</v>
      </c>
      <c r="D339" s="3">
        <v>10004370</v>
      </c>
      <c r="E339" s="4">
        <v>4533941</v>
      </c>
      <c r="F339" s="3" t="s">
        <v>49</v>
      </c>
      <c r="G339" s="4" t="s">
        <v>1445</v>
      </c>
      <c r="I339" s="5">
        <v>6489.45</v>
      </c>
      <c r="J339" s="3" t="s">
        <v>76</v>
      </c>
      <c r="K339" s="3" t="s">
        <v>77</v>
      </c>
      <c r="L339" s="3" t="s">
        <v>196</v>
      </c>
      <c r="M339" s="4" t="s">
        <v>1446</v>
      </c>
      <c r="N339" s="3" t="s">
        <v>25</v>
      </c>
      <c r="Y339" s="4" t="s">
        <v>1068</v>
      </c>
      <c r="Z339" s="4" t="s">
        <v>1090</v>
      </c>
      <c r="AD339" s="3" t="s">
        <v>77</v>
      </c>
      <c r="AE339" s="3">
        <v>1000</v>
      </c>
      <c r="AI339" s="4" t="s">
        <v>1071</v>
      </c>
      <c r="AJ339" s="4" t="s">
        <v>1091</v>
      </c>
      <c r="AL339" s="4">
        <v>49942</v>
      </c>
      <c r="AM339" s="5">
        <v>6489.45</v>
      </c>
      <c r="AN339" s="4" t="s">
        <v>124</v>
      </c>
    </row>
    <row r="340" spans="1:42" x14ac:dyDescent="0.25">
      <c r="A340" s="3">
        <v>4604591</v>
      </c>
      <c r="B340" s="3" t="s">
        <v>77</v>
      </c>
      <c r="C340" s="3" t="s">
        <v>1278</v>
      </c>
      <c r="D340" s="3">
        <v>10004372</v>
      </c>
      <c r="E340" s="4">
        <v>4533942</v>
      </c>
      <c r="F340" s="3" t="s">
        <v>49</v>
      </c>
      <c r="G340" s="4" t="s">
        <v>1447</v>
      </c>
      <c r="H340" s="4" t="s">
        <v>1448</v>
      </c>
      <c r="I340" s="5">
        <v>71726.44</v>
      </c>
      <c r="J340" s="3" t="s">
        <v>76</v>
      </c>
      <c r="K340" s="3" t="s">
        <v>77</v>
      </c>
      <c r="L340" s="3" t="s">
        <v>196</v>
      </c>
      <c r="M340" s="4" t="s">
        <v>1449</v>
      </c>
      <c r="N340" s="3" t="s">
        <v>25</v>
      </c>
      <c r="Y340" s="4" t="s">
        <v>1068</v>
      </c>
      <c r="Z340" s="4" t="s">
        <v>1090</v>
      </c>
      <c r="AD340" s="3" t="s">
        <v>77</v>
      </c>
      <c r="AE340" s="3">
        <v>1000</v>
      </c>
      <c r="AI340" s="4" t="s">
        <v>1071</v>
      </c>
      <c r="AJ340" s="4" t="s">
        <v>1091</v>
      </c>
      <c r="AL340" s="4">
        <v>41276</v>
      </c>
      <c r="AM340" s="5">
        <v>71726.44</v>
      </c>
      <c r="AN340" s="4" t="s">
        <v>124</v>
      </c>
      <c r="AO340" s="4">
        <v>97</v>
      </c>
      <c r="AP340" s="4">
        <v>78101804</v>
      </c>
    </row>
    <row r="341" spans="1:42" x14ac:dyDescent="0.25">
      <c r="A341" s="3">
        <v>4604592</v>
      </c>
      <c r="B341" s="3" t="s">
        <v>351</v>
      </c>
      <c r="C341" s="3" t="s">
        <v>1278</v>
      </c>
      <c r="D341" s="3">
        <v>10004371</v>
      </c>
      <c r="E341" s="4">
        <v>4533943</v>
      </c>
      <c r="F341" s="3" t="s">
        <v>49</v>
      </c>
      <c r="G341" s="4" t="s">
        <v>1450</v>
      </c>
      <c r="I341" s="5">
        <v>5746.17</v>
      </c>
      <c r="J341" s="3" t="s">
        <v>76</v>
      </c>
      <c r="K341" s="3" t="s">
        <v>77</v>
      </c>
      <c r="L341" s="3" t="s">
        <v>196</v>
      </c>
      <c r="M341" s="4" t="s">
        <v>1451</v>
      </c>
      <c r="N341" s="3" t="s">
        <v>25</v>
      </c>
      <c r="Y341" s="4" t="s">
        <v>1068</v>
      </c>
      <c r="Z341" s="4" t="s">
        <v>1090</v>
      </c>
      <c r="AD341" s="3" t="s">
        <v>351</v>
      </c>
      <c r="AE341" s="3">
        <v>1000</v>
      </c>
      <c r="AI341" s="4" t="s">
        <v>1071</v>
      </c>
      <c r="AJ341" s="4" t="s">
        <v>1091</v>
      </c>
      <c r="AL341" s="4">
        <v>141128</v>
      </c>
      <c r="AM341" s="5">
        <v>5746.17</v>
      </c>
      <c r="AN341" s="4" t="s">
        <v>124</v>
      </c>
    </row>
    <row r="342" spans="1:42" x14ac:dyDescent="0.25">
      <c r="A342" s="3">
        <v>4604594</v>
      </c>
      <c r="B342" s="3" t="s">
        <v>1452</v>
      </c>
      <c r="C342" s="3" t="s">
        <v>1278</v>
      </c>
      <c r="D342" s="3">
        <v>10004376</v>
      </c>
      <c r="E342" s="4">
        <v>4533945</v>
      </c>
      <c r="F342" s="3" t="s">
        <v>49</v>
      </c>
      <c r="G342" s="4" t="s">
        <v>1365</v>
      </c>
      <c r="H342" s="4" t="s">
        <v>1453</v>
      </c>
      <c r="I342" s="5">
        <v>59730</v>
      </c>
      <c r="J342" s="3" t="s">
        <v>1452</v>
      </c>
      <c r="K342" s="3" t="s">
        <v>77</v>
      </c>
      <c r="L342" s="3" t="s">
        <v>119</v>
      </c>
      <c r="M342" s="4" t="s">
        <v>1453</v>
      </c>
      <c r="N342" s="3" t="s">
        <v>56</v>
      </c>
      <c r="Y342" s="4" t="s">
        <v>466</v>
      </c>
      <c r="Z342" s="4" t="s">
        <v>466</v>
      </c>
      <c r="AA342" s="4" t="s">
        <v>1367</v>
      </c>
      <c r="AB342" s="3" t="s">
        <v>1367</v>
      </c>
      <c r="AC342" s="3" t="s">
        <v>1368</v>
      </c>
      <c r="AD342" s="3" t="s">
        <v>1452</v>
      </c>
      <c r="AE342" s="3">
        <v>1000</v>
      </c>
      <c r="AI342" s="4" t="s">
        <v>468</v>
      </c>
      <c r="AJ342" s="4" t="s">
        <v>468</v>
      </c>
      <c r="AL342" s="4">
        <v>140286</v>
      </c>
      <c r="AM342" s="5">
        <v>59730</v>
      </c>
      <c r="AN342" s="4" t="s">
        <v>124</v>
      </c>
      <c r="AO342" s="4">
        <v>99</v>
      </c>
      <c r="AP342" s="4">
        <v>43230000</v>
      </c>
    </row>
    <row r="343" spans="1:42" x14ac:dyDescent="0.25">
      <c r="A343" s="3">
        <v>4604595</v>
      </c>
      <c r="B343" s="3" t="s">
        <v>77</v>
      </c>
      <c r="C343" s="3" t="s">
        <v>1278</v>
      </c>
      <c r="D343" s="3">
        <v>10004375</v>
      </c>
      <c r="E343" s="4">
        <v>4533946</v>
      </c>
      <c r="F343" s="3" t="s">
        <v>49</v>
      </c>
      <c r="G343" s="4" t="s">
        <v>1454</v>
      </c>
      <c r="H343" s="4" t="s">
        <v>1455</v>
      </c>
      <c r="I343" s="5">
        <v>38216.199999999997</v>
      </c>
      <c r="J343" s="3" t="s">
        <v>627</v>
      </c>
      <c r="K343" s="3" t="s">
        <v>77</v>
      </c>
      <c r="L343" s="3" t="s">
        <v>196</v>
      </c>
      <c r="M343" s="4" t="s">
        <v>1456</v>
      </c>
      <c r="N343" s="3" t="s">
        <v>25</v>
      </c>
      <c r="Y343" s="4" t="s">
        <v>1141</v>
      </c>
      <c r="Z343" s="4" t="s">
        <v>1141</v>
      </c>
      <c r="AD343" s="3" t="s">
        <v>77</v>
      </c>
      <c r="AE343" s="3">
        <v>1000</v>
      </c>
      <c r="AI343" s="4" t="s">
        <v>1144</v>
      </c>
      <c r="AJ343" s="4" t="s">
        <v>1144</v>
      </c>
      <c r="AL343" s="4">
        <v>141769</v>
      </c>
      <c r="AM343" s="5">
        <v>38216.199999999997</v>
      </c>
      <c r="AN343" s="4" t="s">
        <v>124</v>
      </c>
      <c r="AO343" s="4">
        <v>99</v>
      </c>
      <c r="AP343" s="4">
        <v>72101500</v>
      </c>
    </row>
    <row r="344" spans="1:42" x14ac:dyDescent="0.25">
      <c r="A344" s="3">
        <v>4604596</v>
      </c>
      <c r="B344" s="3" t="s">
        <v>1457</v>
      </c>
      <c r="C344" s="3" t="s">
        <v>1278</v>
      </c>
      <c r="D344" s="3">
        <v>10004374</v>
      </c>
      <c r="E344" s="4">
        <v>4533947</v>
      </c>
      <c r="F344" s="3" t="s">
        <v>49</v>
      </c>
      <c r="G344" s="4" t="s">
        <v>1458</v>
      </c>
      <c r="H344" s="4" t="s">
        <v>1459</v>
      </c>
      <c r="I344" s="5">
        <v>15000</v>
      </c>
      <c r="J344" s="3" t="s">
        <v>1457</v>
      </c>
      <c r="K344" s="3" t="s">
        <v>1460</v>
      </c>
      <c r="L344" s="3" t="s">
        <v>196</v>
      </c>
      <c r="M344" s="4" t="s">
        <v>1461</v>
      </c>
      <c r="N344" s="3" t="s">
        <v>25</v>
      </c>
      <c r="Y344" s="4" t="s">
        <v>1141</v>
      </c>
      <c r="Z344" s="4" t="s">
        <v>1141</v>
      </c>
      <c r="AD344" s="3" t="s">
        <v>1452</v>
      </c>
      <c r="AE344" s="3">
        <v>1000</v>
      </c>
      <c r="AI344" s="4" t="s">
        <v>1144</v>
      </c>
      <c r="AJ344" s="4" t="s">
        <v>1144</v>
      </c>
      <c r="AL344" s="4">
        <v>49909</v>
      </c>
      <c r="AM344" s="5">
        <v>15000</v>
      </c>
      <c r="AN344" s="4" t="s">
        <v>124</v>
      </c>
      <c r="AO344" s="4">
        <v>99</v>
      </c>
      <c r="AP344" s="4">
        <v>72101500</v>
      </c>
    </row>
    <row r="345" spans="1:42" x14ac:dyDescent="0.25">
      <c r="A345" s="3">
        <v>4604597</v>
      </c>
      <c r="B345" s="3" t="s">
        <v>1462</v>
      </c>
      <c r="C345" s="3" t="s">
        <v>1278</v>
      </c>
      <c r="D345" s="3">
        <v>10004377</v>
      </c>
      <c r="E345" s="4">
        <v>4533948</v>
      </c>
      <c r="F345" s="3" t="s">
        <v>49</v>
      </c>
      <c r="G345" s="4" t="s">
        <v>1412</v>
      </c>
      <c r="H345" s="4" t="s">
        <v>1463</v>
      </c>
      <c r="I345" s="5">
        <v>126121.16</v>
      </c>
      <c r="J345" s="3" t="s">
        <v>1462</v>
      </c>
      <c r="K345" s="3" t="s">
        <v>829</v>
      </c>
      <c r="L345" s="3" t="s">
        <v>119</v>
      </c>
      <c r="M345" s="4" t="s">
        <v>1463</v>
      </c>
      <c r="N345" s="3" t="s">
        <v>56</v>
      </c>
      <c r="Y345" s="4" t="s">
        <v>1222</v>
      </c>
      <c r="Z345" s="4" t="s">
        <v>1090</v>
      </c>
      <c r="AA345" s="4" t="s">
        <v>1414</v>
      </c>
      <c r="AB345" s="3" t="s">
        <v>1415</v>
      </c>
      <c r="AC345" s="3" t="s">
        <v>1416</v>
      </c>
      <c r="AD345" s="3" t="s">
        <v>1462</v>
      </c>
      <c r="AE345" s="3">
        <v>1000</v>
      </c>
      <c r="AI345" s="4" t="s">
        <v>1226</v>
      </c>
      <c r="AJ345" s="4" t="s">
        <v>1091</v>
      </c>
      <c r="AL345" s="4">
        <v>40924</v>
      </c>
      <c r="AM345" s="5">
        <v>126121.16</v>
      </c>
      <c r="AN345" s="4" t="s">
        <v>124</v>
      </c>
      <c r="AO345" s="4">
        <v>99</v>
      </c>
      <c r="AP345" s="4">
        <v>80101604</v>
      </c>
    </row>
    <row r="346" spans="1:42" x14ac:dyDescent="0.25">
      <c r="A346" s="3">
        <v>4604598</v>
      </c>
      <c r="B346" s="3" t="s">
        <v>1462</v>
      </c>
      <c r="C346" s="3" t="s">
        <v>1278</v>
      </c>
      <c r="D346" s="3">
        <v>10004378</v>
      </c>
      <c r="E346" s="4">
        <v>4533949</v>
      </c>
      <c r="F346" s="3" t="s">
        <v>49</v>
      </c>
      <c r="G346" s="4" t="s">
        <v>1099</v>
      </c>
      <c r="H346" s="4" t="s">
        <v>1464</v>
      </c>
      <c r="I346" s="5">
        <v>12000</v>
      </c>
      <c r="J346" s="3" t="s">
        <v>76</v>
      </c>
      <c r="K346" s="3" t="s">
        <v>77</v>
      </c>
      <c r="L346" s="3" t="s">
        <v>196</v>
      </c>
      <c r="M346" s="4" t="s">
        <v>1465</v>
      </c>
      <c r="N346" s="3" t="s">
        <v>25</v>
      </c>
      <c r="Y346" s="4" t="s">
        <v>1056</v>
      </c>
      <c r="Z346" s="4" t="s">
        <v>1090</v>
      </c>
      <c r="AD346" s="3" t="s">
        <v>1462</v>
      </c>
      <c r="AE346" s="3">
        <v>1000</v>
      </c>
      <c r="AI346" s="4" t="s">
        <v>1058</v>
      </c>
      <c r="AJ346" s="4" t="s">
        <v>1091</v>
      </c>
      <c r="AL346" s="4">
        <v>140163</v>
      </c>
      <c r="AM346" s="5">
        <v>12000</v>
      </c>
      <c r="AN346" s="4" t="s">
        <v>124</v>
      </c>
      <c r="AO346" s="4">
        <v>99</v>
      </c>
      <c r="AP346" s="4">
        <v>43222500</v>
      </c>
    </row>
    <row r="347" spans="1:42" x14ac:dyDescent="0.25">
      <c r="A347" s="3">
        <v>4604599</v>
      </c>
      <c r="B347" s="3" t="s">
        <v>1084</v>
      </c>
      <c r="C347" s="3" t="s">
        <v>1278</v>
      </c>
      <c r="D347" s="3">
        <v>10004380</v>
      </c>
      <c r="E347" s="4">
        <v>4533950</v>
      </c>
      <c r="F347" s="3" t="s">
        <v>49</v>
      </c>
      <c r="G347" s="4" t="s">
        <v>1111</v>
      </c>
      <c r="H347" s="4" t="s">
        <v>1466</v>
      </c>
      <c r="I347" s="5">
        <v>40000</v>
      </c>
      <c r="J347" s="3" t="s">
        <v>76</v>
      </c>
      <c r="K347" s="3" t="s">
        <v>77</v>
      </c>
      <c r="L347" s="3" t="s">
        <v>119</v>
      </c>
      <c r="M347" s="4" t="s">
        <v>1467</v>
      </c>
      <c r="N347" s="3" t="s">
        <v>56</v>
      </c>
      <c r="Y347" s="4" t="s">
        <v>1056</v>
      </c>
      <c r="Z347" s="4" t="s">
        <v>1090</v>
      </c>
      <c r="AA347" s="4" t="s">
        <v>1468</v>
      </c>
      <c r="AB347" s="3" t="s">
        <v>1469</v>
      </c>
      <c r="AC347" s="3" t="s">
        <v>1470</v>
      </c>
      <c r="AD347" s="3" t="s">
        <v>183</v>
      </c>
      <c r="AE347" s="3">
        <v>1000</v>
      </c>
      <c r="AI347" s="4" t="s">
        <v>1058</v>
      </c>
      <c r="AJ347" s="4" t="s">
        <v>1091</v>
      </c>
      <c r="AL347" s="4">
        <v>30004</v>
      </c>
      <c r="AM347" s="5">
        <v>40000</v>
      </c>
      <c r="AN347" s="4" t="s">
        <v>124</v>
      </c>
      <c r="AO347" s="4">
        <v>98</v>
      </c>
      <c r="AP347" s="4">
        <v>43191501</v>
      </c>
    </row>
    <row r="348" spans="1:42" x14ac:dyDescent="0.25">
      <c r="A348" s="3">
        <v>4604600</v>
      </c>
      <c r="B348" s="3" t="s">
        <v>1462</v>
      </c>
      <c r="C348" s="3" t="s">
        <v>1278</v>
      </c>
      <c r="D348" s="3">
        <v>10004381</v>
      </c>
      <c r="E348" s="4">
        <v>4533951</v>
      </c>
      <c r="F348" s="3" t="s">
        <v>49</v>
      </c>
      <c r="G348" s="4" t="s">
        <v>1471</v>
      </c>
      <c r="H348" s="4" t="s">
        <v>1472</v>
      </c>
      <c r="I348" s="5">
        <v>20000</v>
      </c>
      <c r="J348" s="3" t="s">
        <v>76</v>
      </c>
      <c r="K348" s="3" t="s">
        <v>77</v>
      </c>
      <c r="L348" s="3" t="s">
        <v>119</v>
      </c>
      <c r="M348" s="4" t="s">
        <v>1473</v>
      </c>
      <c r="N348" s="3" t="s">
        <v>56</v>
      </c>
      <c r="Y348" s="4" t="s">
        <v>1056</v>
      </c>
      <c r="Z348" s="4" t="s">
        <v>1090</v>
      </c>
      <c r="AA348" s="4" t="s">
        <v>1474</v>
      </c>
      <c r="AB348" s="3" t="s">
        <v>1475</v>
      </c>
      <c r="AC348" s="3" t="s">
        <v>1476</v>
      </c>
      <c r="AD348" s="3" t="s">
        <v>1462</v>
      </c>
      <c r="AE348" s="3">
        <v>1000</v>
      </c>
      <c r="AI348" s="4" t="s">
        <v>1058</v>
      </c>
      <c r="AJ348" s="4" t="s">
        <v>1091</v>
      </c>
      <c r="AL348" s="4">
        <v>48891</v>
      </c>
      <c r="AM348" s="5">
        <v>20000</v>
      </c>
      <c r="AN348" s="4" t="s">
        <v>124</v>
      </c>
      <c r="AO348" s="4">
        <v>99</v>
      </c>
      <c r="AP348" s="4">
        <v>43211503</v>
      </c>
    </row>
    <row r="349" spans="1:42" x14ac:dyDescent="0.25">
      <c r="A349" s="3">
        <v>4604601</v>
      </c>
      <c r="B349" s="3" t="s">
        <v>1462</v>
      </c>
      <c r="C349" s="3" t="s">
        <v>1278</v>
      </c>
      <c r="D349" s="3">
        <v>10004311</v>
      </c>
      <c r="E349" s="4">
        <v>4533952</v>
      </c>
      <c r="F349" s="3" t="s">
        <v>49</v>
      </c>
      <c r="G349" s="4" t="s">
        <v>1477</v>
      </c>
      <c r="H349" s="4" t="s">
        <v>1478</v>
      </c>
      <c r="I349" s="5">
        <v>5340963.29</v>
      </c>
      <c r="J349" s="3" t="s">
        <v>1462</v>
      </c>
      <c r="K349" s="3" t="s">
        <v>807</v>
      </c>
      <c r="L349" s="3" t="s">
        <v>119</v>
      </c>
      <c r="M349" s="4" t="s">
        <v>1478</v>
      </c>
      <c r="N349" s="3" t="s">
        <v>56</v>
      </c>
      <c r="Y349" s="4" t="s">
        <v>1309</v>
      </c>
      <c r="Z349" s="4" t="s">
        <v>1309</v>
      </c>
      <c r="AA349" s="4" t="s">
        <v>338</v>
      </c>
      <c r="AB349" s="3" t="s">
        <v>338</v>
      </c>
      <c r="AC349" s="3" t="s">
        <v>339</v>
      </c>
      <c r="AD349" s="3" t="s">
        <v>1462</v>
      </c>
      <c r="AE349" s="3">
        <v>5000</v>
      </c>
      <c r="AI349" s="4" t="s">
        <v>1313</v>
      </c>
      <c r="AJ349" s="4" t="s">
        <v>1313</v>
      </c>
      <c r="AL349" s="4">
        <v>141770</v>
      </c>
      <c r="AM349" s="5">
        <v>5340963.29</v>
      </c>
      <c r="AN349" s="4" t="s">
        <v>31</v>
      </c>
      <c r="AO349" s="4">
        <v>99</v>
      </c>
      <c r="AP349" s="4">
        <v>82100000</v>
      </c>
    </row>
    <row r="350" spans="1:42" x14ac:dyDescent="0.25">
      <c r="A350" s="3">
        <v>4604602</v>
      </c>
      <c r="B350" s="3" t="s">
        <v>1479</v>
      </c>
      <c r="C350" s="3" t="s">
        <v>1278</v>
      </c>
      <c r="D350" s="3">
        <v>10004382</v>
      </c>
      <c r="E350" s="4">
        <v>4533953</v>
      </c>
      <c r="F350" s="3" t="s">
        <v>49</v>
      </c>
      <c r="G350" s="4" t="s">
        <v>1380</v>
      </c>
      <c r="H350" s="4" t="s">
        <v>1480</v>
      </c>
      <c r="I350" s="5">
        <v>15000</v>
      </c>
      <c r="J350" s="3" t="s">
        <v>1462</v>
      </c>
      <c r="K350" s="3" t="s">
        <v>77</v>
      </c>
      <c r="L350" s="3" t="s">
        <v>196</v>
      </c>
      <c r="M350" s="4" t="s">
        <v>1480</v>
      </c>
      <c r="N350" s="3" t="s">
        <v>25</v>
      </c>
      <c r="Y350" s="4" t="s">
        <v>1047</v>
      </c>
      <c r="Z350" s="4" t="s">
        <v>1382</v>
      </c>
      <c r="AD350" s="3" t="s">
        <v>486</v>
      </c>
      <c r="AE350" s="3">
        <v>1000</v>
      </c>
      <c r="AI350" s="4" t="s">
        <v>1050</v>
      </c>
      <c r="AJ350" s="4" t="s">
        <v>1383</v>
      </c>
      <c r="AL350" s="4">
        <v>46327</v>
      </c>
      <c r="AM350" s="5">
        <v>15000</v>
      </c>
      <c r="AN350" s="4" t="s">
        <v>124</v>
      </c>
      <c r="AO350" s="4">
        <v>99</v>
      </c>
      <c r="AP350" s="4">
        <v>80101507</v>
      </c>
    </row>
    <row r="351" spans="1:42" x14ac:dyDescent="0.25">
      <c r="A351" s="3">
        <v>4604604</v>
      </c>
      <c r="B351" s="3" t="s">
        <v>1481</v>
      </c>
      <c r="C351" s="3" t="s">
        <v>1278</v>
      </c>
      <c r="D351" s="3">
        <v>10004384</v>
      </c>
      <c r="E351" s="4">
        <v>4533955</v>
      </c>
      <c r="F351" s="3" t="s">
        <v>49</v>
      </c>
      <c r="G351" s="4" t="s">
        <v>1482</v>
      </c>
      <c r="H351" s="4" t="s">
        <v>1483</v>
      </c>
      <c r="I351" s="5">
        <v>10053.81</v>
      </c>
      <c r="J351" s="3" t="s">
        <v>76</v>
      </c>
      <c r="K351" s="3" t="s">
        <v>77</v>
      </c>
      <c r="L351" s="3" t="s">
        <v>196</v>
      </c>
      <c r="M351" s="4" t="s">
        <v>1483</v>
      </c>
      <c r="N351" s="3" t="s">
        <v>25</v>
      </c>
      <c r="Y351" s="4" t="s">
        <v>1068</v>
      </c>
      <c r="Z351" s="4" t="s">
        <v>1090</v>
      </c>
      <c r="AD351" s="3" t="s">
        <v>1481</v>
      </c>
      <c r="AE351" s="3">
        <v>1000</v>
      </c>
      <c r="AI351" s="4" t="s">
        <v>1071</v>
      </c>
      <c r="AJ351" s="4" t="s">
        <v>1091</v>
      </c>
      <c r="AL351" s="4">
        <v>30395</v>
      </c>
      <c r="AM351" s="5">
        <v>10053.81</v>
      </c>
      <c r="AN351" s="4" t="s">
        <v>124</v>
      </c>
      <c r="AO351" s="4">
        <v>99</v>
      </c>
      <c r="AP351" s="4">
        <v>78102200</v>
      </c>
    </row>
    <row r="352" spans="1:42" x14ac:dyDescent="0.25">
      <c r="A352" s="3">
        <v>4604605</v>
      </c>
      <c r="B352" s="3" t="s">
        <v>287</v>
      </c>
      <c r="C352" s="3" t="s">
        <v>1278</v>
      </c>
      <c r="D352" s="3">
        <v>10004383</v>
      </c>
      <c r="E352" s="4">
        <v>4533956</v>
      </c>
      <c r="F352" s="3" t="s">
        <v>49</v>
      </c>
      <c r="G352" s="4" t="s">
        <v>1484</v>
      </c>
      <c r="I352" s="5">
        <v>4309.8</v>
      </c>
      <c r="J352" s="3" t="s">
        <v>76</v>
      </c>
      <c r="K352" s="3" t="s">
        <v>77</v>
      </c>
      <c r="L352" s="3" t="s">
        <v>196</v>
      </c>
      <c r="M352" s="4" t="s">
        <v>1485</v>
      </c>
      <c r="N352" s="3" t="s">
        <v>25</v>
      </c>
      <c r="Y352" s="4" t="s">
        <v>1068</v>
      </c>
      <c r="Z352" s="4" t="s">
        <v>1090</v>
      </c>
      <c r="AD352" s="3" t="s">
        <v>287</v>
      </c>
      <c r="AE352" s="3">
        <v>1000</v>
      </c>
      <c r="AI352" s="4" t="s">
        <v>1071</v>
      </c>
      <c r="AJ352" s="4" t="s">
        <v>1091</v>
      </c>
      <c r="AL352" s="4">
        <v>44176</v>
      </c>
      <c r="AM352" s="5">
        <v>4309.8</v>
      </c>
      <c r="AN352" s="4" t="s">
        <v>124</v>
      </c>
    </row>
    <row r="353" spans="1:42" x14ac:dyDescent="0.25">
      <c r="A353" s="3">
        <v>4604606</v>
      </c>
      <c r="B353" s="3" t="s">
        <v>113</v>
      </c>
      <c r="C353" s="3" t="s">
        <v>1278</v>
      </c>
      <c r="D353" s="3">
        <v>10004388</v>
      </c>
      <c r="E353" s="4">
        <v>4533957</v>
      </c>
      <c r="F353" s="3" t="s">
        <v>49</v>
      </c>
      <c r="G353" s="4" t="s">
        <v>1486</v>
      </c>
      <c r="H353" s="4" t="s">
        <v>1487</v>
      </c>
      <c r="I353" s="5">
        <v>35000</v>
      </c>
      <c r="J353" s="3" t="s">
        <v>113</v>
      </c>
      <c r="K353" s="3" t="s">
        <v>77</v>
      </c>
      <c r="L353" s="3" t="s">
        <v>119</v>
      </c>
      <c r="M353" s="4" t="s">
        <v>1488</v>
      </c>
      <c r="N353" s="3" t="s">
        <v>56</v>
      </c>
      <c r="Y353" s="4" t="s">
        <v>1056</v>
      </c>
      <c r="Z353" s="4" t="s">
        <v>1090</v>
      </c>
      <c r="AA353" s="4" t="s">
        <v>1468</v>
      </c>
      <c r="AB353" s="3" t="s">
        <v>1468</v>
      </c>
      <c r="AC353" s="3" t="s">
        <v>1470</v>
      </c>
      <c r="AD353" s="3" t="s">
        <v>211</v>
      </c>
      <c r="AE353" s="3">
        <v>1000</v>
      </c>
      <c r="AI353" s="4" t="s">
        <v>1058</v>
      </c>
      <c r="AJ353" s="4" t="s">
        <v>1091</v>
      </c>
      <c r="AL353" s="4">
        <v>40501</v>
      </c>
      <c r="AM353" s="5">
        <v>35000</v>
      </c>
      <c r="AN353" s="4" t="s">
        <v>124</v>
      </c>
      <c r="AO353" s="4">
        <v>99</v>
      </c>
      <c r="AP353" s="4">
        <v>43200000</v>
      </c>
    </row>
    <row r="354" spans="1:42" x14ac:dyDescent="0.25">
      <c r="A354" s="3">
        <v>4604607</v>
      </c>
      <c r="B354" s="3" t="s">
        <v>113</v>
      </c>
      <c r="C354" s="3" t="s">
        <v>1278</v>
      </c>
      <c r="D354" s="3">
        <v>10004386</v>
      </c>
      <c r="E354" s="4">
        <v>4533958</v>
      </c>
      <c r="F354" s="3" t="s">
        <v>49</v>
      </c>
      <c r="G354" s="4" t="s">
        <v>1053</v>
      </c>
      <c r="H354" s="4" t="s">
        <v>1489</v>
      </c>
      <c r="I354" s="5">
        <v>146014.12</v>
      </c>
      <c r="J354" s="3" t="s">
        <v>211</v>
      </c>
      <c r="K354" s="3" t="s">
        <v>214</v>
      </c>
      <c r="L354" s="3" t="s">
        <v>119</v>
      </c>
      <c r="M354" s="4" t="s">
        <v>1490</v>
      </c>
      <c r="N354" s="3" t="s">
        <v>56</v>
      </c>
      <c r="Y354" s="4" t="s">
        <v>1056</v>
      </c>
      <c r="Z354" s="4" t="s">
        <v>1090</v>
      </c>
      <c r="AA354" s="4" t="s">
        <v>1057</v>
      </c>
      <c r="AB354" s="3" t="s">
        <v>1057</v>
      </c>
      <c r="AC354" s="3" t="s">
        <v>1340</v>
      </c>
      <c r="AD354" s="3" t="s">
        <v>211</v>
      </c>
      <c r="AE354" s="3">
        <v>1000</v>
      </c>
      <c r="AI354" s="4" t="s">
        <v>1058</v>
      </c>
      <c r="AJ354" s="4" t="s">
        <v>1091</v>
      </c>
      <c r="AL354" s="4">
        <v>140248</v>
      </c>
      <c r="AM354" s="5">
        <v>146014.12</v>
      </c>
      <c r="AN354" s="4" t="s">
        <v>124</v>
      </c>
      <c r="AO354" s="4">
        <v>99</v>
      </c>
      <c r="AP354" s="4">
        <v>43230000</v>
      </c>
    </row>
    <row r="355" spans="1:42" x14ac:dyDescent="0.25">
      <c r="A355" s="3">
        <v>4604608</v>
      </c>
      <c r="B355" s="3" t="s">
        <v>1491</v>
      </c>
      <c r="C355" s="3" t="s">
        <v>1278</v>
      </c>
      <c r="D355" s="3">
        <v>10004390</v>
      </c>
      <c r="E355" s="4">
        <v>4533959</v>
      </c>
      <c r="F355" s="3" t="s">
        <v>49</v>
      </c>
      <c r="G355" s="4" t="s">
        <v>1492</v>
      </c>
      <c r="H355" s="4" t="s">
        <v>1493</v>
      </c>
      <c r="I355" s="5">
        <v>12071.84</v>
      </c>
      <c r="J355" s="3" t="s">
        <v>1462</v>
      </c>
      <c r="K355" s="3" t="s">
        <v>77</v>
      </c>
      <c r="L355" s="3" t="s">
        <v>196</v>
      </c>
      <c r="M355" s="4" t="s">
        <v>1493</v>
      </c>
      <c r="N355" s="3" t="s">
        <v>25</v>
      </c>
      <c r="Y355" s="4" t="s">
        <v>1068</v>
      </c>
      <c r="Z355" s="4" t="s">
        <v>1090</v>
      </c>
      <c r="AD355" s="3" t="s">
        <v>1491</v>
      </c>
      <c r="AE355" s="3">
        <v>1000</v>
      </c>
      <c r="AI355" s="4" t="s">
        <v>1071</v>
      </c>
      <c r="AJ355" s="4" t="s">
        <v>1091</v>
      </c>
      <c r="AL355" s="4">
        <v>49420</v>
      </c>
      <c r="AM355" s="5">
        <v>12071.84</v>
      </c>
      <c r="AN355" s="4" t="s">
        <v>124</v>
      </c>
      <c r="AO355" s="4">
        <v>99</v>
      </c>
      <c r="AP355" s="4">
        <v>80131500</v>
      </c>
    </row>
    <row r="356" spans="1:42" x14ac:dyDescent="0.25">
      <c r="A356" s="3">
        <v>4604609</v>
      </c>
      <c r="B356" s="3" t="s">
        <v>516</v>
      </c>
      <c r="C356" s="3" t="s">
        <v>1278</v>
      </c>
      <c r="D356" s="3">
        <v>10004394</v>
      </c>
      <c r="E356" s="4">
        <v>4533960</v>
      </c>
      <c r="F356" s="3" t="s">
        <v>49</v>
      </c>
      <c r="G356" s="4" t="s">
        <v>1494</v>
      </c>
      <c r="H356" s="4" t="s">
        <v>1495</v>
      </c>
      <c r="I356" s="5">
        <v>1324400</v>
      </c>
      <c r="J356" s="3" t="s">
        <v>76</v>
      </c>
      <c r="K356" s="3" t="s">
        <v>294</v>
      </c>
      <c r="L356" s="3" t="s">
        <v>196</v>
      </c>
      <c r="M356" s="4" t="s">
        <v>1495</v>
      </c>
      <c r="N356" s="3" t="s">
        <v>25</v>
      </c>
      <c r="Y356" s="4" t="s">
        <v>1079</v>
      </c>
      <c r="Z356" s="4" t="s">
        <v>1090</v>
      </c>
      <c r="AD356" s="3" t="s">
        <v>516</v>
      </c>
      <c r="AE356" s="3">
        <v>1000</v>
      </c>
      <c r="AI356" s="4" t="s">
        <v>1083</v>
      </c>
      <c r="AJ356" s="4" t="s">
        <v>1091</v>
      </c>
      <c r="AL356" s="4">
        <v>49295</v>
      </c>
      <c r="AM356" s="5">
        <v>1324400</v>
      </c>
      <c r="AN356" s="4" t="s">
        <v>124</v>
      </c>
      <c r="AO356" s="4">
        <v>99</v>
      </c>
      <c r="AP356" s="4">
        <v>80131500</v>
      </c>
    </row>
    <row r="357" spans="1:42" x14ac:dyDescent="0.25">
      <c r="A357" s="3">
        <v>4604610</v>
      </c>
      <c r="B357" s="3" t="s">
        <v>1496</v>
      </c>
      <c r="C357" s="3" t="s">
        <v>1278</v>
      </c>
      <c r="D357" s="3">
        <v>10004356</v>
      </c>
      <c r="E357" s="4">
        <v>4533961</v>
      </c>
      <c r="F357" s="3" t="s">
        <v>49</v>
      </c>
      <c r="G357" s="4" t="s">
        <v>1357</v>
      </c>
      <c r="H357" s="4" t="s">
        <v>1426</v>
      </c>
      <c r="I357" s="5">
        <v>414055</v>
      </c>
      <c r="J357" s="3" t="s">
        <v>76</v>
      </c>
      <c r="K357" s="3" t="s">
        <v>77</v>
      </c>
      <c r="L357" s="3" t="s">
        <v>196</v>
      </c>
      <c r="M357" s="4" t="s">
        <v>1426</v>
      </c>
      <c r="N357" s="3" t="s">
        <v>25</v>
      </c>
      <c r="Y357" s="4" t="s">
        <v>466</v>
      </c>
      <c r="Z357" s="4" t="s">
        <v>466</v>
      </c>
      <c r="AA357" s="4" t="s">
        <v>1497</v>
      </c>
      <c r="AD357" s="3" t="s">
        <v>1498</v>
      </c>
      <c r="AE357" s="3">
        <v>1000</v>
      </c>
      <c r="AI357" s="4" t="s">
        <v>468</v>
      </c>
      <c r="AJ357" s="4" t="s">
        <v>468</v>
      </c>
      <c r="AL357" s="4">
        <v>49941</v>
      </c>
      <c r="AM357" s="5">
        <v>414055</v>
      </c>
      <c r="AN357" s="4" t="s">
        <v>124</v>
      </c>
      <c r="AO357" s="4">
        <v>98</v>
      </c>
      <c r="AP357" s="4">
        <v>43230000</v>
      </c>
    </row>
    <row r="358" spans="1:42" x14ac:dyDescent="0.25">
      <c r="A358" s="3">
        <v>4604612</v>
      </c>
      <c r="B358" s="3" t="s">
        <v>1496</v>
      </c>
      <c r="C358" s="3" t="s">
        <v>1278</v>
      </c>
      <c r="D358" s="3">
        <v>10004392</v>
      </c>
      <c r="E358" s="4">
        <v>4533963</v>
      </c>
      <c r="F358" s="3" t="s">
        <v>49</v>
      </c>
      <c r="G358" s="4" t="s">
        <v>1499</v>
      </c>
      <c r="I358" s="5">
        <v>4900.01</v>
      </c>
      <c r="J358" s="3" t="s">
        <v>214</v>
      </c>
      <c r="K358" s="3" t="s">
        <v>77</v>
      </c>
      <c r="L358" s="3" t="s">
        <v>119</v>
      </c>
      <c r="M358" s="4" t="s">
        <v>1500</v>
      </c>
      <c r="N358" s="3" t="s">
        <v>56</v>
      </c>
      <c r="Y358" s="4" t="s">
        <v>466</v>
      </c>
      <c r="Z358" s="4" t="s">
        <v>466</v>
      </c>
      <c r="AD358" s="3" t="s">
        <v>1496</v>
      </c>
      <c r="AE358" s="3">
        <v>1000</v>
      </c>
      <c r="AI358" s="4" t="s">
        <v>468</v>
      </c>
      <c r="AJ358" s="4" t="s">
        <v>468</v>
      </c>
      <c r="AL358" s="4">
        <v>140751</v>
      </c>
      <c r="AM358" s="5">
        <v>4900.01</v>
      </c>
      <c r="AN358" s="4" t="s">
        <v>124</v>
      </c>
    </row>
    <row r="359" spans="1:42" x14ac:dyDescent="0.25">
      <c r="A359" s="3">
        <v>4604613</v>
      </c>
      <c r="B359" s="3" t="s">
        <v>211</v>
      </c>
      <c r="C359" s="3" t="s">
        <v>1278</v>
      </c>
      <c r="D359" s="3">
        <v>10004396</v>
      </c>
      <c r="E359" s="4">
        <v>4533964</v>
      </c>
      <c r="F359" s="3" t="s">
        <v>49</v>
      </c>
      <c r="G359" s="4" t="s">
        <v>1053</v>
      </c>
      <c r="I359" s="5">
        <v>4967.0600000000004</v>
      </c>
      <c r="J359" s="3" t="s">
        <v>1052</v>
      </c>
      <c r="K359" s="3" t="s">
        <v>832</v>
      </c>
      <c r="L359" s="3" t="s">
        <v>119</v>
      </c>
      <c r="M359" s="4" t="s">
        <v>1501</v>
      </c>
      <c r="N359" s="3" t="s">
        <v>56</v>
      </c>
      <c r="Y359" s="4" t="s">
        <v>1056</v>
      </c>
      <c r="Z359" s="4" t="s">
        <v>1090</v>
      </c>
      <c r="AD359" s="3" t="s">
        <v>211</v>
      </c>
      <c r="AE359" s="3">
        <v>1000</v>
      </c>
      <c r="AI359" s="4" t="s">
        <v>1058</v>
      </c>
      <c r="AJ359" s="4" t="s">
        <v>1091</v>
      </c>
      <c r="AL359" s="4">
        <v>140248</v>
      </c>
      <c r="AM359" s="5">
        <v>4967.0600000000004</v>
      </c>
      <c r="AN359" s="4" t="s">
        <v>124</v>
      </c>
    </row>
    <row r="360" spans="1:42" x14ac:dyDescent="0.25">
      <c r="A360" s="3">
        <v>4604614</v>
      </c>
      <c r="B360" s="3" t="s">
        <v>211</v>
      </c>
      <c r="C360" s="3" t="s">
        <v>1278</v>
      </c>
      <c r="D360" s="3">
        <v>10004400</v>
      </c>
      <c r="E360" s="4">
        <v>4533965</v>
      </c>
      <c r="F360" s="3" t="s">
        <v>49</v>
      </c>
      <c r="G360" s="4" t="s">
        <v>1502</v>
      </c>
      <c r="H360" s="4" t="s">
        <v>1503</v>
      </c>
      <c r="I360" s="5">
        <v>316800</v>
      </c>
      <c r="J360" s="3" t="s">
        <v>1121</v>
      </c>
      <c r="K360" s="3" t="s">
        <v>77</v>
      </c>
      <c r="L360" s="3" t="s">
        <v>119</v>
      </c>
      <c r="M360" s="4" t="s">
        <v>1503</v>
      </c>
      <c r="N360" s="3" t="s">
        <v>56</v>
      </c>
      <c r="Y360" s="4" t="s">
        <v>405</v>
      </c>
      <c r="Z360" s="4" t="s">
        <v>1090</v>
      </c>
      <c r="AA360" s="4" t="s">
        <v>412</v>
      </c>
      <c r="AB360" s="3" t="s">
        <v>1504</v>
      </c>
      <c r="AC360" s="3" t="s">
        <v>414</v>
      </c>
      <c r="AD360" s="3" t="s">
        <v>1159</v>
      </c>
      <c r="AE360" s="3">
        <v>1000</v>
      </c>
      <c r="AI360" s="4" t="s">
        <v>408</v>
      </c>
      <c r="AJ360" s="4" t="s">
        <v>1091</v>
      </c>
      <c r="AL360" s="4">
        <v>49955</v>
      </c>
      <c r="AM360" s="5">
        <v>316800</v>
      </c>
      <c r="AN360" s="4" t="s">
        <v>124</v>
      </c>
      <c r="AO360" s="4">
        <v>99</v>
      </c>
      <c r="AP360" s="4">
        <v>81112200</v>
      </c>
    </row>
    <row r="361" spans="1:42" x14ac:dyDescent="0.25">
      <c r="A361" s="3">
        <v>4604615</v>
      </c>
      <c r="B361" s="3" t="s">
        <v>211</v>
      </c>
      <c r="C361" s="3" t="s">
        <v>1278</v>
      </c>
      <c r="D361" s="3">
        <v>10004399</v>
      </c>
      <c r="E361" s="4">
        <v>4533966</v>
      </c>
      <c r="F361" s="3" t="s">
        <v>49</v>
      </c>
      <c r="G361" s="4" t="s">
        <v>1505</v>
      </c>
      <c r="H361" s="4" t="s">
        <v>1506</v>
      </c>
      <c r="I361" s="5">
        <v>308000</v>
      </c>
      <c r="J361" s="3" t="s">
        <v>1121</v>
      </c>
      <c r="K361" s="3" t="s">
        <v>77</v>
      </c>
      <c r="L361" s="3" t="s">
        <v>119</v>
      </c>
      <c r="M361" s="4" t="s">
        <v>1506</v>
      </c>
      <c r="N361" s="3" t="s">
        <v>56</v>
      </c>
      <c r="Y361" s="4" t="s">
        <v>1222</v>
      </c>
      <c r="Z361" s="4" t="s">
        <v>1090</v>
      </c>
      <c r="AA361" s="4" t="s">
        <v>412</v>
      </c>
      <c r="AB361" s="3" t="s">
        <v>1507</v>
      </c>
      <c r="AC361" s="3" t="s">
        <v>414</v>
      </c>
      <c r="AD361" s="3" t="s">
        <v>1052</v>
      </c>
      <c r="AE361" s="3">
        <v>1000</v>
      </c>
      <c r="AI361" s="4" t="s">
        <v>1226</v>
      </c>
      <c r="AJ361" s="4" t="s">
        <v>1091</v>
      </c>
      <c r="AL361" s="4">
        <v>141470</v>
      </c>
      <c r="AM361" s="5">
        <v>308000</v>
      </c>
      <c r="AN361" s="4" t="s">
        <v>124</v>
      </c>
      <c r="AO361" s="4">
        <v>99</v>
      </c>
      <c r="AP361" s="4">
        <v>81112200</v>
      </c>
    </row>
    <row r="362" spans="1:42" x14ac:dyDescent="0.25">
      <c r="A362" s="3">
        <v>4604616</v>
      </c>
      <c r="B362" s="3" t="s">
        <v>1136</v>
      </c>
      <c r="C362" s="3" t="s">
        <v>1278</v>
      </c>
      <c r="D362" s="3">
        <v>10004397</v>
      </c>
      <c r="E362" s="4">
        <v>4533967</v>
      </c>
      <c r="F362" s="3" t="s">
        <v>49</v>
      </c>
      <c r="G362" s="4" t="s">
        <v>1508</v>
      </c>
      <c r="H362" s="4" t="s">
        <v>1509</v>
      </c>
      <c r="I362" s="5">
        <v>270600</v>
      </c>
      <c r="J362" s="3" t="s">
        <v>1121</v>
      </c>
      <c r="K362" s="3" t="s">
        <v>77</v>
      </c>
      <c r="L362" s="3" t="s">
        <v>119</v>
      </c>
      <c r="M362" s="4" t="s">
        <v>1503</v>
      </c>
      <c r="N362" s="3" t="s">
        <v>56</v>
      </c>
      <c r="Y362" s="4" t="s">
        <v>1510</v>
      </c>
      <c r="Z362" s="4" t="s">
        <v>1090</v>
      </c>
      <c r="AA362" s="4" t="s">
        <v>412</v>
      </c>
      <c r="AB362" s="3" t="s">
        <v>1511</v>
      </c>
      <c r="AC362" s="3" t="s">
        <v>414</v>
      </c>
      <c r="AD362" s="3" t="s">
        <v>1136</v>
      </c>
      <c r="AE362" s="3">
        <v>1000</v>
      </c>
      <c r="AI362" s="4" t="s">
        <v>1512</v>
      </c>
      <c r="AJ362" s="4" t="s">
        <v>1091</v>
      </c>
      <c r="AL362" s="4">
        <v>140653</v>
      </c>
      <c r="AM362" s="5">
        <v>270600</v>
      </c>
      <c r="AN362" s="4" t="s">
        <v>124</v>
      </c>
      <c r="AO362" s="4">
        <v>98</v>
      </c>
      <c r="AP362" s="4">
        <v>81112200</v>
      </c>
    </row>
    <row r="363" spans="1:42" x14ac:dyDescent="0.25">
      <c r="A363" s="3">
        <v>4604618</v>
      </c>
      <c r="B363" s="3" t="s">
        <v>1425</v>
      </c>
      <c r="C363" s="3" t="s">
        <v>1278</v>
      </c>
      <c r="D363" s="3">
        <v>10004402</v>
      </c>
      <c r="E363" s="4">
        <v>4533969</v>
      </c>
      <c r="F363" s="3" t="s">
        <v>49</v>
      </c>
      <c r="G363" s="4" t="s">
        <v>1517</v>
      </c>
      <c r="H363" s="4" t="s">
        <v>1518</v>
      </c>
      <c r="I363" s="5">
        <v>72000</v>
      </c>
      <c r="J363" s="3" t="s">
        <v>1121</v>
      </c>
      <c r="K363" s="3" t="s">
        <v>832</v>
      </c>
      <c r="L363" s="3" t="s">
        <v>196</v>
      </c>
      <c r="M363" s="4" t="s">
        <v>1518</v>
      </c>
      <c r="N363" s="3" t="s">
        <v>25</v>
      </c>
      <c r="Y363" s="4" t="s">
        <v>405</v>
      </c>
      <c r="Z363" s="4" t="s">
        <v>1090</v>
      </c>
      <c r="AD363" s="3" t="s">
        <v>407</v>
      </c>
      <c r="AE363" s="3">
        <v>1000</v>
      </c>
      <c r="AI363" s="4" t="s">
        <v>408</v>
      </c>
      <c r="AJ363" s="4" t="s">
        <v>1091</v>
      </c>
      <c r="AL363" s="4">
        <v>49903</v>
      </c>
      <c r="AM363" s="5">
        <v>72000</v>
      </c>
      <c r="AN363" s="4" t="s">
        <v>124</v>
      </c>
      <c r="AO363" s="4">
        <v>98</v>
      </c>
      <c r="AP363" s="4">
        <v>81112200</v>
      </c>
    </row>
    <row r="364" spans="1:42" x14ac:dyDescent="0.25">
      <c r="A364" s="3">
        <v>4604622</v>
      </c>
      <c r="B364" s="3" t="s">
        <v>1351</v>
      </c>
      <c r="C364" s="3" t="s">
        <v>1278</v>
      </c>
      <c r="D364" s="3">
        <v>10004404</v>
      </c>
      <c r="E364" s="4">
        <v>4533973</v>
      </c>
      <c r="F364" s="3" t="s">
        <v>49</v>
      </c>
      <c r="G364" s="4" t="s">
        <v>1519</v>
      </c>
      <c r="I364" s="5">
        <v>5032.5</v>
      </c>
      <c r="J364" s="3" t="s">
        <v>258</v>
      </c>
      <c r="K364" s="3" t="s">
        <v>829</v>
      </c>
      <c r="L364" s="3" t="s">
        <v>119</v>
      </c>
      <c r="M364" s="4" t="s">
        <v>1520</v>
      </c>
      <c r="N364" s="3" t="s">
        <v>56</v>
      </c>
      <c r="Y364" s="4" t="s">
        <v>1336</v>
      </c>
      <c r="Z364" s="4" t="s">
        <v>1336</v>
      </c>
      <c r="AD364" s="3" t="s">
        <v>1121</v>
      </c>
      <c r="AE364" s="3">
        <v>1000</v>
      </c>
      <c r="AI364" s="4" t="s">
        <v>1337</v>
      </c>
      <c r="AJ364" s="4" t="s">
        <v>1337</v>
      </c>
      <c r="AL364" s="4">
        <v>43189</v>
      </c>
      <c r="AM364" s="5">
        <v>5032.5</v>
      </c>
      <c r="AN364" s="4" t="s">
        <v>124</v>
      </c>
    </row>
    <row r="365" spans="1:42" x14ac:dyDescent="0.25">
      <c r="A365" s="3">
        <v>4604624</v>
      </c>
      <c r="B365" s="3" t="s">
        <v>439</v>
      </c>
      <c r="C365" s="3" t="s">
        <v>1278</v>
      </c>
      <c r="D365" s="3">
        <v>10004407</v>
      </c>
      <c r="E365" s="4">
        <v>4533975</v>
      </c>
      <c r="F365" s="3" t="s">
        <v>49</v>
      </c>
      <c r="G365" s="4" t="s">
        <v>1527</v>
      </c>
      <c r="H365" s="4" t="s">
        <v>1528</v>
      </c>
      <c r="I365" s="5">
        <v>20913.560000000001</v>
      </c>
      <c r="J365" s="3" t="s">
        <v>1462</v>
      </c>
      <c r="K365" s="3" t="s">
        <v>77</v>
      </c>
      <c r="L365" s="3" t="s">
        <v>196</v>
      </c>
      <c r="M365" s="4" t="s">
        <v>1528</v>
      </c>
      <c r="N365" s="3" t="s">
        <v>25</v>
      </c>
      <c r="Y365" s="4" t="s">
        <v>1068</v>
      </c>
      <c r="Z365" s="4" t="s">
        <v>1090</v>
      </c>
      <c r="AD365" s="3" t="s">
        <v>1209</v>
      </c>
      <c r="AE365" s="3">
        <v>1000</v>
      </c>
      <c r="AI365" s="4" t="s">
        <v>1071</v>
      </c>
      <c r="AJ365" s="4" t="s">
        <v>1091</v>
      </c>
      <c r="AL365" s="4">
        <v>140948</v>
      </c>
      <c r="AM365" s="5">
        <v>20913.560000000001</v>
      </c>
      <c r="AN365" s="4" t="s">
        <v>124</v>
      </c>
      <c r="AO365" s="4">
        <v>99</v>
      </c>
      <c r="AP365" s="4">
        <v>83100000</v>
      </c>
    </row>
    <row r="366" spans="1:42" x14ac:dyDescent="0.25">
      <c r="A366" s="3">
        <v>4604625</v>
      </c>
      <c r="B366" s="3" t="s">
        <v>436</v>
      </c>
      <c r="C366" s="3" t="s">
        <v>1278</v>
      </c>
      <c r="D366" s="3">
        <v>10004406</v>
      </c>
      <c r="E366" s="4">
        <v>4533976</v>
      </c>
      <c r="F366" s="3" t="s">
        <v>49</v>
      </c>
      <c r="G366" s="4" t="s">
        <v>1529</v>
      </c>
      <c r="H366" s="4" t="s">
        <v>1530</v>
      </c>
      <c r="I366" s="5">
        <v>50000</v>
      </c>
      <c r="J366" s="3" t="s">
        <v>76</v>
      </c>
      <c r="K366" s="3" t="s">
        <v>77</v>
      </c>
      <c r="L366" s="3" t="s">
        <v>119</v>
      </c>
      <c r="M366" s="4" t="s">
        <v>1530</v>
      </c>
      <c r="N366" s="3" t="s">
        <v>56</v>
      </c>
      <c r="Y366" s="4" t="s">
        <v>540</v>
      </c>
      <c r="Z366" s="4" t="s">
        <v>1090</v>
      </c>
      <c r="AA366" s="4" t="s">
        <v>1531</v>
      </c>
      <c r="AB366" s="3" t="s">
        <v>1531</v>
      </c>
      <c r="AC366" s="3" t="s">
        <v>1532</v>
      </c>
      <c r="AD366" s="3" t="s">
        <v>436</v>
      </c>
      <c r="AE366" s="3">
        <v>1000</v>
      </c>
      <c r="AI366" s="4" t="s">
        <v>542</v>
      </c>
      <c r="AJ366" s="4" t="s">
        <v>1091</v>
      </c>
      <c r="AL366" s="4">
        <v>49058</v>
      </c>
      <c r="AM366" s="5">
        <v>50000</v>
      </c>
      <c r="AN366" s="4" t="s">
        <v>124</v>
      </c>
      <c r="AO366" s="4">
        <v>98</v>
      </c>
      <c r="AP366" s="4">
        <v>72102200</v>
      </c>
    </row>
    <row r="367" spans="1:42" x14ac:dyDescent="0.25">
      <c r="A367" s="3">
        <v>4604626</v>
      </c>
      <c r="B367" s="3" t="s">
        <v>287</v>
      </c>
      <c r="C367" s="3" t="s">
        <v>1278</v>
      </c>
      <c r="D367" s="3">
        <v>10004409</v>
      </c>
      <c r="E367" s="4">
        <v>4533977</v>
      </c>
      <c r="F367" s="3" t="s">
        <v>49</v>
      </c>
      <c r="G367" s="4" t="s">
        <v>1533</v>
      </c>
      <c r="I367" s="5">
        <v>3798.08</v>
      </c>
      <c r="J367" s="3" t="s">
        <v>818</v>
      </c>
      <c r="K367" s="3" t="s">
        <v>77</v>
      </c>
      <c r="L367" s="3" t="s">
        <v>196</v>
      </c>
      <c r="M367" s="4" t="s">
        <v>1534</v>
      </c>
      <c r="N367" s="3" t="s">
        <v>25</v>
      </c>
      <c r="Y367" s="4" t="s">
        <v>1079</v>
      </c>
      <c r="Z367" s="4" t="s">
        <v>1090</v>
      </c>
      <c r="AD367" s="3" t="s">
        <v>287</v>
      </c>
      <c r="AE367" s="3">
        <v>1000</v>
      </c>
      <c r="AI367" s="4" t="s">
        <v>1083</v>
      </c>
      <c r="AJ367" s="4" t="s">
        <v>1091</v>
      </c>
      <c r="AL367" s="4">
        <v>140413</v>
      </c>
      <c r="AM367" s="5">
        <v>3798.08</v>
      </c>
      <c r="AN367" s="4" t="s">
        <v>124</v>
      </c>
    </row>
    <row r="368" spans="1:42" x14ac:dyDescent="0.25">
      <c r="A368" s="3">
        <v>4604627</v>
      </c>
      <c r="B368" s="3" t="s">
        <v>1394</v>
      </c>
      <c r="C368" s="3" t="s">
        <v>1278</v>
      </c>
      <c r="D368" s="3">
        <v>10004410</v>
      </c>
      <c r="E368" s="4">
        <v>4533978</v>
      </c>
      <c r="F368" s="3" t="s">
        <v>49</v>
      </c>
      <c r="G368" s="4" t="s">
        <v>1535</v>
      </c>
      <c r="H368" s="4" t="s">
        <v>1536</v>
      </c>
      <c r="I368" s="5">
        <v>135648.82999999999</v>
      </c>
      <c r="J368" s="3" t="s">
        <v>1537</v>
      </c>
      <c r="K368" s="3" t="s">
        <v>1538</v>
      </c>
      <c r="L368" s="3" t="s">
        <v>196</v>
      </c>
      <c r="M368" s="4" t="s">
        <v>1536</v>
      </c>
      <c r="N368" s="3" t="s">
        <v>25</v>
      </c>
      <c r="Y368" s="4" t="s">
        <v>1539</v>
      </c>
      <c r="Z368" s="4" t="s">
        <v>1539</v>
      </c>
      <c r="AD368" s="3" t="s">
        <v>1537</v>
      </c>
      <c r="AE368" s="3">
        <v>1000</v>
      </c>
      <c r="AI368" s="4" t="s">
        <v>1540</v>
      </c>
      <c r="AJ368" s="4" t="s">
        <v>1540</v>
      </c>
      <c r="AL368" s="4">
        <v>30292</v>
      </c>
      <c r="AM368" s="5">
        <v>135648.82999999999</v>
      </c>
      <c r="AN368" s="4" t="s">
        <v>124</v>
      </c>
      <c r="AO368" s="4">
        <v>99</v>
      </c>
      <c r="AP368" s="4">
        <v>80160000</v>
      </c>
    </row>
    <row r="369" spans="1:42" x14ac:dyDescent="0.25">
      <c r="A369" s="3">
        <v>4604629</v>
      </c>
      <c r="B369" s="3" t="s">
        <v>1481</v>
      </c>
      <c r="C369" s="3" t="s">
        <v>1278</v>
      </c>
      <c r="D369" s="3">
        <v>10004422</v>
      </c>
      <c r="E369" s="4">
        <v>4533980</v>
      </c>
      <c r="F369" s="3" t="s">
        <v>49</v>
      </c>
      <c r="G369" s="4" t="s">
        <v>1541</v>
      </c>
      <c r="H369" s="4" t="s">
        <v>1542</v>
      </c>
      <c r="I369" s="5">
        <v>10449.65</v>
      </c>
      <c r="J369" s="3" t="s">
        <v>76</v>
      </c>
      <c r="K369" s="3" t="s">
        <v>77</v>
      </c>
      <c r="L369" s="3" t="s">
        <v>196</v>
      </c>
      <c r="M369" s="4" t="s">
        <v>1542</v>
      </c>
      <c r="N369" s="3" t="s">
        <v>25</v>
      </c>
      <c r="Y369" s="4" t="s">
        <v>344</v>
      </c>
      <c r="Z369" s="4" t="s">
        <v>344</v>
      </c>
      <c r="AD369" s="3" t="s">
        <v>1481</v>
      </c>
      <c r="AE369" s="3">
        <v>1000</v>
      </c>
      <c r="AI369" s="4" t="s">
        <v>345</v>
      </c>
      <c r="AJ369" s="4" t="s">
        <v>345</v>
      </c>
      <c r="AL369" s="4">
        <v>140298</v>
      </c>
      <c r="AM369" s="5">
        <v>10449.65</v>
      </c>
      <c r="AN369" s="4" t="s">
        <v>124</v>
      </c>
      <c r="AO369" s="4">
        <v>99</v>
      </c>
      <c r="AP369" s="4">
        <v>43230000</v>
      </c>
    </row>
    <row r="370" spans="1:42" x14ac:dyDescent="0.25">
      <c r="A370" s="3">
        <v>4604631</v>
      </c>
      <c r="B370" s="3" t="s">
        <v>1543</v>
      </c>
      <c r="C370" s="3" t="s">
        <v>1278</v>
      </c>
      <c r="D370" s="3">
        <v>10004426</v>
      </c>
      <c r="E370" s="4">
        <v>4533982</v>
      </c>
      <c r="F370" s="3" t="s">
        <v>49</v>
      </c>
      <c r="G370" s="4" t="s">
        <v>1544</v>
      </c>
      <c r="H370" s="4" t="s">
        <v>1545</v>
      </c>
      <c r="I370" s="5">
        <v>15000</v>
      </c>
      <c r="J370" s="3" t="s">
        <v>1543</v>
      </c>
      <c r="K370" s="3" t="s">
        <v>77</v>
      </c>
      <c r="L370" s="3" t="s">
        <v>196</v>
      </c>
      <c r="M370" s="4" t="s">
        <v>1546</v>
      </c>
      <c r="N370" s="3" t="s">
        <v>25</v>
      </c>
      <c r="Y370" s="4" t="s">
        <v>1056</v>
      </c>
      <c r="Z370" s="4" t="s">
        <v>1090</v>
      </c>
      <c r="AD370" s="3" t="s">
        <v>1543</v>
      </c>
      <c r="AE370" s="3">
        <v>1000</v>
      </c>
      <c r="AI370" s="4" t="s">
        <v>1058</v>
      </c>
      <c r="AJ370" s="4" t="s">
        <v>1091</v>
      </c>
      <c r="AL370" s="4">
        <v>40356</v>
      </c>
      <c r="AM370" s="5">
        <v>15000</v>
      </c>
      <c r="AN370" s="4" t="s">
        <v>124</v>
      </c>
      <c r="AO370" s="4">
        <v>99</v>
      </c>
      <c r="AP370" s="4">
        <v>78141501</v>
      </c>
    </row>
    <row r="371" spans="1:42" x14ac:dyDescent="0.25">
      <c r="A371" s="3">
        <v>4604635</v>
      </c>
      <c r="B371" s="3" t="s">
        <v>259</v>
      </c>
      <c r="C371" s="3" t="s">
        <v>1278</v>
      </c>
      <c r="D371" s="3">
        <v>10004431</v>
      </c>
      <c r="E371" s="4">
        <v>4533986</v>
      </c>
      <c r="F371" s="3" t="s">
        <v>49</v>
      </c>
      <c r="G371" s="4" t="s">
        <v>1547</v>
      </c>
      <c r="I371" s="5">
        <v>8470.02</v>
      </c>
      <c r="J371" s="3" t="s">
        <v>259</v>
      </c>
      <c r="K371" s="3" t="s">
        <v>321</v>
      </c>
      <c r="L371" s="3" t="s">
        <v>196</v>
      </c>
      <c r="M371" s="4" t="s">
        <v>1548</v>
      </c>
      <c r="N371" s="3" t="s">
        <v>25</v>
      </c>
      <c r="Y371" s="4" t="s">
        <v>179</v>
      </c>
      <c r="Z371" s="4" t="s">
        <v>179</v>
      </c>
      <c r="AD371" s="3" t="s">
        <v>1496</v>
      </c>
      <c r="AE371" s="3">
        <v>1000</v>
      </c>
      <c r="AI371" s="4" t="s">
        <v>182</v>
      </c>
      <c r="AJ371" s="4" t="s">
        <v>182</v>
      </c>
      <c r="AL371" s="4">
        <v>48169</v>
      </c>
      <c r="AM371" s="5">
        <v>8470.02</v>
      </c>
      <c r="AN371" s="4" t="s">
        <v>124</v>
      </c>
    </row>
    <row r="372" spans="1:42" x14ac:dyDescent="0.25">
      <c r="A372" s="3">
        <v>4604637</v>
      </c>
      <c r="B372" s="3" t="s">
        <v>436</v>
      </c>
      <c r="C372" s="3" t="s">
        <v>1278</v>
      </c>
      <c r="D372" s="3">
        <v>10004435</v>
      </c>
      <c r="E372" s="4">
        <v>4533988</v>
      </c>
      <c r="F372" s="3" t="s">
        <v>49</v>
      </c>
      <c r="G372" s="4" t="s">
        <v>1551</v>
      </c>
      <c r="H372" s="4" t="s">
        <v>1552</v>
      </c>
      <c r="I372" s="5">
        <v>26176.42</v>
      </c>
      <c r="J372" s="3" t="s">
        <v>223</v>
      </c>
      <c r="K372" s="3" t="s">
        <v>832</v>
      </c>
      <c r="L372" s="3" t="s">
        <v>196</v>
      </c>
      <c r="M372" s="4" t="s">
        <v>1552</v>
      </c>
      <c r="N372" s="3" t="s">
        <v>25</v>
      </c>
      <c r="O372" s="3" t="s">
        <v>139</v>
      </c>
      <c r="P372" s="4" t="s">
        <v>140</v>
      </c>
      <c r="Y372" s="4" t="s">
        <v>1079</v>
      </c>
      <c r="Z372" s="4" t="s">
        <v>1430</v>
      </c>
      <c r="AD372" s="3" t="s">
        <v>436</v>
      </c>
      <c r="AE372" s="3">
        <v>1000</v>
      </c>
      <c r="AI372" s="4" t="s">
        <v>1083</v>
      </c>
      <c r="AJ372" s="4" t="s">
        <v>1432</v>
      </c>
      <c r="AK372" s="3" t="s">
        <v>143</v>
      </c>
      <c r="AL372" s="4">
        <v>141105</v>
      </c>
      <c r="AM372" s="5">
        <v>26176.42</v>
      </c>
      <c r="AN372" s="4" t="s">
        <v>124</v>
      </c>
      <c r="AO372" s="4">
        <v>99</v>
      </c>
      <c r="AP372" s="4">
        <v>80101505</v>
      </c>
    </row>
    <row r="373" spans="1:42" x14ac:dyDescent="0.25">
      <c r="A373" s="3">
        <v>4604638</v>
      </c>
      <c r="B373" s="3" t="s">
        <v>223</v>
      </c>
      <c r="C373" s="3" t="s">
        <v>1278</v>
      </c>
      <c r="D373" s="3">
        <v>10004425</v>
      </c>
      <c r="E373" s="4">
        <v>4533989</v>
      </c>
      <c r="F373" s="3" t="s">
        <v>49</v>
      </c>
      <c r="G373" s="4" t="s">
        <v>1053</v>
      </c>
      <c r="H373" s="4" t="s">
        <v>1294</v>
      </c>
      <c r="I373" s="5">
        <v>58231.1</v>
      </c>
      <c r="J373" s="3" t="s">
        <v>1039</v>
      </c>
      <c r="K373" s="3" t="s">
        <v>832</v>
      </c>
      <c r="L373" s="3" t="s">
        <v>119</v>
      </c>
      <c r="M373" s="4" t="s">
        <v>1553</v>
      </c>
      <c r="N373" s="3" t="s">
        <v>56</v>
      </c>
      <c r="Y373" s="4" t="s">
        <v>1056</v>
      </c>
      <c r="Z373" s="4" t="s">
        <v>1090</v>
      </c>
      <c r="AA373" s="4" t="s">
        <v>1057</v>
      </c>
      <c r="AB373" s="3" t="s">
        <v>1057</v>
      </c>
      <c r="AC373" s="3" t="s">
        <v>1340</v>
      </c>
      <c r="AD373" s="3" t="s">
        <v>223</v>
      </c>
      <c r="AE373" s="3">
        <v>1000</v>
      </c>
      <c r="AI373" s="4" t="s">
        <v>1058</v>
      </c>
      <c r="AJ373" s="4" t="s">
        <v>1091</v>
      </c>
      <c r="AL373" s="4">
        <v>140248</v>
      </c>
      <c r="AM373" s="5">
        <v>58231.1</v>
      </c>
      <c r="AN373" s="4" t="s">
        <v>124</v>
      </c>
      <c r="AO373" s="4">
        <v>99</v>
      </c>
      <c r="AP373" s="4">
        <v>43230000</v>
      </c>
    </row>
    <row r="374" spans="1:42" x14ac:dyDescent="0.25">
      <c r="A374" s="3">
        <v>4604639</v>
      </c>
      <c r="B374" s="3" t="s">
        <v>1554</v>
      </c>
      <c r="C374" s="3" t="s">
        <v>1278</v>
      </c>
      <c r="D374" s="3">
        <v>10004427</v>
      </c>
      <c r="E374" s="4">
        <v>4533990</v>
      </c>
      <c r="F374" s="3" t="s">
        <v>49</v>
      </c>
      <c r="G374" s="4" t="s">
        <v>1555</v>
      </c>
      <c r="H374" s="4" t="s">
        <v>1556</v>
      </c>
      <c r="I374" s="5">
        <v>52800.05</v>
      </c>
      <c r="J374" s="3" t="s">
        <v>259</v>
      </c>
      <c r="K374" s="3" t="s">
        <v>997</v>
      </c>
      <c r="L374" s="3" t="s">
        <v>119</v>
      </c>
      <c r="M374" s="4" t="s">
        <v>1557</v>
      </c>
      <c r="N374" s="3" t="s">
        <v>56</v>
      </c>
      <c r="Y374" s="4" t="s">
        <v>1056</v>
      </c>
      <c r="Z374" s="4" t="s">
        <v>1090</v>
      </c>
      <c r="AA374" s="4" t="s">
        <v>1558</v>
      </c>
      <c r="AB374" s="3" t="s">
        <v>1559</v>
      </c>
      <c r="AC374" s="3" t="s">
        <v>1560</v>
      </c>
      <c r="AD374" s="3" t="s">
        <v>223</v>
      </c>
      <c r="AE374" s="3">
        <v>1000</v>
      </c>
      <c r="AI374" s="4" t="s">
        <v>1058</v>
      </c>
      <c r="AJ374" s="4" t="s">
        <v>1091</v>
      </c>
      <c r="AL374" s="4">
        <v>41579</v>
      </c>
      <c r="AM374" s="5">
        <v>52800.05</v>
      </c>
      <c r="AN374" s="4" t="s">
        <v>124</v>
      </c>
      <c r="AO374" s="4">
        <v>99</v>
      </c>
      <c r="AP374" s="4">
        <v>43220000</v>
      </c>
    </row>
    <row r="375" spans="1:42" x14ac:dyDescent="0.25">
      <c r="A375" s="3">
        <v>4604640</v>
      </c>
      <c r="B375" s="3" t="s">
        <v>1554</v>
      </c>
      <c r="C375" s="3" t="s">
        <v>1278</v>
      </c>
      <c r="D375" s="3">
        <v>10004432</v>
      </c>
      <c r="E375" s="4">
        <v>4533991</v>
      </c>
      <c r="F375" s="3" t="s">
        <v>49</v>
      </c>
      <c r="G375" s="4" t="s">
        <v>1561</v>
      </c>
      <c r="H375" s="4" t="s">
        <v>1562</v>
      </c>
      <c r="I375" s="5">
        <v>37600</v>
      </c>
      <c r="J375" s="3" t="s">
        <v>1563</v>
      </c>
      <c r="K375" s="3" t="s">
        <v>997</v>
      </c>
      <c r="L375" s="3" t="s">
        <v>196</v>
      </c>
      <c r="M375" s="4" t="s">
        <v>1564</v>
      </c>
      <c r="N375" s="3" t="s">
        <v>25</v>
      </c>
      <c r="Y375" s="4" t="s">
        <v>1056</v>
      </c>
      <c r="Z375" s="4" t="s">
        <v>1090</v>
      </c>
      <c r="AD375" s="3" t="s">
        <v>223</v>
      </c>
      <c r="AE375" s="3">
        <v>1000</v>
      </c>
      <c r="AI375" s="4" t="s">
        <v>1058</v>
      </c>
      <c r="AJ375" s="4" t="s">
        <v>1091</v>
      </c>
      <c r="AL375" s="4">
        <v>30955</v>
      </c>
      <c r="AM375" s="5">
        <v>37600</v>
      </c>
      <c r="AN375" s="4" t="s">
        <v>124</v>
      </c>
      <c r="AO375" s="4">
        <v>99</v>
      </c>
    </row>
    <row r="376" spans="1:42" x14ac:dyDescent="0.25">
      <c r="A376" s="3">
        <v>4604641</v>
      </c>
      <c r="B376" s="3" t="s">
        <v>1565</v>
      </c>
      <c r="C376" s="3" t="s">
        <v>1278</v>
      </c>
      <c r="D376" s="3">
        <v>10004387</v>
      </c>
      <c r="E376" s="4">
        <v>4533992</v>
      </c>
      <c r="F376" s="3" t="s">
        <v>49</v>
      </c>
      <c r="G376" s="4" t="s">
        <v>1566</v>
      </c>
      <c r="H376" s="4" t="s">
        <v>1567</v>
      </c>
      <c r="I376" s="5">
        <v>11000</v>
      </c>
      <c r="J376" s="3" t="s">
        <v>1565</v>
      </c>
      <c r="K376" s="3" t="s">
        <v>1568</v>
      </c>
      <c r="L376" s="3" t="s">
        <v>196</v>
      </c>
      <c r="M376" s="4" t="s">
        <v>1567</v>
      </c>
      <c r="N376" s="3" t="s">
        <v>25</v>
      </c>
      <c r="Y376" s="4" t="s">
        <v>1309</v>
      </c>
      <c r="Z376" s="4" t="s">
        <v>1569</v>
      </c>
      <c r="AD376" s="3" t="s">
        <v>1570</v>
      </c>
      <c r="AE376" s="3">
        <v>1000</v>
      </c>
      <c r="AI376" s="4" t="s">
        <v>1313</v>
      </c>
      <c r="AJ376" s="4" t="s">
        <v>1571</v>
      </c>
      <c r="AL376" s="4">
        <v>140505</v>
      </c>
      <c r="AM376" s="5">
        <v>11000</v>
      </c>
      <c r="AN376" s="4" t="s">
        <v>124</v>
      </c>
      <c r="AO376" s="4">
        <v>99</v>
      </c>
      <c r="AP376" s="4">
        <v>82141501</v>
      </c>
    </row>
    <row r="377" spans="1:42" x14ac:dyDescent="0.25">
      <c r="A377" s="3">
        <v>4604642</v>
      </c>
      <c r="B377" s="3" t="s">
        <v>214</v>
      </c>
      <c r="C377" s="3" t="s">
        <v>1278</v>
      </c>
      <c r="D377" s="3">
        <v>10004436</v>
      </c>
      <c r="E377" s="4">
        <v>4533993</v>
      </c>
      <c r="F377" s="3" t="s">
        <v>49</v>
      </c>
      <c r="G377" s="4" t="s">
        <v>1245</v>
      </c>
      <c r="H377" s="4" t="s">
        <v>1572</v>
      </c>
      <c r="I377" s="5">
        <v>14392</v>
      </c>
      <c r="J377" s="3" t="s">
        <v>214</v>
      </c>
      <c r="K377" s="3" t="s">
        <v>1573</v>
      </c>
      <c r="L377" s="3" t="s">
        <v>196</v>
      </c>
      <c r="M377" s="4" t="s">
        <v>1574</v>
      </c>
      <c r="N377" s="3" t="s">
        <v>25</v>
      </c>
      <c r="Y377" s="4" t="s">
        <v>1249</v>
      </c>
      <c r="Z377" s="4" t="s">
        <v>1090</v>
      </c>
      <c r="AD377" s="3" t="s">
        <v>223</v>
      </c>
      <c r="AE377" s="3">
        <v>1000</v>
      </c>
      <c r="AI377" s="4" t="s">
        <v>1250</v>
      </c>
      <c r="AJ377" s="4" t="s">
        <v>1091</v>
      </c>
      <c r="AL377" s="4">
        <v>140158</v>
      </c>
      <c r="AM377" s="5">
        <v>14392</v>
      </c>
      <c r="AN377" s="4" t="s">
        <v>124</v>
      </c>
      <c r="AO377" s="4">
        <v>99</v>
      </c>
      <c r="AP377" s="4">
        <v>76111500</v>
      </c>
    </row>
    <row r="378" spans="1:42" x14ac:dyDescent="0.25">
      <c r="A378" s="3">
        <v>4604644</v>
      </c>
      <c r="B378" s="3" t="s">
        <v>77</v>
      </c>
      <c r="C378" s="3" t="s">
        <v>1278</v>
      </c>
      <c r="D378" s="3">
        <v>10004439</v>
      </c>
      <c r="E378" s="4">
        <v>4533995</v>
      </c>
      <c r="F378" s="3" t="s">
        <v>49</v>
      </c>
      <c r="G378" s="4" t="s">
        <v>1575</v>
      </c>
      <c r="I378" s="5">
        <v>1991.19</v>
      </c>
      <c r="J378" s="3" t="s">
        <v>223</v>
      </c>
      <c r="K378" s="3" t="s">
        <v>77</v>
      </c>
      <c r="L378" s="3" t="s">
        <v>196</v>
      </c>
      <c r="M378" s="4" t="s">
        <v>1576</v>
      </c>
      <c r="N378" s="3" t="s">
        <v>25</v>
      </c>
      <c r="Y378" s="4" t="s">
        <v>1068</v>
      </c>
      <c r="Z378" s="4" t="s">
        <v>1090</v>
      </c>
      <c r="AD378" s="3" t="s">
        <v>77</v>
      </c>
      <c r="AE378" s="3">
        <v>1000</v>
      </c>
      <c r="AI378" s="4" t="s">
        <v>1071</v>
      </c>
      <c r="AJ378" s="4" t="s">
        <v>1091</v>
      </c>
      <c r="AL378" s="4">
        <v>49555</v>
      </c>
      <c r="AM378" s="5">
        <v>1991.19</v>
      </c>
      <c r="AN378" s="4" t="s">
        <v>124</v>
      </c>
    </row>
    <row r="379" spans="1:42" x14ac:dyDescent="0.25">
      <c r="A379" s="3">
        <v>4604648</v>
      </c>
      <c r="B379" s="3" t="s">
        <v>77</v>
      </c>
      <c r="C379" s="3" t="s">
        <v>1278</v>
      </c>
      <c r="D379" s="3">
        <v>10004441</v>
      </c>
      <c r="E379" s="4">
        <v>4533999</v>
      </c>
      <c r="F379" s="3" t="s">
        <v>49</v>
      </c>
      <c r="G379" s="4" t="s">
        <v>1454</v>
      </c>
      <c r="H379" s="4" t="s">
        <v>1577</v>
      </c>
      <c r="I379" s="5">
        <v>13064.95</v>
      </c>
      <c r="J379" s="3" t="s">
        <v>1578</v>
      </c>
      <c r="K379" s="3" t="s">
        <v>291</v>
      </c>
      <c r="L379" s="3" t="s">
        <v>196</v>
      </c>
      <c r="M379" s="4" t="s">
        <v>1577</v>
      </c>
      <c r="N379" s="3" t="s">
        <v>25</v>
      </c>
      <c r="Y379" s="4" t="s">
        <v>1141</v>
      </c>
      <c r="Z379" s="4" t="s">
        <v>1141</v>
      </c>
      <c r="AD379" s="3" t="s">
        <v>77</v>
      </c>
      <c r="AE379" s="3">
        <v>1000</v>
      </c>
      <c r="AI379" s="4" t="s">
        <v>1144</v>
      </c>
      <c r="AJ379" s="4" t="s">
        <v>1144</v>
      </c>
      <c r="AL379" s="4">
        <v>141769</v>
      </c>
      <c r="AM379" s="5">
        <v>13064.95</v>
      </c>
      <c r="AN379" s="4" t="s">
        <v>124</v>
      </c>
      <c r="AO379" s="4">
        <v>99</v>
      </c>
      <c r="AP379" s="4">
        <v>72101500</v>
      </c>
    </row>
    <row r="380" spans="1:42" x14ac:dyDescent="0.25">
      <c r="A380" s="3">
        <v>4604650</v>
      </c>
      <c r="B380" s="3" t="s">
        <v>1578</v>
      </c>
      <c r="C380" s="3" t="s">
        <v>1278</v>
      </c>
      <c r="D380" s="3">
        <v>10004443</v>
      </c>
      <c r="E380" s="4">
        <v>4534001</v>
      </c>
      <c r="F380" s="3" t="s">
        <v>49</v>
      </c>
      <c r="G380" s="4" t="s">
        <v>1579</v>
      </c>
      <c r="H380" s="4" t="s">
        <v>1580</v>
      </c>
      <c r="I380" s="5">
        <v>17325</v>
      </c>
      <c r="J380" s="3" t="s">
        <v>1578</v>
      </c>
      <c r="K380" s="3" t="s">
        <v>187</v>
      </c>
      <c r="L380" s="3" t="s">
        <v>196</v>
      </c>
      <c r="M380" s="4" t="s">
        <v>1580</v>
      </c>
      <c r="N380" s="3" t="s">
        <v>25</v>
      </c>
      <c r="Y380" s="4" t="s">
        <v>1309</v>
      </c>
      <c r="Z380" s="4" t="s">
        <v>1309</v>
      </c>
      <c r="AD380" s="3" t="s">
        <v>794</v>
      </c>
      <c r="AE380" s="3">
        <v>1000</v>
      </c>
      <c r="AI380" s="4" t="s">
        <v>1313</v>
      </c>
      <c r="AJ380" s="4" t="s">
        <v>1313</v>
      </c>
      <c r="AL380" s="4">
        <v>141755</v>
      </c>
      <c r="AM380" s="5">
        <v>17325</v>
      </c>
      <c r="AN380" s="4" t="s">
        <v>124</v>
      </c>
      <c r="AO380" s="4">
        <v>99</v>
      </c>
      <c r="AP380" s="4">
        <v>80101507</v>
      </c>
    </row>
    <row r="381" spans="1:42" x14ac:dyDescent="0.25">
      <c r="A381" s="3">
        <v>4604656</v>
      </c>
      <c r="B381" s="3" t="s">
        <v>1194</v>
      </c>
      <c r="C381" s="3" t="s">
        <v>1278</v>
      </c>
      <c r="D381" s="3">
        <v>10004451</v>
      </c>
      <c r="E381" s="4">
        <v>4534007</v>
      </c>
      <c r="F381" s="3" t="s">
        <v>49</v>
      </c>
      <c r="G381" s="4" t="s">
        <v>174</v>
      </c>
      <c r="H381" s="4" t="s">
        <v>1548</v>
      </c>
      <c r="I381" s="5">
        <v>11550.07</v>
      </c>
      <c r="J381" s="3" t="s">
        <v>1194</v>
      </c>
      <c r="K381" s="3" t="s">
        <v>77</v>
      </c>
      <c r="L381" s="3" t="s">
        <v>119</v>
      </c>
      <c r="M381" s="4" t="s">
        <v>1548</v>
      </c>
      <c r="N381" s="3" t="s">
        <v>56</v>
      </c>
      <c r="Y381" s="4" t="s">
        <v>178</v>
      </c>
      <c r="Z381" s="4" t="s">
        <v>179</v>
      </c>
      <c r="AA381" s="4" t="s">
        <v>188</v>
      </c>
      <c r="AB381" s="3" t="s">
        <v>401</v>
      </c>
      <c r="AC381" s="3" t="s">
        <v>190</v>
      </c>
      <c r="AD381" s="3" t="s">
        <v>324</v>
      </c>
      <c r="AE381" s="3">
        <v>1000</v>
      </c>
      <c r="AI381" s="4" t="s">
        <v>181</v>
      </c>
      <c r="AJ381" s="4" t="s">
        <v>182</v>
      </c>
      <c r="AL381" s="4">
        <v>40476</v>
      </c>
      <c r="AM381" s="5">
        <v>11550.07</v>
      </c>
      <c r="AN381" s="4" t="s">
        <v>124</v>
      </c>
      <c r="AO381" s="4">
        <v>99</v>
      </c>
      <c r="AP381" s="4">
        <v>80111600</v>
      </c>
    </row>
    <row r="382" spans="1:42" x14ac:dyDescent="0.25">
      <c r="A382" s="3">
        <v>4604657</v>
      </c>
      <c r="B382" s="3" t="s">
        <v>1194</v>
      </c>
      <c r="C382" s="3" t="s">
        <v>1278</v>
      </c>
      <c r="D382" s="3">
        <v>10004452</v>
      </c>
      <c r="E382" s="4">
        <v>4534008</v>
      </c>
      <c r="F382" s="3" t="s">
        <v>49</v>
      </c>
      <c r="G382" s="4" t="s">
        <v>318</v>
      </c>
      <c r="H382" s="4" t="s">
        <v>1581</v>
      </c>
      <c r="I382" s="5">
        <v>70000</v>
      </c>
      <c r="J382" s="3" t="s">
        <v>1194</v>
      </c>
      <c r="K382" s="3" t="s">
        <v>829</v>
      </c>
      <c r="L382" s="3" t="s">
        <v>119</v>
      </c>
      <c r="M382" s="4" t="s">
        <v>1581</v>
      </c>
      <c r="N382" s="3" t="s">
        <v>56</v>
      </c>
      <c r="Y382" s="4" t="s">
        <v>179</v>
      </c>
      <c r="Z382" s="4" t="s">
        <v>179</v>
      </c>
      <c r="AA382" s="4" t="s">
        <v>188</v>
      </c>
      <c r="AB382" s="3" t="s">
        <v>1320</v>
      </c>
      <c r="AC382" s="3" t="s">
        <v>190</v>
      </c>
      <c r="AD382" s="3" t="s">
        <v>768</v>
      </c>
      <c r="AE382" s="3">
        <v>1000</v>
      </c>
      <c r="AI382" s="4" t="s">
        <v>182</v>
      </c>
      <c r="AJ382" s="4" t="s">
        <v>182</v>
      </c>
      <c r="AL382" s="4">
        <v>141551</v>
      </c>
      <c r="AM382" s="5">
        <v>70000</v>
      </c>
      <c r="AN382" s="4" t="s">
        <v>124</v>
      </c>
      <c r="AO382" s="4">
        <v>99</v>
      </c>
      <c r="AP382" s="4">
        <v>80111600</v>
      </c>
    </row>
    <row r="383" spans="1:42" x14ac:dyDescent="0.25">
      <c r="A383" s="3">
        <v>4604658</v>
      </c>
      <c r="B383" s="3" t="s">
        <v>1169</v>
      </c>
      <c r="C383" s="3" t="s">
        <v>1278</v>
      </c>
      <c r="D383" s="3">
        <v>10004453</v>
      </c>
      <c r="E383" s="4">
        <v>4534009</v>
      </c>
      <c r="F383" s="3" t="s">
        <v>49</v>
      </c>
      <c r="G383" s="4" t="s">
        <v>1582</v>
      </c>
      <c r="H383" s="4" t="s">
        <v>1583</v>
      </c>
      <c r="I383" s="5">
        <v>27310</v>
      </c>
      <c r="J383" s="3" t="s">
        <v>76</v>
      </c>
      <c r="K383" s="3" t="s">
        <v>302</v>
      </c>
      <c r="L383" s="3" t="s">
        <v>196</v>
      </c>
      <c r="M383" s="4" t="s">
        <v>1584</v>
      </c>
      <c r="N383" s="3" t="s">
        <v>25</v>
      </c>
      <c r="Y383" s="4" t="s">
        <v>1585</v>
      </c>
      <c r="Z383" s="4" t="s">
        <v>1585</v>
      </c>
      <c r="AD383" s="3" t="s">
        <v>1169</v>
      </c>
      <c r="AE383" s="3">
        <v>1000</v>
      </c>
      <c r="AI383" s="4" t="s">
        <v>1586</v>
      </c>
      <c r="AJ383" s="4" t="s">
        <v>1586</v>
      </c>
      <c r="AL383" s="4">
        <v>30315</v>
      </c>
      <c r="AM383" s="5">
        <v>27310</v>
      </c>
      <c r="AN383" s="4" t="s">
        <v>124</v>
      </c>
      <c r="AO383" s="4">
        <v>99</v>
      </c>
      <c r="AP383" s="4">
        <v>43210000</v>
      </c>
    </row>
    <row r="384" spans="1:42" x14ac:dyDescent="0.25">
      <c r="A384" s="3">
        <v>4604659</v>
      </c>
      <c r="B384" s="3" t="s">
        <v>1169</v>
      </c>
      <c r="C384" s="3" t="s">
        <v>1278</v>
      </c>
      <c r="D384" s="3">
        <v>10004454</v>
      </c>
      <c r="E384" s="4">
        <v>4534010</v>
      </c>
      <c r="F384" s="3" t="s">
        <v>49</v>
      </c>
      <c r="G384" s="4" t="s">
        <v>174</v>
      </c>
      <c r="H384" s="4" t="s">
        <v>1548</v>
      </c>
      <c r="I384" s="5">
        <v>11367.36</v>
      </c>
      <c r="J384" s="3" t="s">
        <v>1169</v>
      </c>
      <c r="K384" s="3" t="s">
        <v>77</v>
      </c>
      <c r="L384" s="3" t="s">
        <v>119</v>
      </c>
      <c r="M384" s="4" t="s">
        <v>1548</v>
      </c>
      <c r="N384" s="3" t="s">
        <v>56</v>
      </c>
      <c r="Y384" s="4" t="s">
        <v>178</v>
      </c>
      <c r="Z384" s="4" t="s">
        <v>179</v>
      </c>
      <c r="AA384" s="4" t="s">
        <v>188</v>
      </c>
      <c r="AB384" s="3" t="s">
        <v>401</v>
      </c>
      <c r="AC384" s="3" t="s">
        <v>190</v>
      </c>
      <c r="AD384" s="3" t="s">
        <v>324</v>
      </c>
      <c r="AE384" s="3">
        <v>1000</v>
      </c>
      <c r="AI384" s="4" t="s">
        <v>181</v>
      </c>
      <c r="AJ384" s="4" t="s">
        <v>182</v>
      </c>
      <c r="AL384" s="4">
        <v>40476</v>
      </c>
      <c r="AM384" s="5">
        <v>11367.36</v>
      </c>
      <c r="AN384" s="4" t="s">
        <v>124</v>
      </c>
      <c r="AO384" s="4">
        <v>99</v>
      </c>
      <c r="AP384" s="4">
        <v>80111600</v>
      </c>
    </row>
    <row r="385" spans="1:42" x14ac:dyDescent="0.25">
      <c r="A385" s="3">
        <v>4604660</v>
      </c>
      <c r="B385" s="3" t="s">
        <v>1587</v>
      </c>
      <c r="C385" s="3" t="s">
        <v>1278</v>
      </c>
      <c r="D385" s="3">
        <v>10004456</v>
      </c>
      <c r="E385" s="4">
        <v>4534011</v>
      </c>
      <c r="F385" s="3" t="s">
        <v>49</v>
      </c>
      <c r="G385" s="4" t="s">
        <v>1588</v>
      </c>
      <c r="I385" s="5">
        <v>1908.11</v>
      </c>
      <c r="J385" s="3" t="s">
        <v>768</v>
      </c>
      <c r="K385" s="3" t="s">
        <v>272</v>
      </c>
      <c r="L385" s="3" t="s">
        <v>119</v>
      </c>
      <c r="M385" s="4" t="s">
        <v>1589</v>
      </c>
      <c r="N385" s="3" t="s">
        <v>56</v>
      </c>
      <c r="Y385" s="4" t="s">
        <v>178</v>
      </c>
      <c r="Z385" s="4" t="s">
        <v>179</v>
      </c>
      <c r="AD385" s="3" t="s">
        <v>1498</v>
      </c>
      <c r="AE385" s="3">
        <v>1000</v>
      </c>
      <c r="AI385" s="4" t="s">
        <v>181</v>
      </c>
      <c r="AJ385" s="4" t="s">
        <v>182</v>
      </c>
      <c r="AL385" s="4">
        <v>41005</v>
      </c>
      <c r="AM385" s="5">
        <v>1908.11</v>
      </c>
      <c r="AN385" s="4" t="s">
        <v>124</v>
      </c>
    </row>
    <row r="386" spans="1:42" x14ac:dyDescent="0.25">
      <c r="A386" s="3">
        <v>4604663</v>
      </c>
      <c r="B386" s="3" t="s">
        <v>768</v>
      </c>
      <c r="C386" s="3" t="s">
        <v>1278</v>
      </c>
      <c r="D386" s="3">
        <v>10004411</v>
      </c>
      <c r="E386" s="4">
        <v>4534014</v>
      </c>
      <c r="F386" s="3" t="s">
        <v>49</v>
      </c>
      <c r="G386" s="4" t="s">
        <v>1053</v>
      </c>
      <c r="H386" s="4" t="s">
        <v>1590</v>
      </c>
      <c r="I386" s="5">
        <v>35860</v>
      </c>
      <c r="J386" s="3" t="s">
        <v>1591</v>
      </c>
      <c r="K386" s="3" t="s">
        <v>807</v>
      </c>
      <c r="L386" s="3" t="s">
        <v>119</v>
      </c>
      <c r="M386" s="4" t="s">
        <v>1592</v>
      </c>
      <c r="N386" s="3" t="s">
        <v>56</v>
      </c>
      <c r="Y386" s="4" t="s">
        <v>1056</v>
      </c>
      <c r="Z386" s="4" t="s">
        <v>1090</v>
      </c>
      <c r="AA386" s="4" t="s">
        <v>1057</v>
      </c>
      <c r="AB386" s="3" t="s">
        <v>1057</v>
      </c>
      <c r="AC386" s="3" t="s">
        <v>1340</v>
      </c>
      <c r="AD386" s="3" t="s">
        <v>1593</v>
      </c>
      <c r="AE386" s="3">
        <v>1000</v>
      </c>
      <c r="AI386" s="4" t="s">
        <v>1058</v>
      </c>
      <c r="AJ386" s="4" t="s">
        <v>1091</v>
      </c>
      <c r="AL386" s="4">
        <v>140248</v>
      </c>
      <c r="AM386" s="5">
        <v>35860</v>
      </c>
      <c r="AN386" s="4" t="s">
        <v>124</v>
      </c>
      <c r="AO386" s="4">
        <v>99</v>
      </c>
      <c r="AP386" s="4">
        <v>43222500</v>
      </c>
    </row>
    <row r="387" spans="1:42" x14ac:dyDescent="0.25">
      <c r="A387" s="3">
        <v>4604665</v>
      </c>
      <c r="B387" s="3" t="s">
        <v>768</v>
      </c>
      <c r="C387" s="3" t="s">
        <v>1278</v>
      </c>
      <c r="D387" s="3">
        <v>10004447</v>
      </c>
      <c r="E387" s="4">
        <v>4534016</v>
      </c>
      <c r="F387" s="3" t="s">
        <v>49</v>
      </c>
      <c r="G387" s="4" t="s">
        <v>1594</v>
      </c>
      <c r="H387" s="4" t="s">
        <v>1595</v>
      </c>
      <c r="I387" s="5">
        <v>51315</v>
      </c>
      <c r="J387" s="3" t="s">
        <v>768</v>
      </c>
      <c r="K387" s="3" t="s">
        <v>807</v>
      </c>
      <c r="L387" s="3" t="s">
        <v>196</v>
      </c>
      <c r="M387" s="4" t="s">
        <v>1595</v>
      </c>
      <c r="N387" s="3" t="s">
        <v>25</v>
      </c>
      <c r="Y387" s="4" t="s">
        <v>1309</v>
      </c>
      <c r="Z387" s="4" t="s">
        <v>1309</v>
      </c>
      <c r="AD387" s="3" t="s">
        <v>292</v>
      </c>
      <c r="AE387" s="3">
        <v>1000</v>
      </c>
      <c r="AI387" s="4" t="s">
        <v>1313</v>
      </c>
      <c r="AJ387" s="4" t="s">
        <v>1313</v>
      </c>
      <c r="AL387" s="4">
        <v>49706</v>
      </c>
      <c r="AM387" s="5">
        <v>51315</v>
      </c>
      <c r="AN387" s="4" t="s">
        <v>124</v>
      </c>
      <c r="AO387" s="4">
        <v>99</v>
      </c>
      <c r="AP387" s="4">
        <v>80101507</v>
      </c>
    </row>
    <row r="388" spans="1:42" x14ac:dyDescent="0.25">
      <c r="A388" s="3">
        <v>4604666</v>
      </c>
      <c r="B388" s="3" t="s">
        <v>77</v>
      </c>
      <c r="C388" s="3" t="s">
        <v>1278</v>
      </c>
      <c r="D388" s="3">
        <v>10004460</v>
      </c>
      <c r="E388" s="4">
        <v>4534017</v>
      </c>
      <c r="F388" s="3" t="s">
        <v>49</v>
      </c>
      <c r="G388" s="4" t="s">
        <v>1454</v>
      </c>
      <c r="H388" s="4" t="s">
        <v>1596</v>
      </c>
      <c r="I388" s="5">
        <v>77388.009999999995</v>
      </c>
      <c r="J388" s="3" t="s">
        <v>1591</v>
      </c>
      <c r="K388" s="3" t="s">
        <v>832</v>
      </c>
      <c r="L388" s="3" t="s">
        <v>196</v>
      </c>
      <c r="M388" s="4" t="s">
        <v>1596</v>
      </c>
      <c r="N388" s="3" t="s">
        <v>25</v>
      </c>
      <c r="Y388" s="4" t="s">
        <v>1141</v>
      </c>
      <c r="Z388" s="4" t="s">
        <v>1141</v>
      </c>
      <c r="AD388" s="3" t="s">
        <v>77</v>
      </c>
      <c r="AE388" s="3">
        <v>1000</v>
      </c>
      <c r="AI388" s="4" t="s">
        <v>1144</v>
      </c>
      <c r="AJ388" s="4" t="s">
        <v>1144</v>
      </c>
      <c r="AL388" s="4">
        <v>141769</v>
      </c>
      <c r="AM388" s="5">
        <v>77388.009999999995</v>
      </c>
      <c r="AN388" s="4" t="s">
        <v>124</v>
      </c>
      <c r="AO388" s="4">
        <v>99</v>
      </c>
      <c r="AP388" s="4">
        <v>72101500</v>
      </c>
    </row>
    <row r="389" spans="1:42" x14ac:dyDescent="0.25">
      <c r="A389" s="3">
        <v>4604667</v>
      </c>
      <c r="B389" s="3" t="s">
        <v>1591</v>
      </c>
      <c r="C389" s="3" t="s">
        <v>1278</v>
      </c>
      <c r="D389" s="3">
        <v>10004455</v>
      </c>
      <c r="E389" s="4">
        <v>4534018</v>
      </c>
      <c r="F389" s="3" t="s">
        <v>49</v>
      </c>
      <c r="G389" s="4" t="s">
        <v>1053</v>
      </c>
      <c r="H389" s="4" t="s">
        <v>1597</v>
      </c>
      <c r="I389" s="5">
        <v>34366.639999999999</v>
      </c>
      <c r="J389" s="3" t="s">
        <v>187</v>
      </c>
      <c r="K389" s="3" t="s">
        <v>832</v>
      </c>
      <c r="L389" s="3" t="s">
        <v>119</v>
      </c>
      <c r="M389" s="4" t="s">
        <v>1598</v>
      </c>
      <c r="N389" s="3" t="s">
        <v>56</v>
      </c>
      <c r="Y389" s="4" t="s">
        <v>1056</v>
      </c>
      <c r="Z389" s="4" t="s">
        <v>1090</v>
      </c>
      <c r="AA389" s="4" t="s">
        <v>1057</v>
      </c>
      <c r="AB389" s="3" t="s">
        <v>1057</v>
      </c>
      <c r="AC389" s="3" t="s">
        <v>1340</v>
      </c>
      <c r="AD389" s="3" t="s">
        <v>183</v>
      </c>
      <c r="AE389" s="3">
        <v>1000</v>
      </c>
      <c r="AI389" s="4" t="s">
        <v>1058</v>
      </c>
      <c r="AJ389" s="4" t="s">
        <v>1091</v>
      </c>
      <c r="AL389" s="4">
        <v>140248</v>
      </c>
      <c r="AM389" s="5">
        <v>34366.639999999999</v>
      </c>
      <c r="AN389" s="4" t="s">
        <v>124</v>
      </c>
      <c r="AO389" s="4">
        <v>99</v>
      </c>
      <c r="AP389" s="4">
        <v>43210000</v>
      </c>
    </row>
    <row r="390" spans="1:42" x14ac:dyDescent="0.25">
      <c r="A390" s="3">
        <v>4604669</v>
      </c>
      <c r="B390" s="3" t="s">
        <v>1084</v>
      </c>
      <c r="C390" s="3" t="s">
        <v>1278</v>
      </c>
      <c r="D390" s="3">
        <v>10004466</v>
      </c>
      <c r="E390" s="4">
        <v>4534020</v>
      </c>
      <c r="F390" s="3" t="s">
        <v>49</v>
      </c>
      <c r="G390" s="4" t="s">
        <v>1599</v>
      </c>
      <c r="H390" s="4" t="s">
        <v>1600</v>
      </c>
      <c r="I390" s="5">
        <v>79200</v>
      </c>
      <c r="J390" s="3" t="s">
        <v>1084</v>
      </c>
      <c r="K390" s="3" t="s">
        <v>77</v>
      </c>
      <c r="L390" s="3" t="s">
        <v>196</v>
      </c>
      <c r="M390" s="4" t="s">
        <v>1600</v>
      </c>
      <c r="N390" s="3" t="s">
        <v>25</v>
      </c>
      <c r="Y390" s="4" t="s">
        <v>1222</v>
      </c>
      <c r="Z390" s="4" t="s">
        <v>1090</v>
      </c>
      <c r="AD390" s="3" t="s">
        <v>183</v>
      </c>
      <c r="AE390" s="3">
        <v>1000</v>
      </c>
      <c r="AI390" s="4" t="s">
        <v>1226</v>
      </c>
      <c r="AJ390" s="4" t="s">
        <v>1091</v>
      </c>
      <c r="AL390" s="4">
        <v>141435</v>
      </c>
      <c r="AM390" s="5">
        <v>79200</v>
      </c>
      <c r="AN390" s="4" t="s">
        <v>124</v>
      </c>
      <c r="AO390" s="4">
        <v>99</v>
      </c>
      <c r="AP390" s="4">
        <v>81112200</v>
      </c>
    </row>
    <row r="391" spans="1:42" x14ac:dyDescent="0.25">
      <c r="A391" s="3">
        <v>4604670</v>
      </c>
      <c r="B391" s="3" t="s">
        <v>1601</v>
      </c>
      <c r="C391" s="3" t="s">
        <v>1278</v>
      </c>
      <c r="D391" s="3">
        <v>10004465</v>
      </c>
      <c r="E391" s="4">
        <v>4534021</v>
      </c>
      <c r="F391" s="3" t="s">
        <v>49</v>
      </c>
      <c r="G391" s="4" t="s">
        <v>1517</v>
      </c>
      <c r="H391" s="4" t="s">
        <v>1602</v>
      </c>
      <c r="I391" s="5">
        <v>17600</v>
      </c>
      <c r="J391" s="3" t="s">
        <v>1601</v>
      </c>
      <c r="K391" s="3" t="s">
        <v>832</v>
      </c>
      <c r="L391" s="3" t="s">
        <v>196</v>
      </c>
      <c r="M391" s="4" t="s">
        <v>1602</v>
      </c>
      <c r="N391" s="3" t="s">
        <v>25</v>
      </c>
      <c r="Y391" s="4" t="s">
        <v>1222</v>
      </c>
      <c r="Z391" s="4" t="s">
        <v>1090</v>
      </c>
      <c r="AD391" s="3" t="s">
        <v>183</v>
      </c>
      <c r="AE391" s="3">
        <v>1000</v>
      </c>
      <c r="AI391" s="4" t="s">
        <v>1226</v>
      </c>
      <c r="AJ391" s="4" t="s">
        <v>1091</v>
      </c>
      <c r="AL391" s="4">
        <v>49903</v>
      </c>
      <c r="AM391" s="5">
        <v>17600</v>
      </c>
      <c r="AN391" s="4" t="s">
        <v>124</v>
      </c>
      <c r="AO391" s="4">
        <v>99</v>
      </c>
      <c r="AP391" s="4">
        <v>81111700</v>
      </c>
    </row>
    <row r="392" spans="1:42" x14ac:dyDescent="0.25">
      <c r="A392" s="3">
        <v>4604671</v>
      </c>
      <c r="B392" s="3" t="s">
        <v>465</v>
      </c>
      <c r="C392" s="3" t="s">
        <v>1278</v>
      </c>
      <c r="D392" s="3">
        <v>10004464</v>
      </c>
      <c r="E392" s="4">
        <v>4534022</v>
      </c>
      <c r="F392" s="3" t="s">
        <v>49</v>
      </c>
      <c r="G392" s="4" t="s">
        <v>1603</v>
      </c>
      <c r="I392" s="5">
        <v>3066.8</v>
      </c>
      <c r="J392" s="3" t="s">
        <v>214</v>
      </c>
      <c r="K392" s="3" t="s">
        <v>77</v>
      </c>
      <c r="L392" s="3" t="s">
        <v>196</v>
      </c>
      <c r="M392" s="4" t="s">
        <v>1604</v>
      </c>
      <c r="N392" s="3" t="s">
        <v>25</v>
      </c>
      <c r="Y392" s="4" t="s">
        <v>540</v>
      </c>
      <c r="Z392" s="4" t="s">
        <v>1090</v>
      </c>
      <c r="AD392" s="3" t="s">
        <v>465</v>
      </c>
      <c r="AE392" s="3">
        <v>1000</v>
      </c>
      <c r="AI392" s="4" t="s">
        <v>542</v>
      </c>
      <c r="AJ392" s="4" t="s">
        <v>1091</v>
      </c>
      <c r="AL392" s="4">
        <v>41323</v>
      </c>
      <c r="AM392" s="5">
        <v>3066.8</v>
      </c>
      <c r="AN392" s="4" t="s">
        <v>124</v>
      </c>
    </row>
    <row r="393" spans="1:42" x14ac:dyDescent="0.25">
      <c r="A393" s="3">
        <v>4604673</v>
      </c>
      <c r="B393" s="3" t="s">
        <v>439</v>
      </c>
      <c r="C393" s="3" t="s">
        <v>1278</v>
      </c>
      <c r="D393" s="3">
        <v>10004463</v>
      </c>
      <c r="E393" s="4">
        <v>4534024</v>
      </c>
      <c r="F393" s="3" t="s">
        <v>49</v>
      </c>
      <c r="G393" s="4" t="s">
        <v>1605</v>
      </c>
      <c r="H393" s="4" t="s">
        <v>1606</v>
      </c>
      <c r="I393" s="5">
        <v>19110</v>
      </c>
      <c r="J393" s="3" t="s">
        <v>214</v>
      </c>
      <c r="K393" s="3" t="s">
        <v>77</v>
      </c>
      <c r="L393" s="3" t="s">
        <v>196</v>
      </c>
      <c r="M393" s="4" t="s">
        <v>1607</v>
      </c>
      <c r="N393" s="3" t="s">
        <v>25</v>
      </c>
      <c r="Y393" s="4" t="s">
        <v>1068</v>
      </c>
      <c r="Z393" s="4" t="s">
        <v>1090</v>
      </c>
      <c r="AD393" s="3" t="s">
        <v>439</v>
      </c>
      <c r="AE393" s="3">
        <v>1000</v>
      </c>
      <c r="AI393" s="4" t="s">
        <v>1071</v>
      </c>
      <c r="AJ393" s="4" t="s">
        <v>1091</v>
      </c>
      <c r="AL393" s="4">
        <v>30956</v>
      </c>
      <c r="AM393" s="5">
        <v>19110</v>
      </c>
      <c r="AN393" s="4" t="s">
        <v>124</v>
      </c>
      <c r="AO393" s="4">
        <v>99</v>
      </c>
      <c r="AP393" s="4">
        <v>80111700</v>
      </c>
    </row>
    <row r="394" spans="1:42" x14ac:dyDescent="0.25">
      <c r="A394" s="3">
        <v>4604675</v>
      </c>
      <c r="B394" s="3" t="s">
        <v>1608</v>
      </c>
      <c r="C394" s="3" t="s">
        <v>1278</v>
      </c>
      <c r="D394" s="3">
        <v>10004472</v>
      </c>
      <c r="E394" s="4">
        <v>4534026</v>
      </c>
      <c r="F394" s="3" t="s">
        <v>49</v>
      </c>
      <c r="G394" s="4" t="s">
        <v>1609</v>
      </c>
      <c r="I394" s="5">
        <v>9900</v>
      </c>
      <c r="J394" s="3" t="s">
        <v>1425</v>
      </c>
      <c r="K394" s="3" t="s">
        <v>77</v>
      </c>
      <c r="L394" s="3" t="s">
        <v>119</v>
      </c>
      <c r="M394" s="4" t="s">
        <v>1610</v>
      </c>
      <c r="N394" s="3" t="s">
        <v>56</v>
      </c>
      <c r="Y394" s="4" t="s">
        <v>1222</v>
      </c>
      <c r="Z394" s="4" t="s">
        <v>1090</v>
      </c>
      <c r="AD394" s="3" t="s">
        <v>1608</v>
      </c>
      <c r="AE394" s="3">
        <v>1000</v>
      </c>
      <c r="AI394" s="4" t="s">
        <v>1226</v>
      </c>
      <c r="AJ394" s="4" t="s">
        <v>1091</v>
      </c>
      <c r="AL394" s="4">
        <v>48014</v>
      </c>
      <c r="AM394" s="5">
        <v>9900</v>
      </c>
      <c r="AN394" s="4" t="s">
        <v>124</v>
      </c>
    </row>
    <row r="395" spans="1:42" x14ac:dyDescent="0.25">
      <c r="A395" s="3">
        <v>4604678</v>
      </c>
      <c r="B395" s="3" t="s">
        <v>439</v>
      </c>
      <c r="C395" s="3" t="s">
        <v>1278</v>
      </c>
      <c r="D395" s="3">
        <v>10004471</v>
      </c>
      <c r="E395" s="4">
        <v>4534029</v>
      </c>
      <c r="F395" s="3" t="s">
        <v>49</v>
      </c>
      <c r="G395" s="4" t="s">
        <v>1611</v>
      </c>
      <c r="I395" s="4">
        <v>792</v>
      </c>
      <c r="J395" s="3" t="s">
        <v>1608</v>
      </c>
      <c r="K395" s="3" t="s">
        <v>77</v>
      </c>
      <c r="L395" s="3" t="s">
        <v>196</v>
      </c>
      <c r="M395" s="4" t="s">
        <v>1612</v>
      </c>
      <c r="N395" s="3" t="s">
        <v>25</v>
      </c>
      <c r="Y395" s="4" t="s">
        <v>1068</v>
      </c>
      <c r="Z395" s="4" t="s">
        <v>1090</v>
      </c>
      <c r="AD395" s="3" t="s">
        <v>439</v>
      </c>
      <c r="AE395" s="3">
        <v>1000</v>
      </c>
      <c r="AI395" s="4" t="s">
        <v>1071</v>
      </c>
      <c r="AJ395" s="4" t="s">
        <v>1091</v>
      </c>
      <c r="AL395" s="4">
        <v>140043</v>
      </c>
      <c r="AM395" s="4">
        <v>792</v>
      </c>
      <c r="AN395" s="4" t="s">
        <v>124</v>
      </c>
    </row>
    <row r="396" spans="1:42" x14ac:dyDescent="0.25">
      <c r="A396" s="3">
        <v>4604680</v>
      </c>
      <c r="B396" s="3" t="s">
        <v>1613</v>
      </c>
      <c r="C396" s="3" t="s">
        <v>1278</v>
      </c>
      <c r="D396" s="3">
        <v>10004475</v>
      </c>
      <c r="E396" s="4">
        <v>4534031</v>
      </c>
      <c r="F396" s="3" t="s">
        <v>49</v>
      </c>
      <c r="G396" s="4" t="s">
        <v>1614</v>
      </c>
      <c r="H396" s="4" t="s">
        <v>1615</v>
      </c>
      <c r="I396" s="5">
        <v>63620.65</v>
      </c>
      <c r="J396" s="3" t="s">
        <v>1425</v>
      </c>
      <c r="K396" s="3" t="s">
        <v>1613</v>
      </c>
      <c r="L396" s="3" t="s">
        <v>196</v>
      </c>
      <c r="M396" s="4" t="s">
        <v>1615</v>
      </c>
      <c r="N396" s="3" t="s">
        <v>25</v>
      </c>
      <c r="Y396" s="4" t="s">
        <v>1616</v>
      </c>
      <c r="Z396" s="4" t="s">
        <v>1616</v>
      </c>
      <c r="AD396" s="3" t="s">
        <v>1496</v>
      </c>
      <c r="AE396" s="3">
        <v>1000</v>
      </c>
      <c r="AI396" s="4" t="s">
        <v>1617</v>
      </c>
      <c r="AJ396" s="4" t="s">
        <v>1617</v>
      </c>
      <c r="AL396" s="4">
        <v>30264</v>
      </c>
      <c r="AM396" s="5">
        <v>63620.65</v>
      </c>
      <c r="AN396" s="4" t="s">
        <v>124</v>
      </c>
      <c r="AO396" s="4">
        <v>99</v>
      </c>
    </row>
    <row r="397" spans="1:42" x14ac:dyDescent="0.25">
      <c r="A397" s="3">
        <v>4604681</v>
      </c>
      <c r="B397" s="3" t="s">
        <v>1039</v>
      </c>
      <c r="C397" s="3" t="s">
        <v>1278</v>
      </c>
      <c r="D397" s="3">
        <v>10004477</v>
      </c>
      <c r="E397" s="4">
        <v>4534032</v>
      </c>
      <c r="F397" s="3" t="s">
        <v>49</v>
      </c>
      <c r="G397" s="4" t="s">
        <v>1618</v>
      </c>
      <c r="H397" s="4" t="s">
        <v>1619</v>
      </c>
      <c r="I397" s="5">
        <v>51480</v>
      </c>
      <c r="J397" s="3" t="s">
        <v>1039</v>
      </c>
      <c r="K397" s="3" t="s">
        <v>77</v>
      </c>
      <c r="L397" s="3" t="s">
        <v>196</v>
      </c>
      <c r="M397" s="4" t="s">
        <v>1619</v>
      </c>
      <c r="N397" s="3" t="s">
        <v>25</v>
      </c>
      <c r="Y397" s="4" t="s">
        <v>1336</v>
      </c>
      <c r="Z397" s="4" t="s">
        <v>1336</v>
      </c>
      <c r="AD397" s="3" t="s">
        <v>787</v>
      </c>
      <c r="AE397" s="3">
        <v>1000</v>
      </c>
      <c r="AI397" s="4" t="s">
        <v>1337</v>
      </c>
      <c r="AJ397" s="4" t="s">
        <v>1337</v>
      </c>
      <c r="AL397" s="4">
        <v>40656</v>
      </c>
      <c r="AM397" s="5">
        <v>51480</v>
      </c>
      <c r="AN397" s="4" t="s">
        <v>124</v>
      </c>
      <c r="AO397" s="4">
        <v>99</v>
      </c>
      <c r="AP397" s="4">
        <v>86000000</v>
      </c>
    </row>
    <row r="398" spans="1:42" x14ac:dyDescent="0.25">
      <c r="A398" s="3">
        <v>4604683</v>
      </c>
      <c r="B398" s="3" t="s">
        <v>1613</v>
      </c>
      <c r="C398" s="3" t="s">
        <v>1278</v>
      </c>
      <c r="D398" s="3">
        <v>10004480</v>
      </c>
      <c r="E398" s="4">
        <v>4534034</v>
      </c>
      <c r="F398" s="3" t="s">
        <v>49</v>
      </c>
      <c r="G398" s="4" t="s">
        <v>1508</v>
      </c>
      <c r="H398" s="4" t="s">
        <v>1620</v>
      </c>
      <c r="I398" s="5">
        <v>237600</v>
      </c>
      <c r="J398" s="3" t="s">
        <v>1621</v>
      </c>
      <c r="K398" s="3" t="s">
        <v>377</v>
      </c>
      <c r="L398" s="3" t="s">
        <v>119</v>
      </c>
      <c r="M398" s="4" t="s">
        <v>1622</v>
      </c>
      <c r="N398" s="3" t="s">
        <v>56</v>
      </c>
      <c r="Y398" s="4" t="s">
        <v>1056</v>
      </c>
      <c r="Z398" s="4" t="s">
        <v>1056</v>
      </c>
      <c r="AA398" s="4" t="s">
        <v>412</v>
      </c>
      <c r="AB398" s="3" t="s">
        <v>1511</v>
      </c>
      <c r="AC398" s="3" t="s">
        <v>414</v>
      </c>
      <c r="AD398" s="3" t="s">
        <v>1623</v>
      </c>
      <c r="AE398" s="3">
        <v>1000</v>
      </c>
      <c r="AI398" s="4" t="s">
        <v>1058</v>
      </c>
      <c r="AJ398" s="4" t="s">
        <v>1058</v>
      </c>
      <c r="AL398" s="4">
        <v>140653</v>
      </c>
      <c r="AM398" s="5">
        <v>237600</v>
      </c>
      <c r="AN398" s="4" t="s">
        <v>124</v>
      </c>
      <c r="AO398" s="4">
        <v>99</v>
      </c>
      <c r="AP398" s="4">
        <v>81111800</v>
      </c>
    </row>
    <row r="399" spans="1:42" x14ac:dyDescent="0.25">
      <c r="A399" s="3">
        <v>4604684</v>
      </c>
      <c r="B399" s="3" t="s">
        <v>1623</v>
      </c>
      <c r="C399" s="3" t="s">
        <v>1278</v>
      </c>
      <c r="D399" s="3">
        <v>10004481</v>
      </c>
      <c r="E399" s="4">
        <v>4534035</v>
      </c>
      <c r="F399" s="3" t="s">
        <v>49</v>
      </c>
      <c r="G399" s="4" t="s">
        <v>1053</v>
      </c>
      <c r="I399" s="5">
        <v>8580.73</v>
      </c>
      <c r="J399" s="3" t="s">
        <v>1613</v>
      </c>
      <c r="K399" s="3" t="s">
        <v>395</v>
      </c>
      <c r="L399" s="3" t="s">
        <v>119</v>
      </c>
      <c r="M399" s="4" t="s">
        <v>1624</v>
      </c>
      <c r="N399" s="3" t="s">
        <v>56</v>
      </c>
      <c r="Y399" s="4" t="s">
        <v>1056</v>
      </c>
      <c r="Z399" s="4" t="s">
        <v>1056</v>
      </c>
      <c r="AD399" s="3" t="s">
        <v>1625</v>
      </c>
      <c r="AE399" s="3">
        <v>1000</v>
      </c>
      <c r="AI399" s="4" t="s">
        <v>1058</v>
      </c>
      <c r="AJ399" s="4" t="s">
        <v>1058</v>
      </c>
      <c r="AL399" s="4">
        <v>140248</v>
      </c>
      <c r="AM399" s="5">
        <v>8580.73</v>
      </c>
      <c r="AN399" s="4" t="s">
        <v>124</v>
      </c>
    </row>
    <row r="400" spans="1:42" x14ac:dyDescent="0.25">
      <c r="A400" s="3">
        <v>4604685</v>
      </c>
      <c r="B400" s="3" t="s">
        <v>1625</v>
      </c>
      <c r="C400" s="3" t="s">
        <v>1278</v>
      </c>
      <c r="D400" s="3">
        <v>10004483</v>
      </c>
      <c r="E400" s="4">
        <v>4534036</v>
      </c>
      <c r="F400" s="3" t="s">
        <v>49</v>
      </c>
      <c r="G400" s="4" t="s">
        <v>318</v>
      </c>
      <c r="H400" s="4" t="s">
        <v>1626</v>
      </c>
      <c r="I400" s="5">
        <v>19850.57</v>
      </c>
      <c r="J400" s="3" t="s">
        <v>1625</v>
      </c>
      <c r="K400" s="3" t="s">
        <v>1627</v>
      </c>
      <c r="L400" s="3" t="s">
        <v>119</v>
      </c>
      <c r="M400" s="4" t="s">
        <v>1626</v>
      </c>
      <c r="N400" s="3" t="s">
        <v>56</v>
      </c>
      <c r="Y400" s="4" t="s">
        <v>178</v>
      </c>
      <c r="Z400" s="4" t="s">
        <v>178</v>
      </c>
      <c r="AA400" s="4" t="s">
        <v>188</v>
      </c>
      <c r="AB400" s="3" t="s">
        <v>1320</v>
      </c>
      <c r="AC400" s="3" t="s">
        <v>190</v>
      </c>
      <c r="AD400" s="3" t="s">
        <v>385</v>
      </c>
      <c r="AE400" s="3">
        <v>1000</v>
      </c>
      <c r="AI400" s="4" t="s">
        <v>181</v>
      </c>
      <c r="AJ400" s="4" t="s">
        <v>181</v>
      </c>
      <c r="AL400" s="4">
        <v>141551</v>
      </c>
      <c r="AM400" s="5">
        <v>19850.57</v>
      </c>
      <c r="AN400" s="4" t="s">
        <v>124</v>
      </c>
      <c r="AO400" s="4">
        <v>99</v>
      </c>
      <c r="AP400" s="4">
        <v>80111600</v>
      </c>
    </row>
    <row r="401" spans="1:42" x14ac:dyDescent="0.25">
      <c r="A401" s="3">
        <v>4604686</v>
      </c>
      <c r="B401" s="3" t="s">
        <v>1039</v>
      </c>
      <c r="C401" s="3" t="s">
        <v>1278</v>
      </c>
      <c r="D401" s="3">
        <v>10004484</v>
      </c>
      <c r="E401" s="4">
        <v>4534037</v>
      </c>
      <c r="F401" s="3" t="s">
        <v>49</v>
      </c>
      <c r="G401" s="4" t="s">
        <v>1547</v>
      </c>
      <c r="I401" s="5">
        <v>9801</v>
      </c>
      <c r="J401" s="3" t="s">
        <v>1039</v>
      </c>
      <c r="K401" s="3" t="s">
        <v>480</v>
      </c>
      <c r="L401" s="3" t="s">
        <v>196</v>
      </c>
      <c r="M401" s="4" t="s">
        <v>1628</v>
      </c>
      <c r="N401" s="3" t="s">
        <v>25</v>
      </c>
      <c r="Y401" s="4" t="s">
        <v>179</v>
      </c>
      <c r="Z401" s="4" t="s">
        <v>178</v>
      </c>
      <c r="AD401" s="3" t="s">
        <v>1629</v>
      </c>
      <c r="AE401" s="3">
        <v>1000</v>
      </c>
      <c r="AI401" s="4" t="s">
        <v>182</v>
      </c>
      <c r="AJ401" s="4" t="s">
        <v>181</v>
      </c>
      <c r="AL401" s="4">
        <v>48169</v>
      </c>
      <c r="AM401" s="5">
        <v>9801</v>
      </c>
      <c r="AN401" s="4" t="s">
        <v>124</v>
      </c>
    </row>
    <row r="402" spans="1:42" x14ac:dyDescent="0.25">
      <c r="A402" s="3">
        <v>4604687</v>
      </c>
      <c r="B402" s="3" t="s">
        <v>1039</v>
      </c>
      <c r="C402" s="3" t="s">
        <v>1278</v>
      </c>
      <c r="D402" s="3">
        <v>10004479</v>
      </c>
      <c r="E402" s="4">
        <v>4534038</v>
      </c>
      <c r="F402" s="3" t="s">
        <v>49</v>
      </c>
      <c r="G402" s="4" t="s">
        <v>1630</v>
      </c>
      <c r="H402" s="4" t="s">
        <v>1631</v>
      </c>
      <c r="I402" s="5">
        <v>209731.5</v>
      </c>
      <c r="J402" s="3" t="s">
        <v>1039</v>
      </c>
      <c r="K402" s="3" t="s">
        <v>1632</v>
      </c>
      <c r="L402" s="3" t="s">
        <v>196</v>
      </c>
      <c r="M402" s="4" t="s">
        <v>1633</v>
      </c>
      <c r="N402" s="3" t="s">
        <v>25</v>
      </c>
      <c r="Y402" s="4" t="s">
        <v>179</v>
      </c>
      <c r="Z402" s="4" t="s">
        <v>1336</v>
      </c>
      <c r="AA402" s="4" t="s">
        <v>1634</v>
      </c>
      <c r="AD402" s="3" t="s">
        <v>1635</v>
      </c>
      <c r="AE402" s="3">
        <v>1000</v>
      </c>
      <c r="AI402" s="4" t="s">
        <v>182</v>
      </c>
      <c r="AJ402" s="4" t="s">
        <v>1337</v>
      </c>
      <c r="AL402" s="4">
        <v>141794</v>
      </c>
      <c r="AM402" s="5">
        <v>209731.5</v>
      </c>
      <c r="AN402" s="4" t="s">
        <v>124</v>
      </c>
      <c r="AO402" s="4">
        <v>99</v>
      </c>
      <c r="AP402" s="4">
        <v>86000000</v>
      </c>
    </row>
    <row r="403" spans="1:42" x14ac:dyDescent="0.25">
      <c r="A403" s="3">
        <v>4604689</v>
      </c>
      <c r="B403" s="3" t="s">
        <v>1623</v>
      </c>
      <c r="C403" s="3" t="s">
        <v>1278</v>
      </c>
      <c r="D403" s="3">
        <v>10004486</v>
      </c>
      <c r="E403" s="4">
        <v>4534040</v>
      </c>
      <c r="F403" s="3" t="s">
        <v>49</v>
      </c>
      <c r="G403" s="4" t="s">
        <v>1588</v>
      </c>
      <c r="H403" s="4" t="s">
        <v>1636</v>
      </c>
      <c r="I403" s="5">
        <v>9343.65</v>
      </c>
      <c r="J403" s="3" t="s">
        <v>1623</v>
      </c>
      <c r="K403" s="3" t="s">
        <v>272</v>
      </c>
      <c r="L403" s="3" t="s">
        <v>119</v>
      </c>
      <c r="M403" s="4" t="s">
        <v>1636</v>
      </c>
      <c r="N403" s="3" t="s">
        <v>56</v>
      </c>
      <c r="Y403" s="4" t="s">
        <v>178</v>
      </c>
      <c r="Z403" s="4" t="s">
        <v>178</v>
      </c>
      <c r="AA403" s="4" t="s">
        <v>188</v>
      </c>
      <c r="AB403" s="3" t="s">
        <v>1637</v>
      </c>
      <c r="AC403" s="3" t="s">
        <v>190</v>
      </c>
      <c r="AD403" s="3" t="s">
        <v>77</v>
      </c>
      <c r="AE403" s="3">
        <v>1000</v>
      </c>
      <c r="AI403" s="4" t="s">
        <v>181</v>
      </c>
      <c r="AJ403" s="4" t="s">
        <v>181</v>
      </c>
      <c r="AL403" s="4">
        <v>41005</v>
      </c>
      <c r="AM403" s="5">
        <v>9343.65</v>
      </c>
      <c r="AN403" s="4" t="s">
        <v>124</v>
      </c>
      <c r="AO403" s="4">
        <v>99</v>
      </c>
      <c r="AP403" s="4">
        <v>80111600</v>
      </c>
    </row>
    <row r="404" spans="1:42" x14ac:dyDescent="0.25">
      <c r="A404" s="3">
        <v>4604692</v>
      </c>
      <c r="B404" s="3" t="s">
        <v>1039</v>
      </c>
      <c r="C404" s="3" t="s">
        <v>1278</v>
      </c>
      <c r="D404" s="3">
        <v>10004482</v>
      </c>
      <c r="E404" s="4">
        <v>4534043</v>
      </c>
      <c r="F404" s="3" t="s">
        <v>49</v>
      </c>
      <c r="G404" s="4" t="s">
        <v>1638</v>
      </c>
      <c r="H404" s="4" t="s">
        <v>1639</v>
      </c>
      <c r="I404" s="5">
        <v>19800</v>
      </c>
      <c r="J404" s="3" t="s">
        <v>1039</v>
      </c>
      <c r="K404" s="3" t="s">
        <v>1640</v>
      </c>
      <c r="L404" s="3" t="s">
        <v>196</v>
      </c>
      <c r="M404" s="4" t="s">
        <v>1639</v>
      </c>
      <c r="N404" s="3" t="s">
        <v>25</v>
      </c>
      <c r="Y404" s="4" t="s">
        <v>267</v>
      </c>
      <c r="Z404" s="4" t="s">
        <v>267</v>
      </c>
      <c r="AD404" s="3" t="s">
        <v>745</v>
      </c>
      <c r="AE404" s="3">
        <v>1000</v>
      </c>
      <c r="AI404" s="4" t="s">
        <v>270</v>
      </c>
      <c r="AJ404" s="4" t="s">
        <v>270</v>
      </c>
      <c r="AL404" s="4">
        <v>48042</v>
      </c>
      <c r="AM404" s="5">
        <v>19800</v>
      </c>
      <c r="AN404" s="4" t="s">
        <v>124</v>
      </c>
      <c r="AO404" s="4">
        <v>99</v>
      </c>
      <c r="AP404" s="4">
        <v>80110000</v>
      </c>
    </row>
    <row r="405" spans="1:42" x14ac:dyDescent="0.25">
      <c r="A405" s="3">
        <v>4604693</v>
      </c>
      <c r="B405" s="3" t="s">
        <v>1587</v>
      </c>
      <c r="C405" s="3" t="s">
        <v>1278</v>
      </c>
      <c r="D405" s="3">
        <v>10004489</v>
      </c>
      <c r="E405" s="4">
        <v>4534044</v>
      </c>
      <c r="F405" s="3" t="s">
        <v>49</v>
      </c>
      <c r="G405" s="4" t="s">
        <v>453</v>
      </c>
      <c r="H405" s="4" t="s">
        <v>1641</v>
      </c>
      <c r="I405" s="5">
        <v>20400</v>
      </c>
      <c r="J405" s="3" t="s">
        <v>745</v>
      </c>
      <c r="K405" s="3" t="s">
        <v>77</v>
      </c>
      <c r="L405" s="3" t="s">
        <v>196</v>
      </c>
      <c r="M405" s="4" t="s">
        <v>1641</v>
      </c>
      <c r="N405" s="3" t="s">
        <v>25</v>
      </c>
      <c r="Y405" s="4" t="s">
        <v>267</v>
      </c>
      <c r="Z405" s="4" t="s">
        <v>267</v>
      </c>
      <c r="AD405" s="3" t="s">
        <v>1587</v>
      </c>
      <c r="AE405" s="3">
        <v>1000</v>
      </c>
      <c r="AI405" s="4" t="s">
        <v>270</v>
      </c>
      <c r="AJ405" s="4" t="s">
        <v>270</v>
      </c>
      <c r="AL405" s="4">
        <v>47630</v>
      </c>
      <c r="AM405" s="5">
        <v>20400</v>
      </c>
      <c r="AN405" s="4" t="s">
        <v>124</v>
      </c>
      <c r="AO405" s="4">
        <v>99</v>
      </c>
      <c r="AP405" s="4">
        <v>80110000</v>
      </c>
    </row>
    <row r="406" spans="1:42" x14ac:dyDescent="0.25">
      <c r="A406" s="3">
        <v>4604694</v>
      </c>
      <c r="B406" s="3" t="s">
        <v>1587</v>
      </c>
      <c r="C406" s="3" t="s">
        <v>1278</v>
      </c>
      <c r="D406" s="3">
        <v>10004492</v>
      </c>
      <c r="E406" s="4">
        <v>4534045</v>
      </c>
      <c r="F406" s="3" t="s">
        <v>49</v>
      </c>
      <c r="G406" s="4" t="s">
        <v>1642</v>
      </c>
      <c r="H406" s="4" t="s">
        <v>1643</v>
      </c>
      <c r="I406" s="5">
        <v>30000</v>
      </c>
      <c r="J406" s="3" t="s">
        <v>1587</v>
      </c>
      <c r="K406" s="3" t="s">
        <v>173</v>
      </c>
      <c r="L406" s="3" t="s">
        <v>196</v>
      </c>
      <c r="M406" s="4" t="s">
        <v>1643</v>
      </c>
      <c r="N406" s="3" t="s">
        <v>25</v>
      </c>
      <c r="Y406" s="4" t="s">
        <v>267</v>
      </c>
      <c r="Z406" s="4" t="s">
        <v>267</v>
      </c>
      <c r="AD406" s="3" t="s">
        <v>1587</v>
      </c>
      <c r="AE406" s="3">
        <v>1000</v>
      </c>
      <c r="AI406" s="4" t="s">
        <v>270</v>
      </c>
      <c r="AJ406" s="4" t="s">
        <v>270</v>
      </c>
      <c r="AL406" s="4">
        <v>141740</v>
      </c>
      <c r="AM406" s="5">
        <v>30000</v>
      </c>
      <c r="AN406" s="4" t="s">
        <v>124</v>
      </c>
      <c r="AO406" s="4">
        <v>99</v>
      </c>
      <c r="AP406" s="4">
        <v>80110000</v>
      </c>
    </row>
    <row r="407" spans="1:42" x14ac:dyDescent="0.25">
      <c r="A407" s="3">
        <v>4604695</v>
      </c>
      <c r="B407" s="3" t="s">
        <v>77</v>
      </c>
      <c r="C407" s="3" t="s">
        <v>1278</v>
      </c>
      <c r="D407" s="3">
        <v>10004487</v>
      </c>
      <c r="E407" s="4">
        <v>4534046</v>
      </c>
      <c r="F407" s="3" t="s">
        <v>49</v>
      </c>
      <c r="G407" s="4" t="s">
        <v>1454</v>
      </c>
      <c r="H407" s="4" t="s">
        <v>1644</v>
      </c>
      <c r="I407" s="5">
        <v>30000</v>
      </c>
      <c r="J407" s="3" t="s">
        <v>786</v>
      </c>
      <c r="K407" s="3" t="s">
        <v>395</v>
      </c>
      <c r="L407" s="3" t="s">
        <v>119</v>
      </c>
      <c r="M407" s="4" t="s">
        <v>1644</v>
      </c>
      <c r="N407" s="3" t="s">
        <v>25</v>
      </c>
      <c r="Y407" s="4" t="s">
        <v>1141</v>
      </c>
      <c r="Z407" s="4" t="s">
        <v>1141</v>
      </c>
      <c r="AA407" s="4" t="s">
        <v>1645</v>
      </c>
      <c r="AD407" s="3" t="s">
        <v>77</v>
      </c>
      <c r="AE407" s="3">
        <v>1000</v>
      </c>
      <c r="AI407" s="4" t="s">
        <v>1144</v>
      </c>
      <c r="AJ407" s="4" t="s">
        <v>1144</v>
      </c>
      <c r="AL407" s="4">
        <v>141769</v>
      </c>
      <c r="AM407" s="5">
        <v>30000</v>
      </c>
      <c r="AN407" s="4" t="s">
        <v>124</v>
      </c>
      <c r="AO407" s="4">
        <v>99</v>
      </c>
      <c r="AP407" s="4">
        <v>72101500</v>
      </c>
    </row>
    <row r="408" spans="1:42" x14ac:dyDescent="0.25">
      <c r="A408" s="3">
        <v>4604696</v>
      </c>
      <c r="B408" s="3" t="s">
        <v>77</v>
      </c>
      <c r="C408" s="3" t="s">
        <v>1278</v>
      </c>
      <c r="D408" s="3">
        <v>10004485</v>
      </c>
      <c r="E408" s="4">
        <v>4534047</v>
      </c>
      <c r="F408" s="3" t="s">
        <v>49</v>
      </c>
      <c r="G408" s="4" t="s">
        <v>1454</v>
      </c>
      <c r="H408" s="4" t="s">
        <v>1646</v>
      </c>
      <c r="I408" s="5">
        <v>33896.120000000003</v>
      </c>
      <c r="J408" s="3" t="s">
        <v>745</v>
      </c>
      <c r="K408" s="3" t="s">
        <v>395</v>
      </c>
      <c r="L408" s="3" t="s">
        <v>119</v>
      </c>
      <c r="M408" s="4" t="s">
        <v>1646</v>
      </c>
      <c r="N408" s="3" t="s">
        <v>25</v>
      </c>
      <c r="Y408" s="4" t="s">
        <v>1141</v>
      </c>
      <c r="Z408" s="4" t="s">
        <v>1141</v>
      </c>
      <c r="AA408" s="4" t="s">
        <v>1647</v>
      </c>
      <c r="AD408" s="3" t="s">
        <v>77</v>
      </c>
      <c r="AE408" s="3">
        <v>1000</v>
      </c>
      <c r="AI408" s="4" t="s">
        <v>1144</v>
      </c>
      <c r="AJ408" s="4" t="s">
        <v>1144</v>
      </c>
      <c r="AL408" s="4">
        <v>141769</v>
      </c>
      <c r="AM408" s="5">
        <v>33896.120000000003</v>
      </c>
      <c r="AN408" s="4" t="s">
        <v>124</v>
      </c>
      <c r="AO408" s="4">
        <v>98</v>
      </c>
      <c r="AP408" s="4">
        <v>72101500</v>
      </c>
    </row>
    <row r="409" spans="1:42" x14ac:dyDescent="0.25">
      <c r="A409" s="3">
        <v>4604701</v>
      </c>
      <c r="B409" s="3" t="s">
        <v>291</v>
      </c>
      <c r="C409" s="3" t="s">
        <v>1278</v>
      </c>
      <c r="D409" s="3">
        <v>10004500</v>
      </c>
      <c r="E409" s="4">
        <v>4534052</v>
      </c>
      <c r="F409" s="3" t="s">
        <v>49</v>
      </c>
      <c r="G409" s="4" t="s">
        <v>1588</v>
      </c>
      <c r="H409" s="4" t="s">
        <v>1648</v>
      </c>
      <c r="I409" s="5">
        <v>128566.9</v>
      </c>
      <c r="J409" s="3" t="s">
        <v>1649</v>
      </c>
      <c r="K409" s="3" t="s">
        <v>575</v>
      </c>
      <c r="L409" s="3" t="s">
        <v>119</v>
      </c>
      <c r="M409" s="4" t="s">
        <v>1648</v>
      </c>
      <c r="N409" s="3" t="s">
        <v>56</v>
      </c>
      <c r="Y409" s="4" t="s">
        <v>178</v>
      </c>
      <c r="Z409" s="4" t="s">
        <v>178</v>
      </c>
      <c r="AA409" s="4" t="s">
        <v>188</v>
      </c>
      <c r="AB409" s="3" t="s">
        <v>1637</v>
      </c>
      <c r="AC409" s="3" t="s">
        <v>190</v>
      </c>
      <c r="AD409" s="3" t="s">
        <v>369</v>
      </c>
      <c r="AE409" s="3">
        <v>1000</v>
      </c>
      <c r="AI409" s="4" t="s">
        <v>181</v>
      </c>
      <c r="AJ409" s="4" t="s">
        <v>181</v>
      </c>
      <c r="AL409" s="4">
        <v>41005</v>
      </c>
      <c r="AM409" s="5">
        <v>128566.9</v>
      </c>
      <c r="AN409" s="4" t="s">
        <v>124</v>
      </c>
      <c r="AO409" s="4">
        <v>97</v>
      </c>
      <c r="AP409" s="4">
        <v>80111600</v>
      </c>
    </row>
    <row r="410" spans="1:42" x14ac:dyDescent="0.25">
      <c r="A410" s="3">
        <v>4604707</v>
      </c>
      <c r="B410" s="3" t="s">
        <v>1650</v>
      </c>
      <c r="C410" s="3" t="s">
        <v>1278</v>
      </c>
      <c r="D410" s="3">
        <v>10004505</v>
      </c>
      <c r="E410" s="4">
        <v>4534058</v>
      </c>
      <c r="F410" s="3" t="s">
        <v>49</v>
      </c>
      <c r="G410" s="4" t="s">
        <v>174</v>
      </c>
      <c r="I410" s="5">
        <v>4400</v>
      </c>
      <c r="J410" s="3" t="s">
        <v>1650</v>
      </c>
      <c r="K410" s="3" t="s">
        <v>77</v>
      </c>
      <c r="L410" s="3" t="s">
        <v>119</v>
      </c>
      <c r="M410" s="4" t="s">
        <v>1651</v>
      </c>
      <c r="N410" s="3" t="s">
        <v>56</v>
      </c>
      <c r="Y410" s="4" t="s">
        <v>178</v>
      </c>
      <c r="Z410" s="4" t="s">
        <v>178</v>
      </c>
      <c r="AD410" s="3" t="s">
        <v>469</v>
      </c>
      <c r="AE410" s="3">
        <v>1000</v>
      </c>
      <c r="AI410" s="4" t="s">
        <v>181</v>
      </c>
      <c r="AJ410" s="4" t="s">
        <v>181</v>
      </c>
      <c r="AL410" s="4">
        <v>40476</v>
      </c>
      <c r="AM410" s="5">
        <v>4400</v>
      </c>
      <c r="AN410" s="4" t="s">
        <v>124</v>
      </c>
    </row>
    <row r="411" spans="1:42" x14ac:dyDescent="0.25">
      <c r="A411" s="3">
        <v>4604709</v>
      </c>
      <c r="B411" s="3" t="s">
        <v>1623</v>
      </c>
      <c r="C411" s="3" t="s">
        <v>1278</v>
      </c>
      <c r="D411" s="3">
        <v>10004508</v>
      </c>
      <c r="E411" s="4">
        <v>4534060</v>
      </c>
      <c r="F411" s="3" t="s">
        <v>49</v>
      </c>
      <c r="G411" s="4" t="s">
        <v>1579</v>
      </c>
      <c r="H411" s="4" t="s">
        <v>1580</v>
      </c>
      <c r="I411" s="5">
        <v>49500</v>
      </c>
      <c r="J411" s="3" t="s">
        <v>1623</v>
      </c>
      <c r="K411" s="3" t="s">
        <v>395</v>
      </c>
      <c r="L411" s="3" t="s">
        <v>196</v>
      </c>
      <c r="M411" s="4" t="s">
        <v>1580</v>
      </c>
      <c r="N411" s="3" t="s">
        <v>25</v>
      </c>
      <c r="Y411" s="4" t="s">
        <v>1309</v>
      </c>
      <c r="Z411" s="4" t="s">
        <v>1309</v>
      </c>
      <c r="AD411" s="3" t="s">
        <v>1538</v>
      </c>
      <c r="AE411" s="3">
        <v>1000</v>
      </c>
      <c r="AI411" s="4" t="s">
        <v>1313</v>
      </c>
      <c r="AJ411" s="4" t="s">
        <v>1313</v>
      </c>
      <c r="AL411" s="4">
        <v>141755</v>
      </c>
      <c r="AM411" s="5">
        <v>49500</v>
      </c>
      <c r="AN411" s="4" t="s">
        <v>124</v>
      </c>
      <c r="AO411" s="4">
        <v>99</v>
      </c>
      <c r="AP411" s="4">
        <v>80101507</v>
      </c>
    </row>
    <row r="412" spans="1:42" x14ac:dyDescent="0.25">
      <c r="A412" s="3">
        <v>4604714</v>
      </c>
      <c r="B412" s="3" t="s">
        <v>301</v>
      </c>
      <c r="C412" s="3" t="s">
        <v>1278</v>
      </c>
      <c r="D412" s="3">
        <v>10004504</v>
      </c>
      <c r="E412" s="4">
        <v>4534065</v>
      </c>
      <c r="F412" s="3" t="s">
        <v>49</v>
      </c>
      <c r="G412" s="4" t="s">
        <v>1502</v>
      </c>
      <c r="H412" s="4" t="s">
        <v>1652</v>
      </c>
      <c r="I412" s="5">
        <v>171600</v>
      </c>
      <c r="J412" s="3" t="s">
        <v>795</v>
      </c>
      <c r="K412" s="3" t="s">
        <v>901</v>
      </c>
      <c r="L412" s="3" t="s">
        <v>119</v>
      </c>
      <c r="M412" s="4" t="s">
        <v>1652</v>
      </c>
      <c r="N412" s="3" t="s">
        <v>56</v>
      </c>
      <c r="Y412" s="4" t="s">
        <v>1653</v>
      </c>
      <c r="Z412" s="4" t="s">
        <v>1654</v>
      </c>
      <c r="AA412" s="4" t="s">
        <v>412</v>
      </c>
      <c r="AB412" s="3" t="s">
        <v>1504</v>
      </c>
      <c r="AC412" s="3" t="s">
        <v>414</v>
      </c>
      <c r="AD412" s="3" t="s">
        <v>792</v>
      </c>
      <c r="AE412" s="3">
        <v>1000</v>
      </c>
      <c r="AI412" s="4" t="s">
        <v>1655</v>
      </c>
      <c r="AJ412" s="4" t="s">
        <v>1656</v>
      </c>
      <c r="AL412" s="4">
        <v>49955</v>
      </c>
      <c r="AM412" s="5">
        <v>171600</v>
      </c>
      <c r="AN412" s="4" t="s">
        <v>124</v>
      </c>
      <c r="AO412" s="4">
        <v>99</v>
      </c>
      <c r="AP412" s="4">
        <v>81112200</v>
      </c>
    </row>
    <row r="413" spans="1:42" x14ac:dyDescent="0.25">
      <c r="A413" s="3">
        <v>4604715</v>
      </c>
      <c r="B413" s="3" t="s">
        <v>351</v>
      </c>
      <c r="C413" s="3" t="s">
        <v>1278</v>
      </c>
      <c r="D413" s="3">
        <v>10004513</v>
      </c>
      <c r="E413" s="4">
        <v>4534066</v>
      </c>
      <c r="F413" s="3" t="s">
        <v>49</v>
      </c>
      <c r="G413" s="4" t="s">
        <v>1657</v>
      </c>
      <c r="H413" s="4" t="s">
        <v>1658</v>
      </c>
      <c r="I413" s="5">
        <v>20042</v>
      </c>
      <c r="J413" s="3" t="s">
        <v>783</v>
      </c>
      <c r="K413" s="3" t="s">
        <v>77</v>
      </c>
      <c r="L413" s="3" t="s">
        <v>196</v>
      </c>
      <c r="M413" s="4" t="s">
        <v>1659</v>
      </c>
      <c r="N413" s="3" t="s">
        <v>25</v>
      </c>
      <c r="Y413" s="4" t="s">
        <v>540</v>
      </c>
      <c r="Z413" s="4" t="s">
        <v>1090</v>
      </c>
      <c r="AD413" s="3" t="s">
        <v>351</v>
      </c>
      <c r="AE413" s="3">
        <v>1000</v>
      </c>
      <c r="AI413" s="4" t="s">
        <v>542</v>
      </c>
      <c r="AJ413" s="4" t="s">
        <v>1091</v>
      </c>
      <c r="AL413" s="4">
        <v>47407</v>
      </c>
      <c r="AM413" s="5">
        <v>20042</v>
      </c>
      <c r="AN413" s="4" t="s">
        <v>124</v>
      </c>
      <c r="AO413" s="4">
        <v>99</v>
      </c>
      <c r="AP413" s="4">
        <v>56111500</v>
      </c>
    </row>
    <row r="414" spans="1:42" x14ac:dyDescent="0.25">
      <c r="A414" s="3">
        <v>4604718</v>
      </c>
      <c r="B414" s="3" t="s">
        <v>832</v>
      </c>
      <c r="C414" s="3" t="s">
        <v>1278</v>
      </c>
      <c r="D414" s="3">
        <v>10004518</v>
      </c>
      <c r="E414" s="4">
        <v>4534069</v>
      </c>
      <c r="F414" s="3" t="s">
        <v>49</v>
      </c>
      <c r="G414" s="4" t="s">
        <v>1588</v>
      </c>
      <c r="I414" s="5">
        <v>3461.7</v>
      </c>
      <c r="J414" s="3" t="s">
        <v>832</v>
      </c>
      <c r="K414" s="3" t="s">
        <v>321</v>
      </c>
      <c r="L414" s="3" t="s">
        <v>119</v>
      </c>
      <c r="M414" s="4" t="s">
        <v>1660</v>
      </c>
      <c r="N414" s="3" t="s">
        <v>56</v>
      </c>
      <c r="Y414" s="4" t="s">
        <v>178</v>
      </c>
      <c r="Z414" s="4" t="s">
        <v>178</v>
      </c>
      <c r="AD414" s="3" t="s">
        <v>304</v>
      </c>
      <c r="AE414" s="3">
        <v>1000</v>
      </c>
      <c r="AI414" s="4" t="s">
        <v>181</v>
      </c>
      <c r="AJ414" s="4" t="s">
        <v>181</v>
      </c>
      <c r="AL414" s="4">
        <v>41005</v>
      </c>
      <c r="AM414" s="5">
        <v>3461.7</v>
      </c>
      <c r="AN414" s="4" t="s">
        <v>124</v>
      </c>
    </row>
    <row r="415" spans="1:42" x14ac:dyDescent="0.25">
      <c r="A415" s="3">
        <v>4604722</v>
      </c>
      <c r="B415" s="3" t="s">
        <v>301</v>
      </c>
      <c r="C415" s="3" t="s">
        <v>1278</v>
      </c>
      <c r="D415" s="3">
        <v>10004512</v>
      </c>
      <c r="E415" s="4">
        <v>4534073</v>
      </c>
      <c r="F415" s="3" t="s">
        <v>49</v>
      </c>
      <c r="G415" s="4" t="s">
        <v>1661</v>
      </c>
      <c r="H415" s="4" t="s">
        <v>1662</v>
      </c>
      <c r="I415" s="5">
        <v>38785.14</v>
      </c>
      <c r="J415" s="3" t="s">
        <v>301</v>
      </c>
      <c r="K415" s="3" t="s">
        <v>137</v>
      </c>
      <c r="L415" s="3" t="s">
        <v>196</v>
      </c>
      <c r="M415" s="4" t="s">
        <v>1663</v>
      </c>
      <c r="N415" s="3" t="s">
        <v>25</v>
      </c>
      <c r="Y415" s="4" t="s">
        <v>179</v>
      </c>
      <c r="Z415" s="4" t="s">
        <v>179</v>
      </c>
      <c r="AD415" s="3" t="s">
        <v>905</v>
      </c>
      <c r="AE415" s="3">
        <v>1000</v>
      </c>
      <c r="AI415" s="4" t="s">
        <v>182</v>
      </c>
      <c r="AJ415" s="4" t="s">
        <v>182</v>
      </c>
      <c r="AL415" s="4">
        <v>141803</v>
      </c>
      <c r="AM415" s="5">
        <v>38785.14</v>
      </c>
      <c r="AN415" s="4" t="s">
        <v>124</v>
      </c>
      <c r="AO415" s="4">
        <v>99</v>
      </c>
      <c r="AP415" s="4">
        <v>80111700</v>
      </c>
    </row>
    <row r="416" spans="1:42" x14ac:dyDescent="0.25">
      <c r="A416" s="3">
        <v>4604725</v>
      </c>
      <c r="B416" s="3" t="s">
        <v>173</v>
      </c>
      <c r="C416" s="3" t="s">
        <v>1278</v>
      </c>
      <c r="D416" s="3">
        <v>10004521</v>
      </c>
      <c r="E416" s="4">
        <v>4534076</v>
      </c>
      <c r="F416" s="3" t="s">
        <v>49</v>
      </c>
      <c r="G416" s="4" t="s">
        <v>174</v>
      </c>
      <c r="I416" s="5">
        <v>2919.55</v>
      </c>
      <c r="J416" s="3" t="s">
        <v>173</v>
      </c>
      <c r="K416" s="3" t="s">
        <v>77</v>
      </c>
      <c r="L416" s="3" t="s">
        <v>119</v>
      </c>
      <c r="M416" s="4" t="s">
        <v>1664</v>
      </c>
      <c r="N416" s="3" t="s">
        <v>56</v>
      </c>
      <c r="Y416" s="4" t="s">
        <v>178</v>
      </c>
      <c r="Z416" s="4" t="s">
        <v>178</v>
      </c>
      <c r="AD416" s="3" t="s">
        <v>360</v>
      </c>
      <c r="AE416" s="3">
        <v>1000</v>
      </c>
      <c r="AI416" s="4" t="s">
        <v>181</v>
      </c>
      <c r="AJ416" s="4" t="s">
        <v>181</v>
      </c>
      <c r="AL416" s="4">
        <v>40476</v>
      </c>
      <c r="AM416" s="5">
        <v>2919.55</v>
      </c>
      <c r="AN416" s="4" t="s">
        <v>124</v>
      </c>
    </row>
    <row r="417" spans="1:42" x14ac:dyDescent="0.25">
      <c r="A417" s="3">
        <v>4604726</v>
      </c>
      <c r="B417" s="3" t="s">
        <v>832</v>
      </c>
      <c r="C417" s="3" t="s">
        <v>1278</v>
      </c>
      <c r="D417" s="3">
        <v>10004517</v>
      </c>
      <c r="E417" s="4">
        <v>4534077</v>
      </c>
      <c r="F417" s="3" t="s">
        <v>49</v>
      </c>
      <c r="G417" s="4" t="s">
        <v>311</v>
      </c>
      <c r="I417" s="5">
        <v>2840.31</v>
      </c>
      <c r="J417" s="3" t="s">
        <v>832</v>
      </c>
      <c r="K417" s="3" t="s">
        <v>829</v>
      </c>
      <c r="L417" s="3" t="s">
        <v>119</v>
      </c>
      <c r="M417" s="4" t="s">
        <v>1665</v>
      </c>
      <c r="N417" s="3" t="s">
        <v>56</v>
      </c>
      <c r="Y417" s="4" t="s">
        <v>178</v>
      </c>
      <c r="Z417" s="4" t="s">
        <v>178</v>
      </c>
      <c r="AD417" s="3" t="s">
        <v>275</v>
      </c>
      <c r="AE417" s="3">
        <v>1000</v>
      </c>
      <c r="AI417" s="4" t="s">
        <v>181</v>
      </c>
      <c r="AJ417" s="4" t="s">
        <v>181</v>
      </c>
      <c r="AL417" s="4">
        <v>141807</v>
      </c>
      <c r="AM417" s="5">
        <v>2840.31</v>
      </c>
      <c r="AN417" s="4" t="s">
        <v>124</v>
      </c>
    </row>
    <row r="418" spans="1:42" x14ac:dyDescent="0.25">
      <c r="A418" s="3">
        <v>4604727</v>
      </c>
      <c r="B418" s="3" t="s">
        <v>795</v>
      </c>
      <c r="C418" s="3" t="s">
        <v>1278</v>
      </c>
      <c r="D418" s="3">
        <v>10004524</v>
      </c>
      <c r="E418" s="4">
        <v>4534078</v>
      </c>
      <c r="F418" s="3" t="s">
        <v>49</v>
      </c>
      <c r="G418" s="4" t="s">
        <v>1666</v>
      </c>
      <c r="H418" s="4" t="s">
        <v>1667</v>
      </c>
      <c r="I418" s="5">
        <v>143503.79999999999</v>
      </c>
      <c r="J418" s="3" t="s">
        <v>795</v>
      </c>
      <c r="K418" s="3" t="s">
        <v>1668</v>
      </c>
      <c r="L418" s="3" t="s">
        <v>196</v>
      </c>
      <c r="M418" s="4" t="s">
        <v>1667</v>
      </c>
      <c r="N418" s="3" t="s">
        <v>25</v>
      </c>
      <c r="Y418" s="4" t="s">
        <v>1056</v>
      </c>
      <c r="Z418" s="4" t="s">
        <v>1056</v>
      </c>
      <c r="AD418" s="3" t="s">
        <v>284</v>
      </c>
      <c r="AE418" s="3">
        <v>1000</v>
      </c>
      <c r="AI418" s="4" t="s">
        <v>1058</v>
      </c>
      <c r="AJ418" s="4" t="s">
        <v>1058</v>
      </c>
      <c r="AL418" s="4">
        <v>140565</v>
      </c>
      <c r="AM418" s="5">
        <v>143503.79999999999</v>
      </c>
      <c r="AN418" s="4" t="s">
        <v>124</v>
      </c>
      <c r="AO418" s="4">
        <v>99</v>
      </c>
      <c r="AP418" s="4">
        <v>83110000</v>
      </c>
    </row>
    <row r="419" spans="1:42" x14ac:dyDescent="0.25">
      <c r="A419" s="3">
        <v>4604729</v>
      </c>
      <c r="B419" s="3" t="s">
        <v>284</v>
      </c>
      <c r="C419" s="3" t="s">
        <v>1278</v>
      </c>
      <c r="D419" s="3">
        <v>10004526</v>
      </c>
      <c r="E419" s="4">
        <v>4534080</v>
      </c>
      <c r="F419" s="3" t="s">
        <v>49</v>
      </c>
      <c r="G419" s="4" t="s">
        <v>1669</v>
      </c>
      <c r="I419" s="5">
        <v>6975</v>
      </c>
      <c r="J419" s="3" t="s">
        <v>1670</v>
      </c>
      <c r="K419" s="3" t="s">
        <v>176</v>
      </c>
      <c r="L419" s="3" t="s">
        <v>119</v>
      </c>
      <c r="M419" s="4" t="s">
        <v>1671</v>
      </c>
      <c r="N419" s="3" t="s">
        <v>25</v>
      </c>
      <c r="Y419" s="4" t="s">
        <v>260</v>
      </c>
      <c r="Z419" s="4" t="s">
        <v>260</v>
      </c>
      <c r="AD419" s="3" t="s">
        <v>284</v>
      </c>
      <c r="AE419" s="3">
        <v>1000</v>
      </c>
      <c r="AI419" s="4" t="s">
        <v>261</v>
      </c>
      <c r="AJ419" s="4" t="s">
        <v>261</v>
      </c>
      <c r="AL419" s="4">
        <v>43794</v>
      </c>
      <c r="AM419" s="5">
        <v>6975</v>
      </c>
      <c r="AN419" s="4" t="s">
        <v>124</v>
      </c>
    </row>
    <row r="420" spans="1:42" x14ac:dyDescent="0.25">
      <c r="A420" s="3">
        <v>4604730</v>
      </c>
      <c r="B420" s="3" t="s">
        <v>272</v>
      </c>
      <c r="C420" s="3" t="s">
        <v>1278</v>
      </c>
      <c r="D420" s="3">
        <v>10004528</v>
      </c>
      <c r="E420" s="4">
        <v>4534081</v>
      </c>
      <c r="F420" s="3" t="s">
        <v>49</v>
      </c>
      <c r="G420" s="4" t="s">
        <v>1672</v>
      </c>
      <c r="H420" s="4" t="s">
        <v>1673</v>
      </c>
      <c r="I420" s="5">
        <v>12900</v>
      </c>
      <c r="J420" s="3" t="s">
        <v>272</v>
      </c>
      <c r="K420" s="3" t="s">
        <v>77</v>
      </c>
      <c r="L420" s="3" t="s">
        <v>196</v>
      </c>
      <c r="M420" s="4" t="s">
        <v>1674</v>
      </c>
      <c r="N420" s="3" t="s">
        <v>25</v>
      </c>
      <c r="Y420" s="4" t="s">
        <v>1056</v>
      </c>
      <c r="Z420" s="4" t="s">
        <v>1056</v>
      </c>
      <c r="AD420" s="3" t="s">
        <v>284</v>
      </c>
      <c r="AE420" s="3">
        <v>1000</v>
      </c>
      <c r="AI420" s="4" t="s">
        <v>1058</v>
      </c>
      <c r="AJ420" s="4" t="s">
        <v>1058</v>
      </c>
      <c r="AL420" s="4">
        <v>30068</v>
      </c>
      <c r="AM420" s="5">
        <v>12900</v>
      </c>
      <c r="AN420" s="4" t="s">
        <v>124</v>
      </c>
      <c r="AO420" s="4">
        <v>99</v>
      </c>
      <c r="AP420" s="4">
        <v>43222500</v>
      </c>
    </row>
    <row r="421" spans="1:42" x14ac:dyDescent="0.25">
      <c r="A421" s="3">
        <v>4604731</v>
      </c>
      <c r="B421" s="3" t="s">
        <v>1675</v>
      </c>
      <c r="C421" s="3" t="s">
        <v>1278</v>
      </c>
      <c r="D421" s="3">
        <v>10004334</v>
      </c>
      <c r="E421" s="4">
        <v>4534082</v>
      </c>
      <c r="F421" s="3" t="s">
        <v>49</v>
      </c>
      <c r="G421" s="4" t="s">
        <v>1380</v>
      </c>
      <c r="H421" s="4" t="s">
        <v>1676</v>
      </c>
      <c r="I421" s="5">
        <v>42570</v>
      </c>
      <c r="J421" s="3" t="s">
        <v>76</v>
      </c>
      <c r="K421" s="3" t="s">
        <v>77</v>
      </c>
      <c r="L421" s="3" t="s">
        <v>196</v>
      </c>
      <c r="M421" s="4" t="s">
        <v>1676</v>
      </c>
      <c r="N421" s="3" t="s">
        <v>25</v>
      </c>
      <c r="Y421" s="4" t="s">
        <v>1677</v>
      </c>
      <c r="Z421" s="4" t="s">
        <v>1677</v>
      </c>
      <c r="AD421" s="3" t="s">
        <v>757</v>
      </c>
      <c r="AE421" s="3">
        <v>1000</v>
      </c>
      <c r="AI421" s="4" t="s">
        <v>1678</v>
      </c>
      <c r="AJ421" s="4" t="s">
        <v>1678</v>
      </c>
      <c r="AL421" s="4">
        <v>46327</v>
      </c>
      <c r="AM421" s="5">
        <v>42570</v>
      </c>
      <c r="AN421" s="4" t="s">
        <v>124</v>
      </c>
      <c r="AO421" s="4">
        <v>99</v>
      </c>
      <c r="AP421" s="4">
        <v>81112200</v>
      </c>
    </row>
    <row r="422" spans="1:42" x14ac:dyDescent="0.25">
      <c r="A422" s="3">
        <v>4604734</v>
      </c>
      <c r="B422" s="3" t="s">
        <v>272</v>
      </c>
      <c r="C422" s="3" t="s">
        <v>1278</v>
      </c>
      <c r="D422" s="3">
        <v>10004530</v>
      </c>
      <c r="E422" s="4">
        <v>4534085</v>
      </c>
      <c r="F422" s="3" t="s">
        <v>49</v>
      </c>
      <c r="G422" s="4" t="s">
        <v>1547</v>
      </c>
      <c r="I422" s="5">
        <v>2523.84</v>
      </c>
      <c r="J422" s="3" t="s">
        <v>272</v>
      </c>
      <c r="K422" s="3" t="s">
        <v>324</v>
      </c>
      <c r="L422" s="3" t="s">
        <v>119</v>
      </c>
      <c r="M422" s="4" t="s">
        <v>1679</v>
      </c>
      <c r="N422" s="3" t="s">
        <v>56</v>
      </c>
      <c r="Y422" s="4" t="s">
        <v>178</v>
      </c>
      <c r="Z422" s="4" t="s">
        <v>178</v>
      </c>
      <c r="AD422" s="3" t="s">
        <v>272</v>
      </c>
      <c r="AE422" s="3">
        <v>1000</v>
      </c>
      <c r="AI422" s="4" t="s">
        <v>181</v>
      </c>
      <c r="AJ422" s="4" t="s">
        <v>181</v>
      </c>
      <c r="AL422" s="4">
        <v>48169</v>
      </c>
      <c r="AM422" s="5">
        <v>2523.84</v>
      </c>
      <c r="AN422" s="4" t="s">
        <v>124</v>
      </c>
    </row>
    <row r="423" spans="1:42" x14ac:dyDescent="0.25">
      <c r="A423" s="3">
        <v>4604735</v>
      </c>
      <c r="B423" s="3" t="s">
        <v>272</v>
      </c>
      <c r="C423" s="3" t="s">
        <v>1278</v>
      </c>
      <c r="D423" s="3">
        <v>10004490</v>
      </c>
      <c r="E423" s="4">
        <v>4534086</v>
      </c>
      <c r="F423" s="3" t="s">
        <v>49</v>
      </c>
      <c r="G423" s="4" t="s">
        <v>1471</v>
      </c>
      <c r="H423" s="4" t="s">
        <v>1680</v>
      </c>
      <c r="I423" s="5">
        <v>427949.5</v>
      </c>
      <c r="J423" s="3" t="s">
        <v>745</v>
      </c>
      <c r="K423" s="3" t="s">
        <v>395</v>
      </c>
      <c r="L423" s="3" t="s">
        <v>119</v>
      </c>
      <c r="M423" s="4" t="s">
        <v>1681</v>
      </c>
      <c r="N423" s="3" t="s">
        <v>56</v>
      </c>
      <c r="Y423" s="4" t="s">
        <v>1056</v>
      </c>
      <c r="Z423" s="4" t="s">
        <v>1056</v>
      </c>
      <c r="AA423" s="4" t="s">
        <v>1474</v>
      </c>
      <c r="AB423" s="3" t="s">
        <v>1475</v>
      </c>
      <c r="AC423" s="3" t="s">
        <v>1476</v>
      </c>
      <c r="AD423" s="3" t="s">
        <v>424</v>
      </c>
      <c r="AE423" s="3">
        <v>1000</v>
      </c>
      <c r="AI423" s="4" t="s">
        <v>1058</v>
      </c>
      <c r="AJ423" s="4" t="s">
        <v>1058</v>
      </c>
      <c r="AL423" s="4">
        <v>48891</v>
      </c>
      <c r="AM423" s="5">
        <v>427949.5</v>
      </c>
      <c r="AN423" s="4" t="s">
        <v>124</v>
      </c>
      <c r="AO423" s="4">
        <v>99</v>
      </c>
      <c r="AP423" s="4">
        <v>43211503</v>
      </c>
    </row>
    <row r="424" spans="1:42" x14ac:dyDescent="0.25">
      <c r="A424" s="3">
        <v>4604736</v>
      </c>
      <c r="B424" s="3" t="s">
        <v>795</v>
      </c>
      <c r="C424" s="3" t="s">
        <v>1278</v>
      </c>
      <c r="D424" s="3">
        <v>10004527</v>
      </c>
      <c r="E424" s="4">
        <v>4534087</v>
      </c>
      <c r="F424" s="3" t="s">
        <v>49</v>
      </c>
      <c r="G424" s="4" t="s">
        <v>1378</v>
      </c>
      <c r="I424" s="5">
        <v>3000</v>
      </c>
      <c r="J424" s="3" t="s">
        <v>757</v>
      </c>
      <c r="K424" s="3" t="s">
        <v>932</v>
      </c>
      <c r="L424" s="3" t="s">
        <v>196</v>
      </c>
      <c r="M424" s="4" t="s">
        <v>1682</v>
      </c>
      <c r="N424" s="3" t="s">
        <v>25</v>
      </c>
      <c r="Y424" s="4" t="s">
        <v>1309</v>
      </c>
      <c r="Z424" s="4" t="s">
        <v>1309</v>
      </c>
      <c r="AD424" s="3" t="s">
        <v>1683</v>
      </c>
      <c r="AE424" s="3">
        <v>1000</v>
      </c>
      <c r="AI424" s="4" t="s">
        <v>1313</v>
      </c>
      <c r="AJ424" s="4" t="s">
        <v>1313</v>
      </c>
      <c r="AL424" s="4">
        <v>42337</v>
      </c>
      <c r="AM424" s="5">
        <v>3000</v>
      </c>
      <c r="AN424" s="4" t="s">
        <v>124</v>
      </c>
    </row>
    <row r="425" spans="1:42" x14ac:dyDescent="0.25">
      <c r="A425" s="3">
        <v>4604737</v>
      </c>
      <c r="B425" s="3" t="s">
        <v>272</v>
      </c>
      <c r="C425" s="3" t="s">
        <v>1278</v>
      </c>
      <c r="D425" s="3">
        <v>10004491</v>
      </c>
      <c r="E425" s="4">
        <v>4534088</v>
      </c>
      <c r="F425" s="3" t="s">
        <v>49</v>
      </c>
      <c r="G425" s="4" t="s">
        <v>1657</v>
      </c>
      <c r="H425" s="4" t="s">
        <v>1684</v>
      </c>
      <c r="I425" s="5">
        <v>33110</v>
      </c>
      <c r="J425" s="3" t="s">
        <v>745</v>
      </c>
      <c r="K425" s="3" t="s">
        <v>395</v>
      </c>
      <c r="L425" s="3" t="s">
        <v>196</v>
      </c>
      <c r="M425" s="4" t="s">
        <v>1685</v>
      </c>
      <c r="N425" s="3" t="s">
        <v>25</v>
      </c>
      <c r="Y425" s="4" t="s">
        <v>1056</v>
      </c>
      <c r="Z425" s="4" t="s">
        <v>1056</v>
      </c>
      <c r="AD425" s="3" t="s">
        <v>1683</v>
      </c>
      <c r="AE425" s="3">
        <v>1000</v>
      </c>
      <c r="AI425" s="4" t="s">
        <v>1058</v>
      </c>
      <c r="AJ425" s="4" t="s">
        <v>1058</v>
      </c>
      <c r="AL425" s="4">
        <v>47407</v>
      </c>
      <c r="AM425" s="5">
        <v>33110</v>
      </c>
      <c r="AN425" s="4" t="s">
        <v>124</v>
      </c>
      <c r="AO425" s="4">
        <v>99</v>
      </c>
      <c r="AP425" s="4">
        <v>44110000</v>
      </c>
    </row>
    <row r="426" spans="1:42" x14ac:dyDescent="0.25">
      <c r="A426" s="3">
        <v>4604738</v>
      </c>
      <c r="B426" s="3" t="s">
        <v>1683</v>
      </c>
      <c r="C426" s="3" t="s">
        <v>1278</v>
      </c>
      <c r="D426" s="3">
        <v>10004533</v>
      </c>
      <c r="E426" s="4">
        <v>4534089</v>
      </c>
      <c r="F426" s="3" t="s">
        <v>49</v>
      </c>
      <c r="G426" s="4" t="s">
        <v>1686</v>
      </c>
      <c r="H426" s="4" t="s">
        <v>1687</v>
      </c>
      <c r="I426" s="5">
        <v>63800</v>
      </c>
      <c r="J426" s="3" t="s">
        <v>1688</v>
      </c>
      <c r="K426" s="3" t="s">
        <v>77</v>
      </c>
      <c r="L426" s="3" t="s">
        <v>196</v>
      </c>
      <c r="M426" s="4" t="s">
        <v>1687</v>
      </c>
      <c r="N426" s="3" t="s">
        <v>25</v>
      </c>
      <c r="Y426" s="4" t="s">
        <v>1309</v>
      </c>
      <c r="Z426" s="4" t="s">
        <v>1309</v>
      </c>
      <c r="AD426" s="3" t="s">
        <v>351</v>
      </c>
      <c r="AE426" s="3">
        <v>1000</v>
      </c>
      <c r="AI426" s="4" t="s">
        <v>1313</v>
      </c>
      <c r="AJ426" s="4" t="s">
        <v>1313</v>
      </c>
      <c r="AL426" s="4">
        <v>140652</v>
      </c>
      <c r="AM426" s="5">
        <v>63800</v>
      </c>
      <c r="AN426" s="4" t="s">
        <v>124</v>
      </c>
      <c r="AO426" s="4">
        <v>99</v>
      </c>
      <c r="AP426" s="4">
        <v>80111700</v>
      </c>
    </row>
    <row r="427" spans="1:42" x14ac:dyDescent="0.25">
      <c r="A427" s="3">
        <v>4604739</v>
      </c>
      <c r="B427" s="3" t="s">
        <v>1568</v>
      </c>
      <c r="C427" s="3" t="s">
        <v>1278</v>
      </c>
      <c r="D427" s="3">
        <v>10004532</v>
      </c>
      <c r="E427" s="4">
        <v>4534090</v>
      </c>
      <c r="F427" s="3" t="s">
        <v>49</v>
      </c>
      <c r="G427" s="4" t="s">
        <v>1689</v>
      </c>
      <c r="H427" s="4" t="s">
        <v>1690</v>
      </c>
      <c r="I427" s="5">
        <v>1402.86</v>
      </c>
      <c r="J427" s="3" t="s">
        <v>1568</v>
      </c>
      <c r="K427" s="3" t="s">
        <v>77</v>
      </c>
      <c r="L427" s="3" t="s">
        <v>119</v>
      </c>
      <c r="M427" s="4" t="s">
        <v>1690</v>
      </c>
      <c r="N427" s="3" t="s">
        <v>56</v>
      </c>
      <c r="Y427" s="4" t="s">
        <v>1056</v>
      </c>
      <c r="Z427" s="4" t="s">
        <v>1056</v>
      </c>
      <c r="AA427" s="4" t="s">
        <v>1474</v>
      </c>
      <c r="AB427" s="3" t="s">
        <v>1474</v>
      </c>
      <c r="AC427" s="3" t="s">
        <v>1476</v>
      </c>
      <c r="AD427" s="3" t="s">
        <v>351</v>
      </c>
      <c r="AE427" s="3">
        <v>1000</v>
      </c>
      <c r="AI427" s="4" t="s">
        <v>1058</v>
      </c>
      <c r="AJ427" s="4" t="s">
        <v>1058</v>
      </c>
      <c r="AL427" s="4">
        <v>46669</v>
      </c>
      <c r="AM427" s="5">
        <v>1402.86</v>
      </c>
      <c r="AN427" s="4" t="s">
        <v>124</v>
      </c>
      <c r="AO427" s="4">
        <v>99</v>
      </c>
      <c r="AP427" s="4">
        <v>43211507</v>
      </c>
    </row>
    <row r="428" spans="1:42" x14ac:dyDescent="0.25">
      <c r="A428" s="3">
        <v>4604740</v>
      </c>
      <c r="B428" s="3" t="s">
        <v>1691</v>
      </c>
      <c r="C428" s="3" t="s">
        <v>1278</v>
      </c>
      <c r="D428" s="3">
        <v>10004537</v>
      </c>
      <c r="E428" s="4">
        <v>4534091</v>
      </c>
      <c r="F428" s="3" t="s">
        <v>49</v>
      </c>
      <c r="G428" s="4" t="s">
        <v>1588</v>
      </c>
      <c r="I428" s="5">
        <v>4773.1400000000003</v>
      </c>
      <c r="J428" s="3" t="s">
        <v>1691</v>
      </c>
      <c r="K428" s="3" t="s">
        <v>77</v>
      </c>
      <c r="L428" s="3" t="s">
        <v>119</v>
      </c>
      <c r="M428" s="4" t="s">
        <v>1692</v>
      </c>
      <c r="N428" s="3" t="s">
        <v>56</v>
      </c>
      <c r="Y428" s="4" t="s">
        <v>178</v>
      </c>
      <c r="Z428" s="4" t="s">
        <v>178</v>
      </c>
      <c r="AD428" s="3" t="s">
        <v>391</v>
      </c>
      <c r="AE428" s="3">
        <v>1000</v>
      </c>
      <c r="AI428" s="4" t="s">
        <v>181</v>
      </c>
      <c r="AJ428" s="4" t="s">
        <v>181</v>
      </c>
      <c r="AL428" s="4">
        <v>41005</v>
      </c>
      <c r="AM428" s="5">
        <v>4773.1400000000003</v>
      </c>
      <c r="AN428" s="4" t="s">
        <v>124</v>
      </c>
    </row>
    <row r="429" spans="1:42" x14ac:dyDescent="0.25">
      <c r="A429" s="3">
        <v>4604741</v>
      </c>
      <c r="B429" s="3" t="s">
        <v>313</v>
      </c>
      <c r="C429" s="3" t="s">
        <v>1278</v>
      </c>
      <c r="D429" s="3">
        <v>10004539</v>
      </c>
      <c r="E429" s="4">
        <v>4534092</v>
      </c>
      <c r="F429" s="3" t="s">
        <v>49</v>
      </c>
      <c r="G429" s="4" t="s">
        <v>1164</v>
      </c>
      <c r="H429" s="4" t="s">
        <v>1165</v>
      </c>
      <c r="I429" s="5">
        <v>693000</v>
      </c>
      <c r="J429" s="3" t="s">
        <v>1568</v>
      </c>
      <c r="K429" s="3" t="s">
        <v>1693</v>
      </c>
      <c r="L429" s="3" t="s">
        <v>119</v>
      </c>
      <c r="M429" s="4" t="s">
        <v>1694</v>
      </c>
      <c r="N429" s="3" t="s">
        <v>25</v>
      </c>
      <c r="Y429" s="4" t="s">
        <v>1056</v>
      </c>
      <c r="Z429" s="4" t="s">
        <v>1056</v>
      </c>
      <c r="AA429" s="4" t="s">
        <v>1695</v>
      </c>
      <c r="AD429" s="3" t="s">
        <v>1696</v>
      </c>
      <c r="AE429" s="3">
        <v>1000</v>
      </c>
      <c r="AI429" s="4" t="s">
        <v>1058</v>
      </c>
      <c r="AJ429" s="4" t="s">
        <v>1058</v>
      </c>
      <c r="AL429" s="4">
        <v>45277</v>
      </c>
      <c r="AM429" s="5">
        <v>693000</v>
      </c>
      <c r="AN429" s="4" t="s">
        <v>124</v>
      </c>
      <c r="AO429" s="4">
        <v>99</v>
      </c>
      <c r="AP429" s="4">
        <v>43190000</v>
      </c>
    </row>
    <row r="430" spans="1:42" x14ac:dyDescent="0.25">
      <c r="A430" s="3">
        <v>4604742</v>
      </c>
      <c r="B430" s="3" t="s">
        <v>1498</v>
      </c>
      <c r="C430" s="3" t="s">
        <v>1278</v>
      </c>
      <c r="D430" s="3">
        <v>10004541</v>
      </c>
      <c r="E430" s="4">
        <v>4534093</v>
      </c>
      <c r="F430" s="3" t="s">
        <v>49</v>
      </c>
      <c r="G430" s="4" t="s">
        <v>1053</v>
      </c>
      <c r="I430" s="5">
        <v>4620</v>
      </c>
      <c r="J430" s="3" t="s">
        <v>1498</v>
      </c>
      <c r="K430" s="3" t="s">
        <v>324</v>
      </c>
      <c r="L430" s="3" t="s">
        <v>119</v>
      </c>
      <c r="M430" s="4" t="s">
        <v>1697</v>
      </c>
      <c r="N430" s="3" t="s">
        <v>56</v>
      </c>
      <c r="Y430" s="4" t="s">
        <v>1056</v>
      </c>
      <c r="Z430" s="4" t="s">
        <v>1056</v>
      </c>
      <c r="AD430" s="3" t="s">
        <v>399</v>
      </c>
      <c r="AE430" s="3">
        <v>1000</v>
      </c>
      <c r="AI430" s="4" t="s">
        <v>1058</v>
      </c>
      <c r="AJ430" s="4" t="s">
        <v>1058</v>
      </c>
      <c r="AL430" s="4">
        <v>140248</v>
      </c>
      <c r="AM430" s="5">
        <v>4620</v>
      </c>
      <c r="AN430" s="4" t="s">
        <v>124</v>
      </c>
    </row>
    <row r="431" spans="1:42" x14ac:dyDescent="0.25">
      <c r="A431" s="3">
        <v>4604748</v>
      </c>
      <c r="B431" s="3" t="s">
        <v>310</v>
      </c>
      <c r="C431" s="3" t="s">
        <v>1278</v>
      </c>
      <c r="D431" s="3">
        <v>10004543</v>
      </c>
      <c r="E431" s="4">
        <v>4534099</v>
      </c>
      <c r="F431" s="3" t="s">
        <v>49</v>
      </c>
      <c r="G431" s="4" t="s">
        <v>1353</v>
      </c>
      <c r="H431" s="4" t="s">
        <v>1698</v>
      </c>
      <c r="I431" s="5">
        <v>17820</v>
      </c>
      <c r="J431" s="3" t="s">
        <v>310</v>
      </c>
      <c r="K431" s="3" t="s">
        <v>395</v>
      </c>
      <c r="L431" s="3" t="s">
        <v>119</v>
      </c>
      <c r="M431" s="4" t="s">
        <v>1698</v>
      </c>
      <c r="N431" s="3" t="s">
        <v>56</v>
      </c>
      <c r="Y431" s="4" t="s">
        <v>1056</v>
      </c>
      <c r="Z431" s="4" t="s">
        <v>1056</v>
      </c>
      <c r="AA431" s="4" t="s">
        <v>1324</v>
      </c>
      <c r="AB431" s="3" t="s">
        <v>1355</v>
      </c>
      <c r="AC431" s="3" t="s">
        <v>1326</v>
      </c>
      <c r="AD431" s="3" t="s">
        <v>310</v>
      </c>
      <c r="AE431" s="3">
        <v>1000</v>
      </c>
      <c r="AI431" s="4" t="s">
        <v>1058</v>
      </c>
      <c r="AJ431" s="4" t="s">
        <v>1058</v>
      </c>
      <c r="AL431" s="4">
        <v>140449</v>
      </c>
      <c r="AM431" s="5">
        <v>17820</v>
      </c>
      <c r="AN431" s="4" t="s">
        <v>124</v>
      </c>
      <c r="AO431" s="4">
        <v>99</v>
      </c>
      <c r="AP431" s="4">
        <v>43230000</v>
      </c>
    </row>
    <row r="432" spans="1:42" x14ac:dyDescent="0.25">
      <c r="A432" s="3">
        <v>4604751</v>
      </c>
      <c r="B432" s="3" t="s">
        <v>832</v>
      </c>
      <c r="C432" s="3" t="s">
        <v>1278</v>
      </c>
      <c r="D432" s="3">
        <v>10004516</v>
      </c>
      <c r="E432" s="4">
        <v>4534102</v>
      </c>
      <c r="F432" s="3" t="s">
        <v>49</v>
      </c>
      <c r="G432" s="4" t="s">
        <v>410</v>
      </c>
      <c r="H432" s="4" t="s">
        <v>1699</v>
      </c>
      <c r="I432" s="5">
        <v>40480</v>
      </c>
      <c r="J432" s="3" t="s">
        <v>832</v>
      </c>
      <c r="K432" s="3" t="s">
        <v>395</v>
      </c>
      <c r="L432" s="3" t="s">
        <v>119</v>
      </c>
      <c r="M432" s="4" t="s">
        <v>1699</v>
      </c>
      <c r="N432" s="3" t="s">
        <v>56</v>
      </c>
      <c r="Y432" s="4" t="s">
        <v>1700</v>
      </c>
      <c r="Z432" s="4" t="s">
        <v>1700</v>
      </c>
      <c r="AA432" s="4" t="s">
        <v>412</v>
      </c>
      <c r="AB432" s="3" t="s">
        <v>413</v>
      </c>
      <c r="AC432" s="3" t="s">
        <v>414</v>
      </c>
      <c r="AD432" s="3" t="s">
        <v>320</v>
      </c>
      <c r="AE432" s="3">
        <v>1000</v>
      </c>
      <c r="AI432" s="4" t="s">
        <v>1701</v>
      </c>
      <c r="AJ432" s="4" t="s">
        <v>1701</v>
      </c>
      <c r="AL432" s="4">
        <v>141810</v>
      </c>
      <c r="AM432" s="5">
        <v>40480</v>
      </c>
      <c r="AN432" s="4" t="s">
        <v>124</v>
      </c>
      <c r="AO432" s="4">
        <v>99</v>
      </c>
      <c r="AP432" s="4">
        <v>80101507</v>
      </c>
    </row>
    <row r="433" spans="1:42" x14ac:dyDescent="0.25">
      <c r="A433" s="3">
        <v>4604757</v>
      </c>
      <c r="B433" s="3" t="s">
        <v>1702</v>
      </c>
      <c r="C433" s="3" t="s">
        <v>1278</v>
      </c>
      <c r="D433" s="3">
        <v>10004553</v>
      </c>
      <c r="E433" s="4">
        <v>4534108</v>
      </c>
      <c r="F433" s="3" t="s">
        <v>49</v>
      </c>
      <c r="G433" s="4" t="s">
        <v>174</v>
      </c>
      <c r="I433" s="5">
        <v>2566.64</v>
      </c>
      <c r="J433" s="3" t="s">
        <v>1702</v>
      </c>
      <c r="K433" s="3" t="s">
        <v>77</v>
      </c>
      <c r="L433" s="3" t="s">
        <v>119</v>
      </c>
      <c r="M433" s="4" t="s">
        <v>1703</v>
      </c>
      <c r="N433" s="3" t="s">
        <v>56</v>
      </c>
      <c r="Y433" s="4" t="s">
        <v>178</v>
      </c>
      <c r="Z433" s="4" t="s">
        <v>178</v>
      </c>
      <c r="AD433" s="3" t="s">
        <v>1704</v>
      </c>
      <c r="AE433" s="3">
        <v>1000</v>
      </c>
      <c r="AI433" s="4" t="s">
        <v>181</v>
      </c>
      <c r="AJ433" s="4" t="s">
        <v>181</v>
      </c>
      <c r="AL433" s="4">
        <v>40476</v>
      </c>
      <c r="AM433" s="5">
        <v>2566.64</v>
      </c>
      <c r="AN433" s="4" t="s">
        <v>124</v>
      </c>
    </row>
    <row r="434" spans="1:42" x14ac:dyDescent="0.25">
      <c r="A434" s="3">
        <v>4604758</v>
      </c>
      <c r="B434" s="3" t="s">
        <v>500</v>
      </c>
      <c r="C434" s="3" t="s">
        <v>1278</v>
      </c>
      <c r="D434" s="3">
        <v>10004519</v>
      </c>
      <c r="E434" s="4">
        <v>4534109</v>
      </c>
      <c r="F434" s="3" t="s">
        <v>49</v>
      </c>
      <c r="G434" s="4" t="s">
        <v>1551</v>
      </c>
      <c r="H434" s="4" t="s">
        <v>1705</v>
      </c>
      <c r="I434" s="5">
        <v>61640.2</v>
      </c>
      <c r="J434" s="3" t="s">
        <v>1650</v>
      </c>
      <c r="K434" s="3" t="s">
        <v>436</v>
      </c>
      <c r="L434" s="3" t="s">
        <v>196</v>
      </c>
      <c r="M434" s="4" t="s">
        <v>1705</v>
      </c>
      <c r="N434" s="3" t="s">
        <v>25</v>
      </c>
      <c r="O434" s="3" t="s">
        <v>139</v>
      </c>
      <c r="P434" s="4" t="s">
        <v>140</v>
      </c>
      <c r="Y434" s="4" t="s">
        <v>540</v>
      </c>
      <c r="Z434" s="4" t="s">
        <v>540</v>
      </c>
      <c r="AD434" s="3" t="s">
        <v>500</v>
      </c>
      <c r="AE434" s="3">
        <v>1000</v>
      </c>
      <c r="AI434" s="4" t="s">
        <v>542</v>
      </c>
      <c r="AJ434" s="4" t="s">
        <v>542</v>
      </c>
      <c r="AK434" s="3" t="s">
        <v>143</v>
      </c>
      <c r="AL434" s="4">
        <v>141105</v>
      </c>
      <c r="AM434" s="5">
        <v>61640.2</v>
      </c>
      <c r="AN434" s="4" t="s">
        <v>124</v>
      </c>
      <c r="AO434" s="4">
        <v>99</v>
      </c>
      <c r="AP434" s="4">
        <v>80101505</v>
      </c>
    </row>
    <row r="435" spans="1:42" x14ac:dyDescent="0.25">
      <c r="A435" s="3">
        <v>4604759</v>
      </c>
      <c r="B435" s="3" t="s">
        <v>292</v>
      </c>
      <c r="C435" s="3" t="s">
        <v>1278</v>
      </c>
      <c r="D435" s="3">
        <v>10004554</v>
      </c>
      <c r="E435" s="4">
        <v>4534110</v>
      </c>
      <c r="F435" s="3" t="s">
        <v>49</v>
      </c>
      <c r="G435" s="4" t="s">
        <v>1380</v>
      </c>
      <c r="H435" s="4" t="s">
        <v>1706</v>
      </c>
      <c r="I435" s="5">
        <v>150000</v>
      </c>
      <c r="J435" s="3" t="s">
        <v>310</v>
      </c>
      <c r="K435" s="3" t="s">
        <v>77</v>
      </c>
      <c r="L435" s="3" t="s">
        <v>196</v>
      </c>
      <c r="M435" s="4" t="s">
        <v>1706</v>
      </c>
      <c r="N435" s="3" t="s">
        <v>25</v>
      </c>
      <c r="Y435" s="4" t="s">
        <v>1047</v>
      </c>
      <c r="Z435" s="4" t="s">
        <v>1047</v>
      </c>
      <c r="AD435" s="3" t="s">
        <v>369</v>
      </c>
      <c r="AE435" s="3">
        <v>1000</v>
      </c>
      <c r="AI435" s="4" t="s">
        <v>1050</v>
      </c>
      <c r="AJ435" s="4" t="s">
        <v>1050</v>
      </c>
      <c r="AL435" s="4">
        <v>46327</v>
      </c>
      <c r="AM435" s="5">
        <v>150000</v>
      </c>
      <c r="AN435" s="4" t="s">
        <v>124</v>
      </c>
      <c r="AO435" s="4">
        <v>96</v>
      </c>
      <c r="AP435" s="4">
        <v>81112200</v>
      </c>
    </row>
    <row r="436" spans="1:42" x14ac:dyDescent="0.25">
      <c r="A436" s="3">
        <v>4604760</v>
      </c>
      <c r="B436" s="3" t="s">
        <v>1702</v>
      </c>
      <c r="C436" s="3" t="s">
        <v>1278</v>
      </c>
      <c r="D436" s="3">
        <v>10004548</v>
      </c>
      <c r="E436" s="4">
        <v>4534111</v>
      </c>
      <c r="F436" s="3" t="s">
        <v>49</v>
      </c>
      <c r="G436" s="4" t="s">
        <v>279</v>
      </c>
      <c r="H436" s="4" t="s">
        <v>1707</v>
      </c>
      <c r="I436" s="5">
        <v>16734.21</v>
      </c>
      <c r="J436" s="3" t="s">
        <v>1702</v>
      </c>
      <c r="K436" s="3" t="s">
        <v>324</v>
      </c>
      <c r="L436" s="3" t="s">
        <v>196</v>
      </c>
      <c r="M436" s="4" t="s">
        <v>1707</v>
      </c>
      <c r="N436" s="3" t="s">
        <v>25</v>
      </c>
      <c r="Y436" s="4" t="s">
        <v>396</v>
      </c>
      <c r="Z436" s="4" t="s">
        <v>396</v>
      </c>
      <c r="AD436" s="3" t="s">
        <v>324</v>
      </c>
      <c r="AE436" s="3">
        <v>1000</v>
      </c>
      <c r="AI436" s="4" t="s">
        <v>397</v>
      </c>
      <c r="AJ436" s="4" t="s">
        <v>397</v>
      </c>
      <c r="AL436" s="4">
        <v>141759</v>
      </c>
      <c r="AM436" s="5">
        <v>16734.21</v>
      </c>
      <c r="AN436" s="4" t="s">
        <v>124</v>
      </c>
      <c r="AO436" s="4">
        <v>99</v>
      </c>
      <c r="AP436" s="4">
        <v>80101504</v>
      </c>
    </row>
    <row r="437" spans="1:42" x14ac:dyDescent="0.25">
      <c r="A437" s="3">
        <v>4604763</v>
      </c>
      <c r="B437" s="3" t="s">
        <v>832</v>
      </c>
      <c r="C437" s="3" t="s">
        <v>1278</v>
      </c>
      <c r="D437" s="3">
        <v>10004556</v>
      </c>
      <c r="E437" s="4">
        <v>4534114</v>
      </c>
      <c r="F437" s="3" t="s">
        <v>49</v>
      </c>
      <c r="G437" s="4" t="s">
        <v>1708</v>
      </c>
      <c r="H437" s="4" t="s">
        <v>1709</v>
      </c>
      <c r="I437" s="5">
        <v>10164</v>
      </c>
      <c r="J437" s="3" t="s">
        <v>832</v>
      </c>
      <c r="K437" s="3" t="s">
        <v>395</v>
      </c>
      <c r="L437" s="3" t="s">
        <v>196</v>
      </c>
      <c r="M437" s="4" t="s">
        <v>1709</v>
      </c>
      <c r="N437" s="3" t="s">
        <v>25</v>
      </c>
      <c r="Y437" s="4" t="s">
        <v>1079</v>
      </c>
      <c r="Z437" s="4" t="s">
        <v>1079</v>
      </c>
      <c r="AD437" s="3" t="s">
        <v>932</v>
      </c>
      <c r="AE437" s="3">
        <v>1000</v>
      </c>
      <c r="AI437" s="4" t="s">
        <v>1083</v>
      </c>
      <c r="AJ437" s="4" t="s">
        <v>1083</v>
      </c>
      <c r="AL437" s="4">
        <v>140104</v>
      </c>
      <c r="AM437" s="5">
        <v>10164</v>
      </c>
      <c r="AN437" s="4" t="s">
        <v>124</v>
      </c>
      <c r="AO437" s="4">
        <v>99</v>
      </c>
      <c r="AP437" s="4">
        <v>80160000</v>
      </c>
    </row>
    <row r="438" spans="1:42" x14ac:dyDescent="0.25">
      <c r="A438" s="3">
        <v>4604765</v>
      </c>
      <c r="B438" s="3" t="s">
        <v>1570</v>
      </c>
      <c r="C438" s="3" t="s">
        <v>1278</v>
      </c>
      <c r="D438" s="3">
        <v>10004531</v>
      </c>
      <c r="E438" s="4">
        <v>4534116</v>
      </c>
      <c r="F438" s="3" t="s">
        <v>49</v>
      </c>
      <c r="G438" s="4" t="s">
        <v>1710</v>
      </c>
      <c r="H438" s="4" t="s">
        <v>1711</v>
      </c>
      <c r="I438" s="5">
        <v>139593.51999999999</v>
      </c>
      <c r="J438" s="3" t="s">
        <v>1570</v>
      </c>
      <c r="K438" s="3" t="s">
        <v>510</v>
      </c>
      <c r="L438" s="3" t="s">
        <v>119</v>
      </c>
      <c r="M438" s="4" t="s">
        <v>1711</v>
      </c>
      <c r="N438" s="3" t="s">
        <v>56</v>
      </c>
      <c r="Y438" s="4" t="s">
        <v>1309</v>
      </c>
      <c r="Z438" s="4" t="s">
        <v>1309</v>
      </c>
      <c r="AA438" s="4" t="s">
        <v>412</v>
      </c>
      <c r="AB438" s="3" t="s">
        <v>1712</v>
      </c>
      <c r="AC438" s="3" t="s">
        <v>414</v>
      </c>
      <c r="AD438" s="3" t="s">
        <v>369</v>
      </c>
      <c r="AE438" s="3">
        <v>1000</v>
      </c>
      <c r="AI438" s="4" t="s">
        <v>1313</v>
      </c>
      <c r="AJ438" s="4" t="s">
        <v>1313</v>
      </c>
      <c r="AL438" s="4">
        <v>47444</v>
      </c>
      <c r="AM438" s="5">
        <v>139593.51999999999</v>
      </c>
      <c r="AN438" s="4" t="s">
        <v>124</v>
      </c>
      <c r="AO438" s="4">
        <v>99</v>
      </c>
      <c r="AP438" s="4">
        <v>80101600</v>
      </c>
    </row>
    <row r="439" spans="1:42" x14ac:dyDescent="0.25">
      <c r="A439" s="3">
        <v>4604766</v>
      </c>
      <c r="B439" s="3" t="s">
        <v>180</v>
      </c>
      <c r="C439" s="3" t="s">
        <v>1278</v>
      </c>
      <c r="D439" s="3">
        <v>10004560</v>
      </c>
      <c r="E439" s="4">
        <v>4534117</v>
      </c>
      <c r="F439" s="3" t="s">
        <v>49</v>
      </c>
      <c r="G439" s="4" t="s">
        <v>174</v>
      </c>
      <c r="I439" s="5">
        <v>4399.83</v>
      </c>
      <c r="J439" s="3" t="s">
        <v>395</v>
      </c>
      <c r="K439" s="3" t="s">
        <v>1713</v>
      </c>
      <c r="L439" s="3" t="s">
        <v>119</v>
      </c>
      <c r="M439" s="4" t="s">
        <v>1692</v>
      </c>
      <c r="N439" s="3" t="s">
        <v>56</v>
      </c>
      <c r="Y439" s="4" t="s">
        <v>178</v>
      </c>
      <c r="Z439" s="4" t="s">
        <v>178</v>
      </c>
      <c r="AD439" s="3" t="s">
        <v>535</v>
      </c>
      <c r="AE439" s="3">
        <v>1000</v>
      </c>
      <c r="AI439" s="4" t="s">
        <v>181</v>
      </c>
      <c r="AJ439" s="4" t="s">
        <v>181</v>
      </c>
      <c r="AL439" s="4">
        <v>40476</v>
      </c>
      <c r="AM439" s="5">
        <v>4399.83</v>
      </c>
      <c r="AN439" s="4" t="s">
        <v>124</v>
      </c>
    </row>
    <row r="440" spans="1:42" x14ac:dyDescent="0.25">
      <c r="A440" s="3">
        <v>4604767</v>
      </c>
      <c r="B440" s="3" t="s">
        <v>910</v>
      </c>
      <c r="C440" s="3" t="s">
        <v>1278</v>
      </c>
      <c r="D440" s="3">
        <v>10004555</v>
      </c>
      <c r="E440" s="4">
        <v>4534118</v>
      </c>
      <c r="F440" s="3" t="s">
        <v>49</v>
      </c>
      <c r="G440" s="4" t="s">
        <v>1714</v>
      </c>
      <c r="I440" s="5">
        <v>7015.01</v>
      </c>
      <c r="J440" s="3" t="s">
        <v>910</v>
      </c>
      <c r="K440" s="3" t="s">
        <v>77</v>
      </c>
      <c r="L440" s="3" t="s">
        <v>196</v>
      </c>
      <c r="M440" s="4" t="s">
        <v>1715</v>
      </c>
      <c r="N440" s="3" t="s">
        <v>25</v>
      </c>
      <c r="Y440" s="4" t="s">
        <v>540</v>
      </c>
      <c r="Z440" s="4" t="s">
        <v>1090</v>
      </c>
      <c r="AD440" s="3" t="s">
        <v>315</v>
      </c>
      <c r="AE440" s="3">
        <v>1000</v>
      </c>
      <c r="AI440" s="4" t="s">
        <v>542</v>
      </c>
      <c r="AJ440" s="4" t="s">
        <v>1091</v>
      </c>
      <c r="AL440" s="4">
        <v>30321</v>
      </c>
      <c r="AM440" s="5">
        <v>7015.01</v>
      </c>
      <c r="AN440" s="4" t="s">
        <v>124</v>
      </c>
    </row>
    <row r="441" spans="1:42" x14ac:dyDescent="0.25">
      <c r="A441" s="3">
        <v>4604770</v>
      </c>
      <c r="B441" s="3" t="s">
        <v>1688</v>
      </c>
      <c r="C441" s="3" t="s">
        <v>1278</v>
      </c>
      <c r="D441" s="3">
        <v>10004540</v>
      </c>
      <c r="E441" s="4">
        <v>4534121</v>
      </c>
      <c r="F441" s="3" t="s">
        <v>49</v>
      </c>
      <c r="G441" s="4" t="s">
        <v>1716</v>
      </c>
      <c r="H441" s="4" t="s">
        <v>1717</v>
      </c>
      <c r="I441" s="5">
        <v>35288</v>
      </c>
      <c r="J441" s="3" t="s">
        <v>1688</v>
      </c>
      <c r="K441" s="3" t="s">
        <v>292</v>
      </c>
      <c r="L441" s="3" t="s">
        <v>119</v>
      </c>
      <c r="M441" s="4" t="s">
        <v>1717</v>
      </c>
      <c r="N441" s="3" t="s">
        <v>56</v>
      </c>
      <c r="Y441" s="4" t="s">
        <v>1700</v>
      </c>
      <c r="Z441" s="4" t="s">
        <v>1700</v>
      </c>
      <c r="AA441" s="4">
        <v>20000194</v>
      </c>
      <c r="AB441" s="3" t="s">
        <v>1718</v>
      </c>
      <c r="AC441" s="3" t="s">
        <v>1719</v>
      </c>
      <c r="AD441" s="3" t="s">
        <v>1059</v>
      </c>
      <c r="AE441" s="3">
        <v>1000</v>
      </c>
      <c r="AI441" s="4" t="s">
        <v>1701</v>
      </c>
      <c r="AJ441" s="4" t="s">
        <v>1701</v>
      </c>
      <c r="AL441" s="4">
        <v>44468</v>
      </c>
      <c r="AM441" s="5">
        <v>35288</v>
      </c>
      <c r="AN441" s="4" t="s">
        <v>124</v>
      </c>
      <c r="AO441" s="4">
        <v>99</v>
      </c>
      <c r="AP441" s="4">
        <v>80101507</v>
      </c>
    </row>
    <row r="442" spans="1:42" x14ac:dyDescent="0.25">
      <c r="A442" s="3">
        <v>4604773</v>
      </c>
      <c r="B442" s="3" t="s">
        <v>1720</v>
      </c>
      <c r="C442" s="3" t="s">
        <v>1278</v>
      </c>
      <c r="D442" s="3">
        <v>10004570</v>
      </c>
      <c r="E442" s="4">
        <v>4534124</v>
      </c>
      <c r="F442" s="3" t="s">
        <v>49</v>
      </c>
      <c r="G442" s="4" t="s">
        <v>174</v>
      </c>
      <c r="H442" s="4" t="s">
        <v>1721</v>
      </c>
      <c r="I442" s="5">
        <v>137000</v>
      </c>
      <c r="J442" s="3" t="s">
        <v>1720</v>
      </c>
      <c r="K442" s="3" t="s">
        <v>77</v>
      </c>
      <c r="L442" s="3" t="s">
        <v>119</v>
      </c>
      <c r="M442" s="4" t="s">
        <v>1721</v>
      </c>
      <c r="N442" s="3" t="s">
        <v>56</v>
      </c>
      <c r="Y442" s="4" t="s">
        <v>178</v>
      </c>
      <c r="Z442" s="4" t="s">
        <v>178</v>
      </c>
      <c r="AA442" s="4" t="s">
        <v>188</v>
      </c>
      <c r="AB442" s="3" t="s">
        <v>401</v>
      </c>
      <c r="AC442" s="3" t="s">
        <v>190</v>
      </c>
      <c r="AD442" s="3" t="s">
        <v>53</v>
      </c>
      <c r="AE442" s="3">
        <v>1000</v>
      </c>
      <c r="AI442" s="4" t="s">
        <v>181</v>
      </c>
      <c r="AJ442" s="4" t="s">
        <v>181</v>
      </c>
      <c r="AL442" s="4">
        <v>40476</v>
      </c>
      <c r="AM442" s="5">
        <v>137000</v>
      </c>
      <c r="AN442" s="4" t="s">
        <v>124</v>
      </c>
      <c r="AO442" s="4">
        <v>98</v>
      </c>
      <c r="AP442" s="4">
        <v>80111600</v>
      </c>
    </row>
    <row r="443" spans="1:42" x14ac:dyDescent="0.25">
      <c r="A443" s="3">
        <v>4604776</v>
      </c>
      <c r="B443" s="3" t="s">
        <v>439</v>
      </c>
      <c r="C443" s="3" t="s">
        <v>1278</v>
      </c>
      <c r="D443" s="3">
        <v>10004562</v>
      </c>
      <c r="E443" s="4">
        <v>4534127</v>
      </c>
      <c r="F443" s="3" t="s">
        <v>49</v>
      </c>
      <c r="G443" s="4" t="s">
        <v>1060</v>
      </c>
      <c r="H443" s="4" t="s">
        <v>1722</v>
      </c>
      <c r="I443" s="5">
        <v>22086.41</v>
      </c>
      <c r="J443" s="3" t="s">
        <v>1059</v>
      </c>
      <c r="K443" s="3" t="s">
        <v>77</v>
      </c>
      <c r="L443" s="3" t="s">
        <v>196</v>
      </c>
      <c r="M443" s="4" t="s">
        <v>1723</v>
      </c>
      <c r="N443" s="3" t="s">
        <v>25</v>
      </c>
      <c r="Y443" s="4" t="s">
        <v>540</v>
      </c>
      <c r="Z443" s="4" t="s">
        <v>1090</v>
      </c>
      <c r="AD443" s="3" t="s">
        <v>1209</v>
      </c>
      <c r="AE443" s="3">
        <v>1000</v>
      </c>
      <c r="AI443" s="4" t="s">
        <v>542</v>
      </c>
      <c r="AJ443" s="4" t="s">
        <v>1091</v>
      </c>
      <c r="AL443" s="4">
        <v>140146</v>
      </c>
      <c r="AM443" s="5">
        <v>22086.41</v>
      </c>
      <c r="AN443" s="4" t="s">
        <v>124</v>
      </c>
      <c r="AO443" s="4">
        <v>99</v>
      </c>
      <c r="AP443" s="4">
        <v>76111506</v>
      </c>
    </row>
    <row r="444" spans="1:42" x14ac:dyDescent="0.25">
      <c r="A444" s="3">
        <v>4604779</v>
      </c>
      <c r="B444" s="3" t="s">
        <v>1724</v>
      </c>
      <c r="C444" s="3" t="s">
        <v>1278</v>
      </c>
      <c r="D444" s="3">
        <v>10004573</v>
      </c>
      <c r="E444" s="4">
        <v>4534130</v>
      </c>
      <c r="F444" s="3" t="s">
        <v>49</v>
      </c>
      <c r="G444" s="4" t="s">
        <v>410</v>
      </c>
      <c r="H444" s="4" t="s">
        <v>1725</v>
      </c>
      <c r="I444" s="5">
        <v>26400</v>
      </c>
      <c r="J444" s="3" t="s">
        <v>1134</v>
      </c>
      <c r="K444" s="3" t="s">
        <v>400</v>
      </c>
      <c r="L444" s="3" t="s">
        <v>119</v>
      </c>
      <c r="M444" s="4" t="s">
        <v>1725</v>
      </c>
      <c r="N444" s="3" t="s">
        <v>56</v>
      </c>
      <c r="Y444" s="4" t="s">
        <v>1700</v>
      </c>
      <c r="Z444" s="4" t="s">
        <v>1700</v>
      </c>
      <c r="AA444" s="4" t="s">
        <v>412</v>
      </c>
      <c r="AB444" s="3" t="s">
        <v>413</v>
      </c>
      <c r="AC444" s="3" t="s">
        <v>414</v>
      </c>
      <c r="AD444" s="3" t="s">
        <v>424</v>
      </c>
      <c r="AE444" s="3">
        <v>1000</v>
      </c>
      <c r="AI444" s="4" t="s">
        <v>1701</v>
      </c>
      <c r="AJ444" s="4" t="s">
        <v>1701</v>
      </c>
      <c r="AL444" s="4">
        <v>141810</v>
      </c>
      <c r="AM444" s="5">
        <v>26400</v>
      </c>
      <c r="AN444" s="4" t="s">
        <v>124</v>
      </c>
      <c r="AO444" s="4">
        <v>99</v>
      </c>
      <c r="AP444" s="4">
        <v>80101507</v>
      </c>
    </row>
    <row r="445" spans="1:42" x14ac:dyDescent="0.25">
      <c r="A445" s="3">
        <v>4604780</v>
      </c>
      <c r="B445" s="3" t="s">
        <v>1134</v>
      </c>
      <c r="C445" s="3" t="s">
        <v>1278</v>
      </c>
      <c r="D445" s="3">
        <v>10004579</v>
      </c>
      <c r="E445" s="4">
        <v>4534131</v>
      </c>
      <c r="F445" s="3" t="s">
        <v>49</v>
      </c>
      <c r="G445" s="4" t="s">
        <v>318</v>
      </c>
      <c r="H445" s="4" t="s">
        <v>1726</v>
      </c>
      <c r="I445" s="5">
        <v>13835.24</v>
      </c>
      <c r="J445" s="3" t="s">
        <v>1134</v>
      </c>
      <c r="K445" s="3" t="s">
        <v>1727</v>
      </c>
      <c r="L445" s="3" t="s">
        <v>119</v>
      </c>
      <c r="M445" s="4" t="s">
        <v>1726</v>
      </c>
      <c r="N445" s="3" t="s">
        <v>56</v>
      </c>
      <c r="Y445" s="4" t="s">
        <v>178</v>
      </c>
      <c r="Z445" s="4" t="s">
        <v>178</v>
      </c>
      <c r="AA445" s="4" t="s">
        <v>188</v>
      </c>
      <c r="AB445" s="3" t="s">
        <v>1320</v>
      </c>
      <c r="AC445" s="3" t="s">
        <v>190</v>
      </c>
      <c r="AD445" s="3" t="s">
        <v>529</v>
      </c>
      <c r="AE445" s="3">
        <v>1000</v>
      </c>
      <c r="AI445" s="4" t="s">
        <v>181</v>
      </c>
      <c r="AJ445" s="4" t="s">
        <v>181</v>
      </c>
      <c r="AL445" s="4">
        <v>141551</v>
      </c>
      <c r="AM445" s="5">
        <v>13835.24</v>
      </c>
      <c r="AN445" s="4" t="s">
        <v>124</v>
      </c>
      <c r="AO445" s="4">
        <v>99</v>
      </c>
      <c r="AP445" s="4">
        <v>80111600</v>
      </c>
    </row>
    <row r="446" spans="1:42" x14ac:dyDescent="0.25">
      <c r="A446" s="3">
        <v>4604783</v>
      </c>
      <c r="B446" s="3" t="s">
        <v>1728</v>
      </c>
      <c r="C446" s="3" t="s">
        <v>1278</v>
      </c>
      <c r="D446" s="3">
        <v>10004582</v>
      </c>
      <c r="E446" s="4">
        <v>4534134</v>
      </c>
      <c r="F446" s="3" t="s">
        <v>49</v>
      </c>
      <c r="G446" s="4" t="s">
        <v>311</v>
      </c>
      <c r="H446" s="4" t="s">
        <v>1729</v>
      </c>
      <c r="I446" s="5">
        <v>71000</v>
      </c>
      <c r="J446" s="3" t="s">
        <v>1040</v>
      </c>
      <c r="K446" s="3" t="s">
        <v>77</v>
      </c>
      <c r="L446" s="3" t="s">
        <v>119</v>
      </c>
      <c r="M446" s="4" t="s">
        <v>1729</v>
      </c>
      <c r="N446" s="3" t="s">
        <v>56</v>
      </c>
      <c r="Y446" s="4" t="s">
        <v>178</v>
      </c>
      <c r="Z446" s="4" t="s">
        <v>178</v>
      </c>
      <c r="AA446" s="4" t="s">
        <v>188</v>
      </c>
      <c r="AB446" s="3" t="s">
        <v>1730</v>
      </c>
      <c r="AC446" s="3" t="s">
        <v>190</v>
      </c>
      <c r="AD446" s="3" t="s">
        <v>444</v>
      </c>
      <c r="AE446" s="3">
        <v>1000</v>
      </c>
      <c r="AI446" s="4" t="s">
        <v>181</v>
      </c>
      <c r="AJ446" s="4" t="s">
        <v>181</v>
      </c>
      <c r="AL446" s="4">
        <v>141807</v>
      </c>
      <c r="AM446" s="5">
        <v>71000</v>
      </c>
      <c r="AN446" s="4" t="s">
        <v>124</v>
      </c>
      <c r="AO446" s="4">
        <v>98</v>
      </c>
      <c r="AP446" s="4">
        <v>80111600</v>
      </c>
    </row>
    <row r="447" spans="1:42" x14ac:dyDescent="0.25">
      <c r="A447" s="3">
        <v>4604784</v>
      </c>
      <c r="B447" s="3" t="s">
        <v>77</v>
      </c>
      <c r="C447" s="3" t="s">
        <v>1278</v>
      </c>
      <c r="D447" s="3">
        <v>10004577</v>
      </c>
      <c r="E447" s="4">
        <v>4534135</v>
      </c>
      <c r="F447" s="3" t="s">
        <v>49</v>
      </c>
      <c r="G447" s="4" t="s">
        <v>1731</v>
      </c>
      <c r="I447" s="5">
        <v>2270</v>
      </c>
      <c r="J447" s="3" t="s">
        <v>1670</v>
      </c>
      <c r="K447" s="3" t="s">
        <v>77</v>
      </c>
      <c r="L447" s="3" t="s">
        <v>196</v>
      </c>
      <c r="M447" s="4" t="s">
        <v>1732</v>
      </c>
      <c r="N447" s="3" t="s">
        <v>25</v>
      </c>
      <c r="Y447" s="4" t="s">
        <v>1068</v>
      </c>
      <c r="Z447" s="4" t="s">
        <v>1090</v>
      </c>
      <c r="AD447" s="3" t="s">
        <v>77</v>
      </c>
      <c r="AE447" s="3">
        <v>1000</v>
      </c>
      <c r="AI447" s="4" t="s">
        <v>1071</v>
      </c>
      <c r="AJ447" s="4" t="s">
        <v>1091</v>
      </c>
      <c r="AL447" s="4">
        <v>141834</v>
      </c>
      <c r="AM447" s="5">
        <v>2270</v>
      </c>
      <c r="AN447" s="4" t="s">
        <v>124</v>
      </c>
    </row>
    <row r="448" spans="1:42" x14ac:dyDescent="0.25">
      <c r="A448" s="3">
        <v>4604786</v>
      </c>
      <c r="B448" s="3" t="s">
        <v>905</v>
      </c>
      <c r="C448" s="3" t="s">
        <v>1278</v>
      </c>
      <c r="D448" s="3">
        <v>10004583</v>
      </c>
      <c r="E448" s="4">
        <v>4534137</v>
      </c>
      <c r="F448" s="3" t="s">
        <v>49</v>
      </c>
      <c r="G448" s="4" t="s">
        <v>1731</v>
      </c>
      <c r="H448" s="4" t="s">
        <v>1733</v>
      </c>
      <c r="I448" s="5">
        <v>17160</v>
      </c>
      <c r="J448" s="3" t="s">
        <v>1734</v>
      </c>
      <c r="K448" s="3" t="s">
        <v>807</v>
      </c>
      <c r="L448" s="3" t="s">
        <v>196</v>
      </c>
      <c r="M448" s="4" t="s">
        <v>1735</v>
      </c>
      <c r="N448" s="3" t="s">
        <v>25</v>
      </c>
      <c r="Y448" s="4" t="s">
        <v>1079</v>
      </c>
      <c r="Z448" s="4" t="s">
        <v>1079</v>
      </c>
      <c r="AD448" s="3" t="s">
        <v>486</v>
      </c>
      <c r="AE448" s="3">
        <v>1000</v>
      </c>
      <c r="AI448" s="4" t="s">
        <v>1083</v>
      </c>
      <c r="AJ448" s="4" t="s">
        <v>1083</v>
      </c>
      <c r="AL448" s="4">
        <v>141834</v>
      </c>
      <c r="AM448" s="5">
        <v>17160</v>
      </c>
      <c r="AN448" s="4" t="s">
        <v>124</v>
      </c>
      <c r="AO448" s="4">
        <v>99</v>
      </c>
      <c r="AP448" s="4">
        <v>46170000</v>
      </c>
    </row>
    <row r="449" spans="1:42" x14ac:dyDescent="0.25">
      <c r="A449" s="3">
        <v>4604787</v>
      </c>
      <c r="B449" s="3" t="s">
        <v>1728</v>
      </c>
      <c r="C449" s="3" t="s">
        <v>1278</v>
      </c>
      <c r="D449" s="3">
        <v>10004585</v>
      </c>
      <c r="E449" s="4">
        <v>4534138</v>
      </c>
      <c r="F449" s="3" t="s">
        <v>49</v>
      </c>
      <c r="G449" s="4" t="s">
        <v>393</v>
      </c>
      <c r="H449" s="4" t="s">
        <v>1736</v>
      </c>
      <c r="I449" s="5">
        <v>54740.07</v>
      </c>
      <c r="J449" s="3" t="s">
        <v>1728</v>
      </c>
      <c r="K449" s="3" t="s">
        <v>480</v>
      </c>
      <c r="L449" s="3" t="s">
        <v>196</v>
      </c>
      <c r="M449" s="4" t="s">
        <v>1736</v>
      </c>
      <c r="N449" s="3" t="s">
        <v>25</v>
      </c>
      <c r="Y449" s="4" t="s">
        <v>179</v>
      </c>
      <c r="Z449" s="4" t="s">
        <v>179</v>
      </c>
      <c r="AD449" s="3" t="s">
        <v>1040</v>
      </c>
      <c r="AE449" s="3">
        <v>1000</v>
      </c>
      <c r="AI449" s="4" t="s">
        <v>182</v>
      </c>
      <c r="AJ449" s="4" t="s">
        <v>182</v>
      </c>
      <c r="AL449" s="4">
        <v>51455</v>
      </c>
      <c r="AM449" s="5">
        <v>54740.07</v>
      </c>
      <c r="AN449" s="4" t="s">
        <v>124</v>
      </c>
      <c r="AO449" s="4">
        <v>99</v>
      </c>
      <c r="AP449" s="4">
        <v>86000000</v>
      </c>
    </row>
    <row r="450" spans="1:42" x14ac:dyDescent="0.25">
      <c r="A450" s="3">
        <v>4604789</v>
      </c>
      <c r="B450" s="3" t="s">
        <v>1737</v>
      </c>
      <c r="C450" s="3" t="s">
        <v>1278</v>
      </c>
      <c r="D450" s="3">
        <v>10004534</v>
      </c>
      <c r="E450" s="4">
        <v>4534140</v>
      </c>
      <c r="F450" s="3" t="s">
        <v>49</v>
      </c>
      <c r="G450" s="4" t="s">
        <v>1738</v>
      </c>
      <c r="H450" s="4" t="s">
        <v>1739</v>
      </c>
      <c r="I450" s="5">
        <v>46310</v>
      </c>
      <c r="J450" s="3" t="s">
        <v>1691</v>
      </c>
      <c r="K450" s="3" t="s">
        <v>324</v>
      </c>
      <c r="L450" s="3" t="s">
        <v>119</v>
      </c>
      <c r="M450" s="4" t="s">
        <v>1739</v>
      </c>
      <c r="N450" s="3" t="s">
        <v>56</v>
      </c>
      <c r="Y450" s="4" t="s">
        <v>1539</v>
      </c>
      <c r="Z450" s="4" t="s">
        <v>1539</v>
      </c>
      <c r="AA450" s="4" t="s">
        <v>1740</v>
      </c>
      <c r="AB450" s="3" t="s">
        <v>1741</v>
      </c>
      <c r="AC450" s="3" t="s">
        <v>1742</v>
      </c>
      <c r="AD450" s="3" t="s">
        <v>951</v>
      </c>
      <c r="AE450" s="3">
        <v>1000</v>
      </c>
      <c r="AI450" s="4" t="s">
        <v>1540</v>
      </c>
      <c r="AJ450" s="4" t="s">
        <v>1540</v>
      </c>
      <c r="AL450" s="4">
        <v>141822</v>
      </c>
      <c r="AM450" s="5">
        <v>46310</v>
      </c>
      <c r="AN450" s="4" t="s">
        <v>124</v>
      </c>
      <c r="AO450" s="4">
        <v>99</v>
      </c>
      <c r="AP450" s="4">
        <v>80101507</v>
      </c>
    </row>
    <row r="451" spans="1:42" x14ac:dyDescent="0.25">
      <c r="A451" s="3">
        <v>4604791</v>
      </c>
      <c r="B451" s="3" t="s">
        <v>1743</v>
      </c>
      <c r="C451" s="3" t="s">
        <v>1278</v>
      </c>
      <c r="D451" s="3">
        <v>10004588</v>
      </c>
      <c r="E451" s="4">
        <v>4534142</v>
      </c>
      <c r="F451" s="3" t="s">
        <v>49</v>
      </c>
      <c r="G451" s="4" t="s">
        <v>1744</v>
      </c>
      <c r="I451" s="5">
        <v>2057</v>
      </c>
      <c r="J451" s="3" t="s">
        <v>176</v>
      </c>
      <c r="K451" s="3" t="s">
        <v>400</v>
      </c>
      <c r="L451" s="3" t="s">
        <v>196</v>
      </c>
      <c r="M451" s="4" t="s">
        <v>1745</v>
      </c>
      <c r="N451" s="3" t="s">
        <v>25</v>
      </c>
      <c r="Y451" s="4" t="s">
        <v>1079</v>
      </c>
      <c r="Z451" s="4" t="s">
        <v>1090</v>
      </c>
      <c r="AD451" s="3" t="s">
        <v>1743</v>
      </c>
      <c r="AE451" s="3">
        <v>1000</v>
      </c>
      <c r="AI451" s="4" t="s">
        <v>1083</v>
      </c>
      <c r="AJ451" s="4" t="s">
        <v>1091</v>
      </c>
      <c r="AL451" s="4">
        <v>140381</v>
      </c>
      <c r="AM451" s="5">
        <v>2057</v>
      </c>
      <c r="AN451" s="4" t="s">
        <v>124</v>
      </c>
    </row>
    <row r="452" spans="1:42" x14ac:dyDescent="0.25">
      <c r="A452" s="3">
        <v>4604792</v>
      </c>
      <c r="B452" s="3" t="s">
        <v>424</v>
      </c>
      <c r="C452" s="3" t="s">
        <v>1278</v>
      </c>
      <c r="D452" s="3">
        <v>10004575</v>
      </c>
      <c r="E452" s="4">
        <v>4534143</v>
      </c>
      <c r="F452" s="3" t="s">
        <v>49</v>
      </c>
      <c r="G452" s="4" t="s">
        <v>1471</v>
      </c>
      <c r="H452" s="4" t="s">
        <v>1690</v>
      </c>
      <c r="I452" s="5">
        <v>409938.32</v>
      </c>
      <c r="J452" s="3" t="s">
        <v>1724</v>
      </c>
      <c r="K452" s="3" t="s">
        <v>137</v>
      </c>
      <c r="L452" s="3" t="s">
        <v>119</v>
      </c>
      <c r="M452" s="4" t="s">
        <v>1746</v>
      </c>
      <c r="N452" s="3" t="s">
        <v>56</v>
      </c>
      <c r="Y452" s="4" t="s">
        <v>1056</v>
      </c>
      <c r="Z452" s="4" t="s">
        <v>1056</v>
      </c>
      <c r="AA452" s="4" t="s">
        <v>1474</v>
      </c>
      <c r="AB452" s="3" t="s">
        <v>1475</v>
      </c>
      <c r="AC452" s="3" t="s">
        <v>1476</v>
      </c>
      <c r="AD452" s="3" t="s">
        <v>1747</v>
      </c>
      <c r="AE452" s="3">
        <v>1000</v>
      </c>
      <c r="AI452" s="4" t="s">
        <v>1058</v>
      </c>
      <c r="AJ452" s="4" t="s">
        <v>1058</v>
      </c>
      <c r="AL452" s="4">
        <v>48891</v>
      </c>
      <c r="AM452" s="5">
        <v>409938.32</v>
      </c>
      <c r="AN452" s="4" t="s">
        <v>124</v>
      </c>
      <c r="AO452" s="4">
        <v>99</v>
      </c>
      <c r="AP452" s="4">
        <v>43211503</v>
      </c>
    </row>
    <row r="453" spans="1:42" x14ac:dyDescent="0.25">
      <c r="A453" s="3">
        <v>4604795</v>
      </c>
      <c r="B453" s="3" t="s">
        <v>1743</v>
      </c>
      <c r="C453" s="3" t="s">
        <v>1278</v>
      </c>
      <c r="D453" s="3">
        <v>10004587</v>
      </c>
      <c r="E453" s="4">
        <v>4534146</v>
      </c>
      <c r="F453" s="3" t="s">
        <v>49</v>
      </c>
      <c r="G453" s="4" t="s">
        <v>410</v>
      </c>
      <c r="H453" s="4" t="s">
        <v>1748</v>
      </c>
      <c r="I453" s="5">
        <v>84128</v>
      </c>
      <c r="J453" s="3" t="s">
        <v>1743</v>
      </c>
      <c r="K453" s="3" t="s">
        <v>321</v>
      </c>
      <c r="L453" s="3" t="s">
        <v>119</v>
      </c>
      <c r="M453" s="4" t="s">
        <v>1748</v>
      </c>
      <c r="N453" s="3" t="s">
        <v>56</v>
      </c>
      <c r="Y453" s="4" t="s">
        <v>1700</v>
      </c>
      <c r="Z453" s="4" t="s">
        <v>1700</v>
      </c>
      <c r="AA453" s="4" t="s">
        <v>1284</v>
      </c>
      <c r="AB453" s="3" t="s">
        <v>1749</v>
      </c>
      <c r="AC453" s="3" t="s">
        <v>1286</v>
      </c>
      <c r="AD453" s="3" t="s">
        <v>486</v>
      </c>
      <c r="AE453" s="3">
        <v>1000</v>
      </c>
      <c r="AI453" s="4" t="s">
        <v>1701</v>
      </c>
      <c r="AJ453" s="4" t="s">
        <v>1701</v>
      </c>
      <c r="AL453" s="4">
        <v>141810</v>
      </c>
      <c r="AM453" s="5">
        <v>84128</v>
      </c>
      <c r="AN453" s="4" t="s">
        <v>124</v>
      </c>
      <c r="AO453" s="4">
        <v>99</v>
      </c>
      <c r="AP453" s="4">
        <v>80101507</v>
      </c>
    </row>
    <row r="454" spans="1:42" x14ac:dyDescent="0.25">
      <c r="A454" s="3">
        <v>4604804</v>
      </c>
      <c r="B454" s="3" t="s">
        <v>1753</v>
      </c>
      <c r="C454" s="3" t="s">
        <v>1278</v>
      </c>
      <c r="D454" s="3">
        <v>10004607</v>
      </c>
      <c r="E454" s="4">
        <v>4534155</v>
      </c>
      <c r="F454" s="3" t="s">
        <v>49</v>
      </c>
      <c r="G454" s="4" t="s">
        <v>1357</v>
      </c>
      <c r="H454" s="4" t="s">
        <v>1754</v>
      </c>
      <c r="I454" s="5">
        <v>27500</v>
      </c>
      <c r="J454" s="3" t="s">
        <v>1753</v>
      </c>
      <c r="K454" s="3" t="s">
        <v>77</v>
      </c>
      <c r="L454" s="3" t="s">
        <v>119</v>
      </c>
      <c r="M454" s="4" t="s">
        <v>1754</v>
      </c>
      <c r="N454" s="3" t="s">
        <v>56</v>
      </c>
      <c r="Y454" s="4" t="s">
        <v>1309</v>
      </c>
      <c r="Z454" s="4" t="s">
        <v>1309</v>
      </c>
      <c r="AA454" s="4" t="s">
        <v>1324</v>
      </c>
      <c r="AB454" s="3" t="s">
        <v>1359</v>
      </c>
      <c r="AC454" s="3" t="s">
        <v>1326</v>
      </c>
      <c r="AD454" s="3" t="s">
        <v>1755</v>
      </c>
      <c r="AE454" s="3">
        <v>1000</v>
      </c>
      <c r="AI454" s="4" t="s">
        <v>1313</v>
      </c>
      <c r="AJ454" s="4" t="s">
        <v>1313</v>
      </c>
      <c r="AL454" s="4">
        <v>49941</v>
      </c>
      <c r="AM454" s="5">
        <v>27500</v>
      </c>
      <c r="AN454" s="4" t="s">
        <v>124</v>
      </c>
      <c r="AO454" s="4">
        <v>99</v>
      </c>
      <c r="AP454" s="4">
        <v>80101507</v>
      </c>
    </row>
    <row r="455" spans="1:42" x14ac:dyDescent="0.25">
      <c r="A455" s="3">
        <v>4604807</v>
      </c>
      <c r="B455" s="3" t="s">
        <v>436</v>
      </c>
      <c r="C455" s="3" t="s">
        <v>1278</v>
      </c>
      <c r="D455" s="3">
        <v>10004604</v>
      </c>
      <c r="E455" s="4">
        <v>4534158</v>
      </c>
      <c r="F455" s="3" t="s">
        <v>49</v>
      </c>
      <c r="G455" s="4" t="s">
        <v>1454</v>
      </c>
      <c r="H455" s="4" t="s">
        <v>1756</v>
      </c>
      <c r="I455" s="5">
        <v>31108</v>
      </c>
      <c r="J455" s="3" t="s">
        <v>436</v>
      </c>
      <c r="K455" s="3" t="s">
        <v>901</v>
      </c>
      <c r="L455" s="3" t="s">
        <v>196</v>
      </c>
      <c r="M455" s="4" t="s">
        <v>1757</v>
      </c>
      <c r="N455" s="3" t="s">
        <v>25</v>
      </c>
      <c r="Y455" s="4" t="s">
        <v>1079</v>
      </c>
      <c r="Z455" s="4" t="s">
        <v>540</v>
      </c>
      <c r="AD455" s="3" t="s">
        <v>1240</v>
      </c>
      <c r="AE455" s="3">
        <v>1000</v>
      </c>
      <c r="AI455" s="4" t="s">
        <v>1083</v>
      </c>
      <c r="AJ455" s="4" t="s">
        <v>542</v>
      </c>
      <c r="AL455" s="4">
        <v>141769</v>
      </c>
      <c r="AM455" s="5">
        <v>31108</v>
      </c>
      <c r="AN455" s="4" t="s">
        <v>124</v>
      </c>
      <c r="AO455" s="4">
        <v>99</v>
      </c>
      <c r="AP455" s="4">
        <v>80100000</v>
      </c>
    </row>
    <row r="456" spans="1:42" x14ac:dyDescent="0.25">
      <c r="A456" s="3">
        <v>4604808</v>
      </c>
      <c r="B456" s="3" t="s">
        <v>1758</v>
      </c>
      <c r="C456" s="3" t="s">
        <v>1278</v>
      </c>
      <c r="D456" s="3">
        <v>10004589</v>
      </c>
      <c r="E456" s="4">
        <v>4534159</v>
      </c>
      <c r="F456" s="3" t="s">
        <v>49</v>
      </c>
      <c r="G456" s="4" t="s">
        <v>1759</v>
      </c>
      <c r="H456" s="4" t="s">
        <v>1760</v>
      </c>
      <c r="I456" s="5">
        <v>183361.2</v>
      </c>
      <c r="J456" s="3" t="s">
        <v>1758</v>
      </c>
      <c r="K456" s="3" t="s">
        <v>77</v>
      </c>
      <c r="L456" s="3" t="s">
        <v>119</v>
      </c>
      <c r="M456" s="4" t="s">
        <v>1760</v>
      </c>
      <c r="N456" s="3" t="s">
        <v>56</v>
      </c>
      <c r="Y456" s="4" t="s">
        <v>1309</v>
      </c>
      <c r="Z456" s="4" t="s">
        <v>1309</v>
      </c>
      <c r="AA456" s="4">
        <v>20000194</v>
      </c>
      <c r="AB456" s="3" t="s">
        <v>1761</v>
      </c>
      <c r="AC456" s="3" t="s">
        <v>1719</v>
      </c>
      <c r="AD456" s="3" t="s">
        <v>422</v>
      </c>
      <c r="AE456" s="3">
        <v>1000</v>
      </c>
      <c r="AI456" s="4" t="s">
        <v>1313</v>
      </c>
      <c r="AJ456" s="4" t="s">
        <v>1313</v>
      </c>
      <c r="AL456" s="4">
        <v>141842</v>
      </c>
      <c r="AM456" s="5">
        <v>183361.2</v>
      </c>
      <c r="AN456" s="4" t="s">
        <v>124</v>
      </c>
      <c r="AO456" s="4">
        <v>98</v>
      </c>
      <c r="AP456" s="4">
        <v>80101507</v>
      </c>
    </row>
    <row r="457" spans="1:42" x14ac:dyDescent="0.25">
      <c r="A457" s="3">
        <v>4604810</v>
      </c>
      <c r="B457" s="3" t="s">
        <v>1762</v>
      </c>
      <c r="C457" s="3" t="s">
        <v>1278</v>
      </c>
      <c r="D457" s="3">
        <v>10004612</v>
      </c>
      <c r="E457" s="4">
        <v>4534161</v>
      </c>
      <c r="F457" s="3" t="s">
        <v>49</v>
      </c>
      <c r="G457" s="4" t="s">
        <v>1357</v>
      </c>
      <c r="H457" s="4" t="s">
        <v>1763</v>
      </c>
      <c r="I457" s="5">
        <v>748717.13</v>
      </c>
      <c r="J457" s="3" t="s">
        <v>1762</v>
      </c>
      <c r="K457" s="3" t="s">
        <v>77</v>
      </c>
      <c r="L457" s="3" t="s">
        <v>119</v>
      </c>
      <c r="M457" s="4" t="s">
        <v>1763</v>
      </c>
      <c r="N457" s="3" t="s">
        <v>56</v>
      </c>
      <c r="Y457" s="4" t="s">
        <v>1309</v>
      </c>
      <c r="Z457" s="4" t="s">
        <v>1309</v>
      </c>
      <c r="AA457" s="4" t="s">
        <v>1324</v>
      </c>
      <c r="AB457" s="3" t="s">
        <v>1359</v>
      </c>
      <c r="AC457" s="3" t="s">
        <v>1326</v>
      </c>
      <c r="AD457" s="3" t="s">
        <v>77</v>
      </c>
      <c r="AE457" s="3">
        <v>1000</v>
      </c>
      <c r="AI457" s="4" t="s">
        <v>1313</v>
      </c>
      <c r="AJ457" s="4" t="s">
        <v>1313</v>
      </c>
      <c r="AL457" s="4">
        <v>49941</v>
      </c>
      <c r="AM457" s="5">
        <v>748717.13</v>
      </c>
      <c r="AN457" s="4" t="s">
        <v>124</v>
      </c>
      <c r="AO457" s="4">
        <v>97</v>
      </c>
      <c r="AP457" s="4">
        <v>80101507</v>
      </c>
    </row>
    <row r="458" spans="1:42" x14ac:dyDescent="0.25">
      <c r="A458" s="3">
        <v>4604811</v>
      </c>
      <c r="B458" s="3" t="s">
        <v>323</v>
      </c>
      <c r="C458" s="3" t="s">
        <v>1278</v>
      </c>
      <c r="D458" s="3">
        <v>10004605</v>
      </c>
      <c r="E458" s="4">
        <v>4534162</v>
      </c>
      <c r="F458" s="3" t="s">
        <v>49</v>
      </c>
      <c r="G458" s="4" t="s">
        <v>1764</v>
      </c>
      <c r="H458" s="4" t="s">
        <v>1765</v>
      </c>
      <c r="I458" s="5">
        <v>135000</v>
      </c>
      <c r="J458" s="3" t="s">
        <v>436</v>
      </c>
      <c r="K458" s="3" t="s">
        <v>901</v>
      </c>
      <c r="L458" s="3" t="s">
        <v>196</v>
      </c>
      <c r="M458" s="4" t="s">
        <v>1765</v>
      </c>
      <c r="N458" s="3" t="s">
        <v>25</v>
      </c>
      <c r="Y458" s="4" t="s">
        <v>540</v>
      </c>
      <c r="Z458" s="4" t="s">
        <v>540</v>
      </c>
      <c r="AD458" s="3" t="s">
        <v>1240</v>
      </c>
      <c r="AE458" s="3">
        <v>1000</v>
      </c>
      <c r="AI458" s="4" t="s">
        <v>542</v>
      </c>
      <c r="AJ458" s="4" t="s">
        <v>542</v>
      </c>
      <c r="AL458" s="4">
        <v>140965</v>
      </c>
      <c r="AM458" s="5">
        <v>135000</v>
      </c>
      <c r="AN458" s="4" t="s">
        <v>124</v>
      </c>
      <c r="AO458" s="4">
        <v>99</v>
      </c>
      <c r="AP458" s="4">
        <v>72100000</v>
      </c>
    </row>
    <row r="459" spans="1:42" x14ac:dyDescent="0.25">
      <c r="A459" s="3">
        <v>4604812</v>
      </c>
      <c r="B459" s="3" t="s">
        <v>859</v>
      </c>
      <c r="C459" s="3" t="s">
        <v>1278</v>
      </c>
      <c r="D459" s="3">
        <v>10004611</v>
      </c>
      <c r="E459" s="4">
        <v>4534163</v>
      </c>
      <c r="F459" s="3" t="s">
        <v>49</v>
      </c>
      <c r="G459" s="4" t="s">
        <v>1053</v>
      </c>
      <c r="I459" s="5">
        <v>9100</v>
      </c>
      <c r="J459" s="3" t="s">
        <v>404</v>
      </c>
      <c r="K459" s="3" t="s">
        <v>901</v>
      </c>
      <c r="L459" s="3" t="s">
        <v>119</v>
      </c>
      <c r="M459" s="4" t="s">
        <v>1766</v>
      </c>
      <c r="N459" s="3" t="s">
        <v>56</v>
      </c>
      <c r="Y459" s="4" t="s">
        <v>1056</v>
      </c>
      <c r="Z459" s="4" t="s">
        <v>1056</v>
      </c>
      <c r="AD459" s="3" t="s">
        <v>1240</v>
      </c>
      <c r="AE459" s="3">
        <v>1000</v>
      </c>
      <c r="AI459" s="4" t="s">
        <v>1058</v>
      </c>
      <c r="AJ459" s="4" t="s">
        <v>1058</v>
      </c>
      <c r="AL459" s="4">
        <v>140248</v>
      </c>
      <c r="AM459" s="5">
        <v>9100</v>
      </c>
      <c r="AN459" s="4" t="s">
        <v>124</v>
      </c>
    </row>
    <row r="460" spans="1:42" x14ac:dyDescent="0.25">
      <c r="A460" s="3">
        <v>4604813</v>
      </c>
      <c r="B460" s="3" t="s">
        <v>1755</v>
      </c>
      <c r="C460" s="3" t="s">
        <v>1278</v>
      </c>
      <c r="D460" s="3">
        <v>10004602</v>
      </c>
      <c r="E460" s="4">
        <v>4534164</v>
      </c>
      <c r="F460" s="3" t="s">
        <v>49</v>
      </c>
      <c r="G460" s="4" t="s">
        <v>1053</v>
      </c>
      <c r="H460" s="4" t="s">
        <v>1767</v>
      </c>
      <c r="I460" s="5">
        <v>98230</v>
      </c>
      <c r="J460" s="3" t="s">
        <v>437</v>
      </c>
      <c r="K460" s="3" t="s">
        <v>498</v>
      </c>
      <c r="L460" s="3" t="s">
        <v>119</v>
      </c>
      <c r="M460" s="4" t="s">
        <v>1768</v>
      </c>
      <c r="N460" s="3" t="s">
        <v>56</v>
      </c>
      <c r="Y460" s="4" t="s">
        <v>1056</v>
      </c>
      <c r="Z460" s="4" t="s">
        <v>1056</v>
      </c>
      <c r="AA460" s="4" t="s">
        <v>1057</v>
      </c>
      <c r="AB460" s="3" t="s">
        <v>1057</v>
      </c>
      <c r="AC460" s="3" t="s">
        <v>1340</v>
      </c>
      <c r="AD460" s="3" t="s">
        <v>369</v>
      </c>
      <c r="AE460" s="3">
        <v>1000</v>
      </c>
      <c r="AI460" s="4" t="s">
        <v>1058</v>
      </c>
      <c r="AJ460" s="4" t="s">
        <v>1058</v>
      </c>
      <c r="AL460" s="4">
        <v>140248</v>
      </c>
      <c r="AM460" s="5">
        <v>98230</v>
      </c>
      <c r="AN460" s="4" t="s">
        <v>124</v>
      </c>
      <c r="AO460" s="4">
        <v>99</v>
      </c>
      <c r="AP460" s="4">
        <v>43210000</v>
      </c>
    </row>
    <row r="461" spans="1:42" x14ac:dyDescent="0.25">
      <c r="A461" s="3">
        <v>4604816</v>
      </c>
      <c r="B461" s="3" t="s">
        <v>442</v>
      </c>
      <c r="C461" s="3" t="s">
        <v>1278</v>
      </c>
      <c r="D461" s="3">
        <v>10004615</v>
      </c>
      <c r="E461" s="4">
        <v>4534167</v>
      </c>
      <c r="F461" s="3" t="s">
        <v>49</v>
      </c>
      <c r="G461" s="4" t="s">
        <v>347</v>
      </c>
      <c r="H461" s="4" t="s">
        <v>1769</v>
      </c>
      <c r="I461" s="5">
        <v>23000</v>
      </c>
      <c r="J461" s="3" t="s">
        <v>442</v>
      </c>
      <c r="K461" s="3" t="s">
        <v>1770</v>
      </c>
      <c r="L461" s="3" t="s">
        <v>119</v>
      </c>
      <c r="M461" s="4" t="s">
        <v>1769</v>
      </c>
      <c r="N461" s="3" t="s">
        <v>56</v>
      </c>
      <c r="Y461" s="4" t="s">
        <v>1309</v>
      </c>
      <c r="Z461" s="4" t="s">
        <v>1309</v>
      </c>
      <c r="AA461" s="4" t="s">
        <v>1310</v>
      </c>
      <c r="AB461" s="3" t="s">
        <v>1311</v>
      </c>
      <c r="AC461" s="3" t="s">
        <v>1312</v>
      </c>
      <c r="AD461" s="3" t="s">
        <v>1771</v>
      </c>
      <c r="AE461" s="3">
        <v>1000</v>
      </c>
      <c r="AI461" s="4" t="s">
        <v>1313</v>
      </c>
      <c r="AJ461" s="4" t="s">
        <v>1313</v>
      </c>
      <c r="AL461" s="4">
        <v>40471</v>
      </c>
      <c r="AM461" s="5">
        <v>23000</v>
      </c>
      <c r="AN461" s="4" t="s">
        <v>124</v>
      </c>
      <c r="AO461" s="4">
        <v>99</v>
      </c>
      <c r="AP461" s="4">
        <v>82111900</v>
      </c>
    </row>
    <row r="462" spans="1:42" x14ac:dyDescent="0.25">
      <c r="A462" s="3">
        <v>4604818</v>
      </c>
      <c r="B462" s="3" t="s">
        <v>1772</v>
      </c>
      <c r="C462" s="3" t="s">
        <v>1278</v>
      </c>
      <c r="D462" s="3">
        <v>10004613</v>
      </c>
      <c r="E462" s="4">
        <v>4534169</v>
      </c>
      <c r="F462" s="3" t="s">
        <v>49</v>
      </c>
      <c r="G462" s="4" t="s">
        <v>1773</v>
      </c>
      <c r="H462" s="4" t="s">
        <v>1774</v>
      </c>
      <c r="I462" s="5">
        <v>235000</v>
      </c>
      <c r="J462" s="3" t="s">
        <v>1772</v>
      </c>
      <c r="K462" s="3" t="s">
        <v>1775</v>
      </c>
      <c r="L462" s="3" t="s">
        <v>196</v>
      </c>
      <c r="M462" s="4" t="s">
        <v>1774</v>
      </c>
      <c r="N462" s="3" t="s">
        <v>25</v>
      </c>
      <c r="Y462" s="4" t="s">
        <v>260</v>
      </c>
      <c r="Z462" s="4" t="s">
        <v>260</v>
      </c>
      <c r="AD462" s="3" t="s">
        <v>369</v>
      </c>
      <c r="AE462" s="3">
        <v>1000</v>
      </c>
      <c r="AI462" s="4" t="s">
        <v>261</v>
      </c>
      <c r="AJ462" s="4" t="s">
        <v>261</v>
      </c>
      <c r="AL462" s="4">
        <v>141847</v>
      </c>
      <c r="AM462" s="5">
        <v>235000</v>
      </c>
      <c r="AN462" s="4" t="s">
        <v>124</v>
      </c>
      <c r="AO462" s="4">
        <v>96</v>
      </c>
      <c r="AP462" s="4">
        <v>84111500</v>
      </c>
    </row>
    <row r="463" spans="1:42" x14ac:dyDescent="0.25">
      <c r="A463" s="3">
        <v>4604820</v>
      </c>
      <c r="B463" s="3" t="s">
        <v>1240</v>
      </c>
      <c r="C463" s="3" t="s">
        <v>1278</v>
      </c>
      <c r="D463" s="3">
        <v>10004614</v>
      </c>
      <c r="E463" s="4">
        <v>4534171</v>
      </c>
      <c r="F463" s="3" t="s">
        <v>49</v>
      </c>
      <c r="G463" s="4" t="s">
        <v>1321</v>
      </c>
      <c r="H463" s="4" t="s">
        <v>1776</v>
      </c>
      <c r="I463" s="5">
        <v>25100</v>
      </c>
      <c r="J463" s="3" t="s">
        <v>1240</v>
      </c>
      <c r="K463" s="3" t="s">
        <v>1037</v>
      </c>
      <c r="L463" s="3" t="s">
        <v>119</v>
      </c>
      <c r="M463" s="4" t="s">
        <v>1776</v>
      </c>
      <c r="N463" s="3" t="s">
        <v>56</v>
      </c>
      <c r="Y463" s="4" t="s">
        <v>1309</v>
      </c>
      <c r="Z463" s="4" t="s">
        <v>1309</v>
      </c>
      <c r="AA463" s="4" t="s">
        <v>1324</v>
      </c>
      <c r="AB463" s="3" t="s">
        <v>1325</v>
      </c>
      <c r="AC463" s="3" t="s">
        <v>1326</v>
      </c>
      <c r="AD463" s="3" t="s">
        <v>447</v>
      </c>
      <c r="AE463" s="3">
        <v>1000</v>
      </c>
      <c r="AI463" s="4" t="s">
        <v>1313</v>
      </c>
      <c r="AJ463" s="4" t="s">
        <v>1313</v>
      </c>
      <c r="AL463" s="4">
        <v>140474</v>
      </c>
      <c r="AM463" s="5">
        <v>25100</v>
      </c>
      <c r="AN463" s="4" t="s">
        <v>124</v>
      </c>
      <c r="AO463" s="4">
        <v>99</v>
      </c>
      <c r="AP463" s="4">
        <v>80101507</v>
      </c>
    </row>
    <row r="464" spans="1:42" x14ac:dyDescent="0.25">
      <c r="A464" s="3">
        <v>4604821</v>
      </c>
      <c r="B464" s="3" t="s">
        <v>1772</v>
      </c>
      <c r="C464" s="3" t="s">
        <v>1278</v>
      </c>
      <c r="D464" s="3">
        <v>10004619</v>
      </c>
      <c r="E464" s="4">
        <v>4534172</v>
      </c>
      <c r="F464" s="3" t="s">
        <v>49</v>
      </c>
      <c r="G464" s="4" t="s">
        <v>1427</v>
      </c>
      <c r="H464" s="4" t="s">
        <v>1777</v>
      </c>
      <c r="I464" s="5">
        <v>14000</v>
      </c>
      <c r="J464" s="3" t="s">
        <v>807</v>
      </c>
      <c r="K464" s="3" t="s">
        <v>77</v>
      </c>
      <c r="L464" s="3" t="s">
        <v>196</v>
      </c>
      <c r="M464" s="4" t="s">
        <v>1777</v>
      </c>
      <c r="N464" s="3" t="s">
        <v>25</v>
      </c>
      <c r="Y464" s="4" t="s">
        <v>1778</v>
      </c>
      <c r="Z464" s="4" t="s">
        <v>1778</v>
      </c>
      <c r="AD464" s="3" t="s">
        <v>1762</v>
      </c>
      <c r="AE464" s="3">
        <v>1000</v>
      </c>
      <c r="AI464" s="4" t="s">
        <v>1779</v>
      </c>
      <c r="AJ464" s="4" t="s">
        <v>1779</v>
      </c>
      <c r="AL464" s="4">
        <v>141764</v>
      </c>
      <c r="AM464" s="5">
        <v>14000</v>
      </c>
      <c r="AN464" s="4" t="s">
        <v>124</v>
      </c>
      <c r="AO464" s="4">
        <v>99</v>
      </c>
      <c r="AP464" s="4">
        <v>94101600</v>
      </c>
    </row>
    <row r="465" spans="1:42" x14ac:dyDescent="0.25">
      <c r="A465" s="3">
        <v>4604822</v>
      </c>
      <c r="B465" s="3" t="s">
        <v>1762</v>
      </c>
      <c r="C465" s="3" t="s">
        <v>1278</v>
      </c>
      <c r="D465" s="3">
        <v>10004618</v>
      </c>
      <c r="E465" s="4">
        <v>4534173</v>
      </c>
      <c r="F465" s="3" t="s">
        <v>49</v>
      </c>
      <c r="G465" s="4" t="s">
        <v>1780</v>
      </c>
      <c r="H465" s="4" t="s">
        <v>1781</v>
      </c>
      <c r="I465" s="5">
        <v>18018</v>
      </c>
      <c r="J465" s="3" t="s">
        <v>333</v>
      </c>
      <c r="K465" s="3" t="s">
        <v>728</v>
      </c>
      <c r="L465" s="3" t="s">
        <v>196</v>
      </c>
      <c r="M465" s="4" t="s">
        <v>1781</v>
      </c>
      <c r="N465" s="3" t="s">
        <v>25</v>
      </c>
      <c r="Y465" s="4" t="s">
        <v>1056</v>
      </c>
      <c r="Z465" s="4" t="s">
        <v>1782</v>
      </c>
      <c r="AD465" s="3" t="s">
        <v>335</v>
      </c>
      <c r="AE465" s="3">
        <v>1000</v>
      </c>
      <c r="AI465" s="4" t="s">
        <v>1058</v>
      </c>
      <c r="AJ465" s="4" t="s">
        <v>1783</v>
      </c>
      <c r="AL465" s="4">
        <v>140558</v>
      </c>
      <c r="AM465" s="5">
        <v>18018</v>
      </c>
      <c r="AN465" s="4" t="s">
        <v>124</v>
      </c>
      <c r="AO465" s="4">
        <v>99</v>
      </c>
      <c r="AP465" s="4">
        <v>43211501</v>
      </c>
    </row>
    <row r="466" spans="1:42" x14ac:dyDescent="0.25">
      <c r="A466" s="3">
        <v>4604824</v>
      </c>
      <c r="B466" s="3" t="s">
        <v>335</v>
      </c>
      <c r="C466" s="3" t="s">
        <v>1278</v>
      </c>
      <c r="D466" s="3">
        <v>10004622</v>
      </c>
      <c r="E466" s="4">
        <v>4534175</v>
      </c>
      <c r="F466" s="3" t="s">
        <v>49</v>
      </c>
      <c r="G466" s="4" t="s">
        <v>1454</v>
      </c>
      <c r="H466" s="4" t="s">
        <v>1784</v>
      </c>
      <c r="I466" s="5">
        <v>33594</v>
      </c>
      <c r="J466" s="3" t="s">
        <v>335</v>
      </c>
      <c r="K466" s="3" t="s">
        <v>480</v>
      </c>
      <c r="L466" s="3" t="s">
        <v>119</v>
      </c>
      <c r="M466" s="4" t="s">
        <v>1784</v>
      </c>
      <c r="N466" s="3" t="s">
        <v>25</v>
      </c>
      <c r="Y466" s="4" t="s">
        <v>1785</v>
      </c>
      <c r="Z466" s="4" t="s">
        <v>1785</v>
      </c>
      <c r="AA466" s="4" t="s">
        <v>1786</v>
      </c>
      <c r="AD466" s="3" t="s">
        <v>335</v>
      </c>
      <c r="AE466" s="3">
        <v>1000</v>
      </c>
      <c r="AI466" s="4" t="s">
        <v>1787</v>
      </c>
      <c r="AJ466" s="4" t="s">
        <v>1787</v>
      </c>
      <c r="AL466" s="4">
        <v>141769</v>
      </c>
      <c r="AM466" s="5">
        <v>33594</v>
      </c>
      <c r="AN466" s="4" t="s">
        <v>124</v>
      </c>
      <c r="AO466" s="4">
        <v>99</v>
      </c>
      <c r="AP466" s="4">
        <v>72100000</v>
      </c>
    </row>
    <row r="467" spans="1:42" x14ac:dyDescent="0.25">
      <c r="A467" s="3">
        <v>4604827</v>
      </c>
      <c r="B467" s="3" t="s">
        <v>1130</v>
      </c>
      <c r="C467" s="3" t="s">
        <v>1278</v>
      </c>
      <c r="D467" s="3">
        <v>10004624</v>
      </c>
      <c r="E467" s="4">
        <v>4534178</v>
      </c>
      <c r="F467" s="3" t="s">
        <v>49</v>
      </c>
      <c r="G467" s="4" t="s">
        <v>1293</v>
      </c>
      <c r="H467" s="4" t="s">
        <v>1489</v>
      </c>
      <c r="I467" s="5">
        <v>46001.78</v>
      </c>
      <c r="J467" s="3" t="s">
        <v>1788</v>
      </c>
      <c r="K467" s="3" t="s">
        <v>321</v>
      </c>
      <c r="L467" s="3" t="s">
        <v>196</v>
      </c>
      <c r="M467" s="4" t="s">
        <v>1789</v>
      </c>
      <c r="N467" s="3" t="s">
        <v>25</v>
      </c>
      <c r="Y467" s="4" t="s">
        <v>1056</v>
      </c>
      <c r="Z467" s="4" t="s">
        <v>1056</v>
      </c>
      <c r="AD467" s="3" t="s">
        <v>340</v>
      </c>
      <c r="AE467" s="3">
        <v>1000</v>
      </c>
      <c r="AI467" s="4" t="s">
        <v>1058</v>
      </c>
      <c r="AJ467" s="4" t="s">
        <v>1058</v>
      </c>
      <c r="AL467" s="4">
        <v>40424</v>
      </c>
      <c r="AM467" s="5">
        <v>46001.78</v>
      </c>
      <c r="AN467" s="4" t="s">
        <v>124</v>
      </c>
      <c r="AO467" s="4">
        <v>99</v>
      </c>
      <c r="AP467" s="4">
        <v>43230000</v>
      </c>
    </row>
    <row r="468" spans="1:42" x14ac:dyDescent="0.25">
      <c r="A468" s="3">
        <v>4604828</v>
      </c>
      <c r="B468" s="3" t="s">
        <v>1790</v>
      </c>
      <c r="C468" s="3" t="s">
        <v>1278</v>
      </c>
      <c r="D468" s="3">
        <v>10004623</v>
      </c>
      <c r="E468" s="4">
        <v>4534179</v>
      </c>
      <c r="F468" s="3" t="s">
        <v>49</v>
      </c>
      <c r="G468" s="4" t="s">
        <v>1053</v>
      </c>
      <c r="H468" s="4" t="s">
        <v>1767</v>
      </c>
      <c r="I468" s="5">
        <v>126500</v>
      </c>
      <c r="J468" s="3" t="s">
        <v>335</v>
      </c>
      <c r="K468" s="3" t="s">
        <v>1037</v>
      </c>
      <c r="L468" s="3" t="s">
        <v>119</v>
      </c>
      <c r="M468" s="4" t="s">
        <v>1791</v>
      </c>
      <c r="N468" s="3" t="s">
        <v>56</v>
      </c>
      <c r="Y468" s="4" t="s">
        <v>1056</v>
      </c>
      <c r="Z468" s="4" t="s">
        <v>1056</v>
      </c>
      <c r="AA468" s="4" t="s">
        <v>1057</v>
      </c>
      <c r="AB468" s="3" t="s">
        <v>1057</v>
      </c>
      <c r="AC468" s="3" t="s">
        <v>1340</v>
      </c>
      <c r="AD468" s="3" t="s">
        <v>340</v>
      </c>
      <c r="AE468" s="3">
        <v>1000</v>
      </c>
      <c r="AI468" s="4" t="s">
        <v>1058</v>
      </c>
      <c r="AJ468" s="4" t="s">
        <v>1058</v>
      </c>
      <c r="AL468" s="4">
        <v>140248</v>
      </c>
      <c r="AM468" s="5">
        <v>126500</v>
      </c>
      <c r="AN468" s="4" t="s">
        <v>124</v>
      </c>
      <c r="AO468" s="4">
        <v>99</v>
      </c>
      <c r="AP468" s="4">
        <v>43210000</v>
      </c>
    </row>
    <row r="469" spans="1:42" x14ac:dyDescent="0.25">
      <c r="A469" s="3">
        <v>4604830</v>
      </c>
      <c r="B469" s="3" t="s">
        <v>1788</v>
      </c>
      <c r="C469" s="3" t="s">
        <v>1278</v>
      </c>
      <c r="D469" s="3">
        <v>10004630</v>
      </c>
      <c r="E469" s="4">
        <v>4534181</v>
      </c>
      <c r="F469" s="3" t="s">
        <v>49</v>
      </c>
      <c r="G469" s="4" t="s">
        <v>1053</v>
      </c>
      <c r="H469" s="4" t="s">
        <v>1792</v>
      </c>
      <c r="I469" s="5">
        <v>199724.79999999999</v>
      </c>
      <c r="J469" s="3" t="s">
        <v>1770</v>
      </c>
      <c r="K469" s="3" t="s">
        <v>498</v>
      </c>
      <c r="L469" s="3" t="s">
        <v>119</v>
      </c>
      <c r="M469" s="4" t="s">
        <v>1793</v>
      </c>
      <c r="N469" s="3" t="s">
        <v>56</v>
      </c>
      <c r="Y469" s="4" t="s">
        <v>1056</v>
      </c>
      <c r="Z469" s="4" t="s">
        <v>1056</v>
      </c>
      <c r="AA469" s="4" t="s">
        <v>1057</v>
      </c>
      <c r="AB469" s="3" t="s">
        <v>1057</v>
      </c>
      <c r="AC469" s="3" t="s">
        <v>1340</v>
      </c>
      <c r="AD469" s="3" t="s">
        <v>485</v>
      </c>
      <c r="AE469" s="3">
        <v>1000</v>
      </c>
      <c r="AI469" s="4" t="s">
        <v>1058</v>
      </c>
      <c r="AJ469" s="4" t="s">
        <v>1058</v>
      </c>
      <c r="AL469" s="4">
        <v>140248</v>
      </c>
      <c r="AM469" s="5">
        <v>199724.79999999999</v>
      </c>
      <c r="AN469" s="4" t="s">
        <v>124</v>
      </c>
      <c r="AO469" s="4">
        <v>98</v>
      </c>
      <c r="AP469" s="4">
        <v>43222800</v>
      </c>
    </row>
    <row r="470" spans="1:42" x14ac:dyDescent="0.25">
      <c r="A470" s="3">
        <v>4604834</v>
      </c>
      <c r="B470" s="3" t="s">
        <v>341</v>
      </c>
      <c r="C470" s="3" t="s">
        <v>1278</v>
      </c>
      <c r="D470" s="3">
        <v>10004633</v>
      </c>
      <c r="E470" s="4">
        <v>4534185</v>
      </c>
      <c r="F470" s="3" t="s">
        <v>49</v>
      </c>
      <c r="G470" s="4" t="s">
        <v>1164</v>
      </c>
      <c r="H470" s="4" t="s">
        <v>1794</v>
      </c>
      <c r="I470" s="5">
        <v>24363.46</v>
      </c>
      <c r="J470" s="3" t="s">
        <v>341</v>
      </c>
      <c r="K470" s="3" t="s">
        <v>422</v>
      </c>
      <c r="L470" s="3" t="s">
        <v>196</v>
      </c>
      <c r="M470" s="4" t="s">
        <v>1795</v>
      </c>
      <c r="N470" s="3" t="s">
        <v>25</v>
      </c>
      <c r="Y470" s="4" t="s">
        <v>1056</v>
      </c>
      <c r="Z470" s="4" t="s">
        <v>1782</v>
      </c>
      <c r="AA470" s="4" t="s">
        <v>1695</v>
      </c>
      <c r="AD470" s="3" t="s">
        <v>524</v>
      </c>
      <c r="AE470" s="3">
        <v>1000</v>
      </c>
      <c r="AI470" s="4" t="s">
        <v>1058</v>
      </c>
      <c r="AJ470" s="4" t="s">
        <v>1783</v>
      </c>
      <c r="AL470" s="4">
        <v>45277</v>
      </c>
      <c r="AM470" s="5">
        <v>24363.46</v>
      </c>
      <c r="AN470" s="4" t="s">
        <v>124</v>
      </c>
      <c r="AO470" s="4">
        <v>99</v>
      </c>
      <c r="AP470" s="4">
        <v>43220000</v>
      </c>
    </row>
    <row r="471" spans="1:42" x14ac:dyDescent="0.25">
      <c r="A471" s="3">
        <v>4604835</v>
      </c>
      <c r="B471" s="3" t="s">
        <v>1770</v>
      </c>
      <c r="C471" s="3" t="s">
        <v>1278</v>
      </c>
      <c r="D471" s="3">
        <v>10004574</v>
      </c>
      <c r="E471" s="4">
        <v>4534186</v>
      </c>
      <c r="F471" s="3" t="s">
        <v>49</v>
      </c>
      <c r="G471" s="4" t="s">
        <v>1657</v>
      </c>
      <c r="H471" s="4" t="s">
        <v>1796</v>
      </c>
      <c r="I471" s="5">
        <v>26820</v>
      </c>
      <c r="J471" s="3" t="s">
        <v>1724</v>
      </c>
      <c r="K471" s="3" t="s">
        <v>137</v>
      </c>
      <c r="L471" s="3" t="s">
        <v>196</v>
      </c>
      <c r="M471" s="4" t="s">
        <v>1797</v>
      </c>
      <c r="N471" s="3" t="s">
        <v>25</v>
      </c>
      <c r="Y471" s="4" t="s">
        <v>1056</v>
      </c>
      <c r="Z471" s="4" t="s">
        <v>1782</v>
      </c>
      <c r="AD471" s="3" t="s">
        <v>449</v>
      </c>
      <c r="AE471" s="3">
        <v>1000</v>
      </c>
      <c r="AI471" s="4" t="s">
        <v>1058</v>
      </c>
      <c r="AJ471" s="4" t="s">
        <v>1783</v>
      </c>
      <c r="AL471" s="4">
        <v>47407</v>
      </c>
      <c r="AM471" s="5">
        <v>26820</v>
      </c>
      <c r="AN471" s="4" t="s">
        <v>124</v>
      </c>
      <c r="AO471" s="4">
        <v>99</v>
      </c>
      <c r="AP471" s="4">
        <v>44110000</v>
      </c>
    </row>
    <row r="472" spans="1:42" x14ac:dyDescent="0.25">
      <c r="A472" s="3">
        <v>4604836</v>
      </c>
      <c r="B472" s="3" t="s">
        <v>475</v>
      </c>
      <c r="C472" s="3" t="s">
        <v>1278</v>
      </c>
      <c r="D472" s="3">
        <v>10004631</v>
      </c>
      <c r="E472" s="4">
        <v>4534187</v>
      </c>
      <c r="F472" s="3" t="s">
        <v>49</v>
      </c>
      <c r="G472" s="4" t="s">
        <v>1454</v>
      </c>
      <c r="H472" s="4" t="s">
        <v>1798</v>
      </c>
      <c r="I472" s="5">
        <v>35000</v>
      </c>
      <c r="J472" s="3" t="s">
        <v>1770</v>
      </c>
      <c r="K472" s="3" t="s">
        <v>1159</v>
      </c>
      <c r="L472" s="3" t="s">
        <v>119</v>
      </c>
      <c r="M472" s="4" t="s">
        <v>1799</v>
      </c>
      <c r="N472" s="3" t="s">
        <v>25</v>
      </c>
      <c r="Y472" s="4" t="s">
        <v>1141</v>
      </c>
      <c r="Z472" s="4" t="s">
        <v>1141</v>
      </c>
      <c r="AA472" s="4" t="s">
        <v>1645</v>
      </c>
      <c r="AD472" s="3" t="s">
        <v>475</v>
      </c>
      <c r="AE472" s="3">
        <v>1000</v>
      </c>
      <c r="AI472" s="4" t="s">
        <v>1144</v>
      </c>
      <c r="AJ472" s="4" t="s">
        <v>1144</v>
      </c>
      <c r="AL472" s="4">
        <v>141769</v>
      </c>
      <c r="AM472" s="5">
        <v>35000</v>
      </c>
      <c r="AN472" s="4" t="s">
        <v>124</v>
      </c>
      <c r="AO472" s="4">
        <v>99</v>
      </c>
      <c r="AP472" s="4">
        <v>72101500</v>
      </c>
    </row>
    <row r="473" spans="1:42" x14ac:dyDescent="0.25">
      <c r="A473" s="3">
        <v>4604839</v>
      </c>
      <c r="B473" s="3" t="s">
        <v>449</v>
      </c>
      <c r="C473" s="3" t="s">
        <v>1278</v>
      </c>
      <c r="D473" s="3">
        <v>10004634</v>
      </c>
      <c r="E473" s="4">
        <v>4534190</v>
      </c>
      <c r="F473" s="3" t="s">
        <v>49</v>
      </c>
      <c r="G473" s="4" t="s">
        <v>271</v>
      </c>
      <c r="H473" s="4" t="s">
        <v>1800</v>
      </c>
      <c r="I473" s="5">
        <v>23100</v>
      </c>
      <c r="J473" s="3" t="s">
        <v>449</v>
      </c>
      <c r="K473" s="3" t="s">
        <v>480</v>
      </c>
      <c r="L473" s="3" t="s">
        <v>196</v>
      </c>
      <c r="M473" s="4" t="s">
        <v>1800</v>
      </c>
      <c r="N473" s="3" t="s">
        <v>25</v>
      </c>
      <c r="Y473" s="4" t="s">
        <v>179</v>
      </c>
      <c r="Z473" s="4" t="s">
        <v>179</v>
      </c>
      <c r="AD473" s="3" t="s">
        <v>841</v>
      </c>
      <c r="AE473" s="3">
        <v>1000</v>
      </c>
      <c r="AI473" s="4" t="s">
        <v>182</v>
      </c>
      <c r="AJ473" s="4" t="s">
        <v>182</v>
      </c>
      <c r="AL473" s="4">
        <v>46721</v>
      </c>
      <c r="AM473" s="5">
        <v>23100</v>
      </c>
      <c r="AN473" s="4" t="s">
        <v>124</v>
      </c>
      <c r="AO473" s="4">
        <v>99</v>
      </c>
      <c r="AP473" s="4">
        <v>80110000</v>
      </c>
    </row>
    <row r="474" spans="1:42" x14ac:dyDescent="0.25">
      <c r="A474" s="3">
        <v>4604843</v>
      </c>
      <c r="B474" s="3" t="s">
        <v>137</v>
      </c>
      <c r="C474" s="3" t="s">
        <v>1278</v>
      </c>
      <c r="D474" s="3">
        <v>10004641</v>
      </c>
      <c r="E474" s="4">
        <v>4534194</v>
      </c>
      <c r="F474" s="3" t="s">
        <v>49</v>
      </c>
      <c r="G474" s="4" t="s">
        <v>1303</v>
      </c>
      <c r="H474" s="4" t="s">
        <v>1801</v>
      </c>
      <c r="I474" s="5">
        <v>136125</v>
      </c>
      <c r="J474" s="3" t="s">
        <v>137</v>
      </c>
      <c r="K474" s="3" t="s">
        <v>294</v>
      </c>
      <c r="L474" s="3" t="s">
        <v>119</v>
      </c>
      <c r="M474" s="4" t="s">
        <v>1801</v>
      </c>
      <c r="N474" s="3" t="s">
        <v>25</v>
      </c>
      <c r="Y474" s="4" t="s">
        <v>1309</v>
      </c>
      <c r="Z474" s="4" t="s">
        <v>1309</v>
      </c>
      <c r="AA474" s="4" t="s">
        <v>1802</v>
      </c>
      <c r="AD474" s="3" t="s">
        <v>122</v>
      </c>
      <c r="AE474" s="3">
        <v>1000</v>
      </c>
      <c r="AI474" s="4" t="s">
        <v>1313</v>
      </c>
      <c r="AJ474" s="4" t="s">
        <v>1313</v>
      </c>
      <c r="AL474" s="4">
        <v>141677</v>
      </c>
      <c r="AM474" s="5">
        <v>136125</v>
      </c>
      <c r="AN474" s="4" t="s">
        <v>124</v>
      </c>
      <c r="AO474" s="4">
        <v>99</v>
      </c>
      <c r="AP474" s="4">
        <v>43230000</v>
      </c>
    </row>
    <row r="475" spans="1:42" x14ac:dyDescent="0.25">
      <c r="A475" s="3">
        <v>4604844</v>
      </c>
      <c r="B475" s="3" t="s">
        <v>122</v>
      </c>
      <c r="C475" s="3" t="s">
        <v>1278</v>
      </c>
      <c r="D475" s="3">
        <v>10004642</v>
      </c>
      <c r="E475" s="4">
        <v>4534195</v>
      </c>
      <c r="F475" s="3" t="s">
        <v>49</v>
      </c>
      <c r="G475" s="4" t="s">
        <v>393</v>
      </c>
      <c r="H475" s="4" t="s">
        <v>1803</v>
      </c>
      <c r="I475" s="5">
        <v>12056.88</v>
      </c>
      <c r="J475" s="3" t="s">
        <v>122</v>
      </c>
      <c r="K475" s="3" t="s">
        <v>498</v>
      </c>
      <c r="L475" s="3" t="s">
        <v>196</v>
      </c>
      <c r="M475" s="4" t="s">
        <v>1804</v>
      </c>
      <c r="N475" s="3" t="s">
        <v>25</v>
      </c>
      <c r="Y475" s="4" t="s">
        <v>179</v>
      </c>
      <c r="Z475" s="4" t="s">
        <v>179</v>
      </c>
      <c r="AD475" s="3" t="s">
        <v>122</v>
      </c>
      <c r="AE475" s="3">
        <v>1000</v>
      </c>
      <c r="AI475" s="4" t="s">
        <v>182</v>
      </c>
      <c r="AJ475" s="4" t="s">
        <v>182</v>
      </c>
      <c r="AL475" s="4">
        <v>51455</v>
      </c>
      <c r="AM475" s="5">
        <v>12056.88</v>
      </c>
      <c r="AN475" s="4" t="s">
        <v>124</v>
      </c>
      <c r="AO475" s="4">
        <v>99</v>
      </c>
      <c r="AP475" s="4">
        <v>86000000</v>
      </c>
    </row>
    <row r="476" spans="1:42" x14ac:dyDescent="0.25">
      <c r="A476" s="3">
        <v>4604845</v>
      </c>
      <c r="B476" s="3" t="s">
        <v>77</v>
      </c>
      <c r="C476" s="3" t="s">
        <v>1278</v>
      </c>
      <c r="D476" s="3">
        <v>10004643</v>
      </c>
      <c r="E476" s="4">
        <v>4534196</v>
      </c>
      <c r="F476" s="3" t="s">
        <v>49</v>
      </c>
      <c r="G476" s="4" t="s">
        <v>1805</v>
      </c>
      <c r="H476" s="4" t="s">
        <v>1806</v>
      </c>
      <c r="I476" s="5">
        <v>20220</v>
      </c>
      <c r="J476" s="3" t="s">
        <v>122</v>
      </c>
      <c r="K476" s="3" t="s">
        <v>1037</v>
      </c>
      <c r="L476" s="3" t="s">
        <v>196</v>
      </c>
      <c r="M476" s="4" t="s">
        <v>1807</v>
      </c>
      <c r="N476" s="3" t="s">
        <v>25</v>
      </c>
      <c r="Y476" s="4" t="s">
        <v>179</v>
      </c>
      <c r="Z476" s="4" t="s">
        <v>179</v>
      </c>
      <c r="AD476" s="3" t="s">
        <v>77</v>
      </c>
      <c r="AE476" s="3">
        <v>1000</v>
      </c>
      <c r="AI476" s="4" t="s">
        <v>182</v>
      </c>
      <c r="AJ476" s="4" t="s">
        <v>182</v>
      </c>
      <c r="AL476" s="4">
        <v>140373</v>
      </c>
      <c r="AM476" s="5">
        <v>20220</v>
      </c>
      <c r="AN476" s="4" t="s">
        <v>124</v>
      </c>
      <c r="AO476" s="4">
        <v>99</v>
      </c>
      <c r="AP476" s="4">
        <v>86000000</v>
      </c>
    </row>
    <row r="477" spans="1:42" x14ac:dyDescent="0.25">
      <c r="A477" s="3">
        <v>4604846</v>
      </c>
      <c r="B477" s="3" t="s">
        <v>299</v>
      </c>
      <c r="C477" s="3" t="s">
        <v>1278</v>
      </c>
      <c r="D477" s="3">
        <v>10004651</v>
      </c>
      <c r="E477" s="4">
        <v>4534197</v>
      </c>
      <c r="F477" s="3" t="s">
        <v>49</v>
      </c>
      <c r="G477" s="4" t="s">
        <v>1399</v>
      </c>
      <c r="H477" s="4" t="s">
        <v>1808</v>
      </c>
      <c r="I477" s="5">
        <v>116160</v>
      </c>
      <c r="J477" s="3" t="s">
        <v>1809</v>
      </c>
      <c r="K477" s="3" t="s">
        <v>77</v>
      </c>
      <c r="L477" s="3" t="s">
        <v>196</v>
      </c>
      <c r="M477" s="4" t="s">
        <v>1810</v>
      </c>
      <c r="N477" s="3" t="s">
        <v>25</v>
      </c>
      <c r="Y477" s="4" t="s">
        <v>1811</v>
      </c>
      <c r="Z477" s="4" t="s">
        <v>1090</v>
      </c>
      <c r="AD477" s="3" t="s">
        <v>299</v>
      </c>
      <c r="AE477" s="3">
        <v>1000</v>
      </c>
      <c r="AI477" s="4" t="s">
        <v>1812</v>
      </c>
      <c r="AJ477" s="4" t="s">
        <v>1091</v>
      </c>
      <c r="AL477" s="4">
        <v>42451</v>
      </c>
      <c r="AM477" s="5">
        <v>116160</v>
      </c>
      <c r="AN477" s="4" t="s">
        <v>124</v>
      </c>
      <c r="AO477" s="4">
        <v>99</v>
      </c>
      <c r="AP477" s="4">
        <v>81112200</v>
      </c>
    </row>
    <row r="478" spans="1:42" x14ac:dyDescent="0.25">
      <c r="A478" s="3">
        <v>4604852</v>
      </c>
      <c r="B478" s="3" t="s">
        <v>1813</v>
      </c>
      <c r="C478" s="3" t="s">
        <v>1278</v>
      </c>
      <c r="D478" s="3">
        <v>10004464</v>
      </c>
      <c r="E478" s="4">
        <v>4534203</v>
      </c>
      <c r="F478" s="3" t="s">
        <v>49</v>
      </c>
      <c r="G478" s="4" t="s">
        <v>1814</v>
      </c>
      <c r="I478" s="5">
        <v>4433</v>
      </c>
      <c r="J478" s="3" t="s">
        <v>465</v>
      </c>
      <c r="K478" s="3" t="s">
        <v>77</v>
      </c>
      <c r="L478" s="3" t="s">
        <v>196</v>
      </c>
      <c r="M478" s="4" t="s">
        <v>1604</v>
      </c>
      <c r="N478" s="3" t="s">
        <v>25</v>
      </c>
      <c r="Y478" s="4" t="s">
        <v>540</v>
      </c>
      <c r="Z478" s="4" t="s">
        <v>1090</v>
      </c>
      <c r="AD478" s="3" t="s">
        <v>360</v>
      </c>
      <c r="AE478" s="3">
        <v>1000</v>
      </c>
      <c r="AI478" s="4" t="s">
        <v>542</v>
      </c>
      <c r="AJ478" s="4" t="s">
        <v>1091</v>
      </c>
      <c r="AL478" s="4">
        <v>45940</v>
      </c>
      <c r="AM478" s="5">
        <v>4433</v>
      </c>
      <c r="AN478" s="4" t="s">
        <v>124</v>
      </c>
    </row>
    <row r="479" spans="1:42" x14ac:dyDescent="0.25">
      <c r="A479" s="3">
        <v>4604855</v>
      </c>
      <c r="B479" s="3" t="s">
        <v>469</v>
      </c>
      <c r="C479" s="3" t="s">
        <v>1278</v>
      </c>
      <c r="D479" s="3">
        <v>10004660</v>
      </c>
      <c r="E479" s="4">
        <v>4534206</v>
      </c>
      <c r="F479" s="3" t="s">
        <v>49</v>
      </c>
      <c r="G479" s="4" t="s">
        <v>1731</v>
      </c>
      <c r="H479" s="4" t="s">
        <v>1815</v>
      </c>
      <c r="I479" s="5">
        <v>25000</v>
      </c>
      <c r="J479" s="3" t="s">
        <v>469</v>
      </c>
      <c r="K479" s="3" t="s">
        <v>498</v>
      </c>
      <c r="L479" s="3" t="s">
        <v>196</v>
      </c>
      <c r="M479" s="4" t="s">
        <v>1815</v>
      </c>
      <c r="N479" s="3" t="s">
        <v>25</v>
      </c>
      <c r="Y479" s="4" t="s">
        <v>1816</v>
      </c>
      <c r="Z479" s="4" t="s">
        <v>1816</v>
      </c>
      <c r="AD479" s="3" t="s">
        <v>469</v>
      </c>
      <c r="AE479" s="3">
        <v>1000</v>
      </c>
      <c r="AI479" s="4" t="s">
        <v>1817</v>
      </c>
      <c r="AJ479" s="4" t="s">
        <v>1817</v>
      </c>
      <c r="AL479" s="4">
        <v>141834</v>
      </c>
      <c r="AM479" s="5">
        <v>25000</v>
      </c>
      <c r="AN479" s="4" t="s">
        <v>124</v>
      </c>
      <c r="AO479" s="4">
        <v>99</v>
      </c>
      <c r="AP479" s="4">
        <v>84111603</v>
      </c>
    </row>
    <row r="480" spans="1:42" x14ac:dyDescent="0.25">
      <c r="A480" s="3">
        <v>4604856</v>
      </c>
      <c r="B480" s="3" t="s">
        <v>1269</v>
      </c>
      <c r="C480" s="3" t="s">
        <v>1278</v>
      </c>
      <c r="D480" s="3">
        <v>10004661</v>
      </c>
      <c r="E480" s="4">
        <v>4534207</v>
      </c>
      <c r="F480" s="3" t="s">
        <v>49</v>
      </c>
      <c r="G480" s="4" t="s">
        <v>1818</v>
      </c>
      <c r="H480" s="4" t="s">
        <v>1819</v>
      </c>
      <c r="I480" s="5">
        <v>450000</v>
      </c>
      <c r="J480" s="3" t="s">
        <v>1269</v>
      </c>
      <c r="K480" s="3" t="s">
        <v>422</v>
      </c>
      <c r="L480" s="3" t="s">
        <v>119</v>
      </c>
      <c r="M480" s="4" t="s">
        <v>1820</v>
      </c>
      <c r="N480" s="3" t="s">
        <v>56</v>
      </c>
      <c r="Y480" s="4" t="s">
        <v>1056</v>
      </c>
      <c r="Z480" s="4" t="s">
        <v>1056</v>
      </c>
      <c r="AA480" s="4">
        <v>20000194</v>
      </c>
      <c r="AB480" s="3" t="s">
        <v>1821</v>
      </c>
      <c r="AC480" s="3" t="s">
        <v>1719</v>
      </c>
      <c r="AD480" s="3" t="s">
        <v>1269</v>
      </c>
      <c r="AE480" s="3">
        <v>1000</v>
      </c>
      <c r="AI480" s="4" t="s">
        <v>1058</v>
      </c>
      <c r="AJ480" s="4" t="s">
        <v>1058</v>
      </c>
      <c r="AL480" s="4">
        <v>44100</v>
      </c>
      <c r="AM480" s="5">
        <v>450000</v>
      </c>
      <c r="AN480" s="4" t="s">
        <v>124</v>
      </c>
      <c r="AO480" s="4">
        <v>99</v>
      </c>
      <c r="AP480" s="4">
        <v>81111900</v>
      </c>
    </row>
    <row r="481" spans="1:42" x14ac:dyDescent="0.25">
      <c r="A481" s="3">
        <v>4604857</v>
      </c>
      <c r="B481" s="3" t="s">
        <v>1822</v>
      </c>
      <c r="C481" s="3" t="s">
        <v>1278</v>
      </c>
      <c r="D481" s="3">
        <v>10004662</v>
      </c>
      <c r="E481" s="4">
        <v>4534208</v>
      </c>
      <c r="F481" s="3" t="s">
        <v>49</v>
      </c>
      <c r="G481" s="4" t="s">
        <v>1085</v>
      </c>
      <c r="H481" s="4" t="s">
        <v>1823</v>
      </c>
      <c r="I481" s="5">
        <v>45283.54</v>
      </c>
      <c r="J481" s="3" t="s">
        <v>1691</v>
      </c>
      <c r="K481" s="3" t="s">
        <v>1822</v>
      </c>
      <c r="L481" s="3" t="s">
        <v>196</v>
      </c>
      <c r="M481" s="4" t="s">
        <v>1823</v>
      </c>
      <c r="N481" s="3" t="s">
        <v>25</v>
      </c>
      <c r="Y481" s="4" t="s">
        <v>1824</v>
      </c>
      <c r="Z481" s="4" t="s">
        <v>1778</v>
      </c>
      <c r="AD481" s="3" t="s">
        <v>1822</v>
      </c>
      <c r="AE481" s="3">
        <v>1000</v>
      </c>
      <c r="AI481" s="4" t="s">
        <v>1825</v>
      </c>
      <c r="AJ481" s="4" t="s">
        <v>1779</v>
      </c>
      <c r="AL481" s="4">
        <v>30502</v>
      </c>
      <c r="AM481" s="5">
        <v>45283.54</v>
      </c>
      <c r="AN481" s="4" t="s">
        <v>124</v>
      </c>
      <c r="AO481" s="4">
        <v>99</v>
      </c>
      <c r="AP481" s="4">
        <v>86000000</v>
      </c>
    </row>
    <row r="482" spans="1:42" x14ac:dyDescent="0.25">
      <c r="A482" s="3">
        <v>4604858</v>
      </c>
      <c r="B482" s="3" t="s">
        <v>1269</v>
      </c>
      <c r="C482" s="3" t="s">
        <v>1278</v>
      </c>
      <c r="D482" s="3">
        <v>10004664</v>
      </c>
      <c r="E482" s="4">
        <v>4534209</v>
      </c>
      <c r="F482" s="3" t="s">
        <v>49</v>
      </c>
      <c r="G482" s="4" t="s">
        <v>271</v>
      </c>
      <c r="H482" s="4" t="s">
        <v>1826</v>
      </c>
      <c r="I482" s="5">
        <v>27000</v>
      </c>
      <c r="J482" s="3" t="s">
        <v>1269</v>
      </c>
      <c r="K482" s="3" t="s">
        <v>498</v>
      </c>
      <c r="L482" s="3" t="s">
        <v>196</v>
      </c>
      <c r="M482" s="4" t="s">
        <v>1827</v>
      </c>
      <c r="N482" s="3" t="s">
        <v>25</v>
      </c>
      <c r="Y482" s="4" t="s">
        <v>267</v>
      </c>
      <c r="Z482" s="4" t="s">
        <v>267</v>
      </c>
      <c r="AD482" s="3" t="s">
        <v>1479</v>
      </c>
      <c r="AE482" s="3">
        <v>1000</v>
      </c>
      <c r="AI482" s="4" t="s">
        <v>270</v>
      </c>
      <c r="AJ482" s="4" t="s">
        <v>270</v>
      </c>
      <c r="AL482" s="4">
        <v>46721</v>
      </c>
      <c r="AM482" s="5">
        <v>27000</v>
      </c>
      <c r="AN482" s="4" t="s">
        <v>124</v>
      </c>
      <c r="AO482" s="4">
        <v>99</v>
      </c>
      <c r="AP482" s="4">
        <v>80111700</v>
      </c>
    </row>
    <row r="483" spans="1:42" x14ac:dyDescent="0.25">
      <c r="A483" s="3">
        <v>4604859</v>
      </c>
      <c r="B483" s="3" t="s">
        <v>1822</v>
      </c>
      <c r="C483" s="3" t="s">
        <v>1278</v>
      </c>
      <c r="D483" s="3">
        <v>10004657</v>
      </c>
      <c r="E483" s="4">
        <v>4534210</v>
      </c>
      <c r="F483" s="3" t="s">
        <v>49</v>
      </c>
      <c r="G483" s="4" t="s">
        <v>1828</v>
      </c>
      <c r="H483" s="4" t="s">
        <v>1829</v>
      </c>
      <c r="I483" s="5">
        <v>45360</v>
      </c>
      <c r="J483" s="3" t="s">
        <v>467</v>
      </c>
      <c r="K483" s="3" t="s">
        <v>77</v>
      </c>
      <c r="L483" s="3" t="s">
        <v>1046</v>
      </c>
      <c r="M483" s="4" t="s">
        <v>1829</v>
      </c>
      <c r="N483" s="3" t="s">
        <v>25</v>
      </c>
      <c r="Y483" s="4" t="s">
        <v>1830</v>
      </c>
      <c r="Z483" s="4" t="s">
        <v>1344</v>
      </c>
      <c r="AD483" s="3" t="s">
        <v>1269</v>
      </c>
      <c r="AE483" s="3">
        <v>1000</v>
      </c>
      <c r="AI483" s="4" t="s">
        <v>1831</v>
      </c>
      <c r="AJ483" s="4" t="s">
        <v>1346</v>
      </c>
      <c r="AL483" s="4">
        <v>141864</v>
      </c>
      <c r="AM483" s="5">
        <v>45360</v>
      </c>
      <c r="AN483" s="4" t="s">
        <v>124</v>
      </c>
      <c r="AO483" s="4">
        <v>99</v>
      </c>
      <c r="AP483" s="4">
        <v>43230000</v>
      </c>
    </row>
    <row r="484" spans="1:42" x14ac:dyDescent="0.25">
      <c r="A484" s="3">
        <v>4604862</v>
      </c>
      <c r="B484" s="3" t="s">
        <v>1479</v>
      </c>
      <c r="C484" s="3" t="s">
        <v>1278</v>
      </c>
      <c r="D484" s="3">
        <v>10004675</v>
      </c>
      <c r="E484" s="4">
        <v>4534213</v>
      </c>
      <c r="F484" s="3" t="s">
        <v>49</v>
      </c>
      <c r="G484" s="4" t="s">
        <v>1174</v>
      </c>
      <c r="H484" s="4" t="s">
        <v>1832</v>
      </c>
      <c r="I484" s="5">
        <v>18810</v>
      </c>
      <c r="J484" s="3" t="s">
        <v>1833</v>
      </c>
      <c r="K484" s="3" t="s">
        <v>901</v>
      </c>
      <c r="L484" s="3" t="s">
        <v>119</v>
      </c>
      <c r="M484" s="4" t="s">
        <v>1832</v>
      </c>
      <c r="N484" s="3" t="s">
        <v>56</v>
      </c>
      <c r="O484" s="3" t="s">
        <v>139</v>
      </c>
      <c r="P484" s="4" t="s">
        <v>140</v>
      </c>
      <c r="Y484" s="4" t="s">
        <v>540</v>
      </c>
      <c r="Z484" s="4" t="s">
        <v>1090</v>
      </c>
      <c r="AA484" s="4" t="s">
        <v>1284</v>
      </c>
      <c r="AB484" s="3" t="s">
        <v>1285</v>
      </c>
      <c r="AC484" s="3" t="s">
        <v>1286</v>
      </c>
      <c r="AD484" s="3" t="s">
        <v>484</v>
      </c>
      <c r="AE484" s="3">
        <v>1000</v>
      </c>
      <c r="AI484" s="4" t="s">
        <v>542</v>
      </c>
      <c r="AJ484" s="4" t="s">
        <v>1091</v>
      </c>
      <c r="AK484" s="3" t="s">
        <v>143</v>
      </c>
      <c r="AL484" s="4">
        <v>42811</v>
      </c>
      <c r="AM484" s="5">
        <v>18810</v>
      </c>
      <c r="AN484" s="4" t="s">
        <v>124</v>
      </c>
      <c r="AO484" s="4">
        <v>99</v>
      </c>
      <c r="AP484" s="4">
        <v>84111600</v>
      </c>
    </row>
    <row r="485" spans="1:42" x14ac:dyDescent="0.25">
      <c r="A485" s="3">
        <v>4604863</v>
      </c>
      <c r="B485" s="3" t="s">
        <v>327</v>
      </c>
      <c r="C485" s="3" t="s">
        <v>1278</v>
      </c>
      <c r="D485" s="3">
        <v>10004676</v>
      </c>
      <c r="E485" s="4">
        <v>4534214</v>
      </c>
      <c r="F485" s="3" t="s">
        <v>49</v>
      </c>
      <c r="G485" s="4" t="s">
        <v>174</v>
      </c>
      <c r="H485" s="4" t="s">
        <v>1834</v>
      </c>
      <c r="I485" s="5">
        <v>42526</v>
      </c>
      <c r="J485" s="3" t="s">
        <v>484</v>
      </c>
      <c r="K485" s="3" t="s">
        <v>1227</v>
      </c>
      <c r="L485" s="3" t="s">
        <v>119</v>
      </c>
      <c r="M485" s="4" t="s">
        <v>1834</v>
      </c>
      <c r="N485" s="3" t="s">
        <v>56</v>
      </c>
      <c r="Y485" s="4" t="s">
        <v>1700</v>
      </c>
      <c r="Z485" s="4" t="s">
        <v>1700</v>
      </c>
      <c r="AA485" s="4" t="s">
        <v>188</v>
      </c>
      <c r="AB485" s="3" t="s">
        <v>401</v>
      </c>
      <c r="AC485" s="3" t="s">
        <v>190</v>
      </c>
      <c r="AD485" s="3" t="s">
        <v>1227</v>
      </c>
      <c r="AE485" s="3">
        <v>1000</v>
      </c>
      <c r="AI485" s="4" t="s">
        <v>1701</v>
      </c>
      <c r="AJ485" s="4" t="s">
        <v>1701</v>
      </c>
      <c r="AL485" s="4">
        <v>40476</v>
      </c>
      <c r="AM485" s="5">
        <v>42526</v>
      </c>
      <c r="AN485" s="4" t="s">
        <v>124</v>
      </c>
      <c r="AO485" s="4">
        <v>99</v>
      </c>
      <c r="AP485" s="4">
        <v>80111600</v>
      </c>
    </row>
    <row r="486" spans="1:42" x14ac:dyDescent="0.25">
      <c r="A486" s="3">
        <v>4604864</v>
      </c>
      <c r="B486" s="3" t="s">
        <v>1835</v>
      </c>
      <c r="C486" s="3" t="s">
        <v>1278</v>
      </c>
      <c r="D486" s="3">
        <v>10004679</v>
      </c>
      <c r="E486" s="4">
        <v>4534215</v>
      </c>
      <c r="F486" s="3" t="s">
        <v>49</v>
      </c>
      <c r="G486" s="4" t="s">
        <v>1321</v>
      </c>
      <c r="H486" s="4" t="s">
        <v>1760</v>
      </c>
      <c r="I486" s="5">
        <v>60000</v>
      </c>
      <c r="J486" s="3" t="s">
        <v>1591</v>
      </c>
      <c r="K486" s="3" t="s">
        <v>1037</v>
      </c>
      <c r="L486" s="3" t="s">
        <v>119</v>
      </c>
      <c r="M486" s="4" t="s">
        <v>1760</v>
      </c>
      <c r="N486" s="3" t="s">
        <v>56</v>
      </c>
      <c r="Y486" s="4" t="s">
        <v>1309</v>
      </c>
      <c r="Z486" s="4" t="s">
        <v>1309</v>
      </c>
      <c r="AA486" s="4" t="s">
        <v>1324</v>
      </c>
      <c r="AB486" s="3" t="s">
        <v>1325</v>
      </c>
      <c r="AC486" s="3" t="s">
        <v>1326</v>
      </c>
      <c r="AD486" s="3" t="s">
        <v>483</v>
      </c>
      <c r="AE486" s="3">
        <v>1000</v>
      </c>
      <c r="AI486" s="4" t="s">
        <v>1313</v>
      </c>
      <c r="AJ486" s="4" t="s">
        <v>1313</v>
      </c>
      <c r="AL486" s="4">
        <v>140474</v>
      </c>
      <c r="AM486" s="5">
        <v>60000</v>
      </c>
      <c r="AN486" s="4" t="s">
        <v>124</v>
      </c>
      <c r="AO486" s="4">
        <v>99</v>
      </c>
      <c r="AP486" s="4">
        <v>80101507</v>
      </c>
    </row>
    <row r="487" spans="1:42" x14ac:dyDescent="0.25">
      <c r="A487" s="3">
        <v>4604865</v>
      </c>
      <c r="B487" s="3" t="s">
        <v>475</v>
      </c>
      <c r="C487" s="3" t="s">
        <v>1278</v>
      </c>
      <c r="D487" s="3">
        <v>10004665</v>
      </c>
      <c r="E487" s="4">
        <v>4534216</v>
      </c>
      <c r="F487" s="3" t="s">
        <v>49</v>
      </c>
      <c r="G487" s="4" t="s">
        <v>1471</v>
      </c>
      <c r="H487" s="4" t="s">
        <v>1836</v>
      </c>
      <c r="I487" s="5">
        <v>59735.5</v>
      </c>
      <c r="J487" s="3" t="s">
        <v>480</v>
      </c>
      <c r="K487" s="3" t="s">
        <v>472</v>
      </c>
      <c r="L487" s="3" t="s">
        <v>119</v>
      </c>
      <c r="M487" s="4" t="s">
        <v>1837</v>
      </c>
      <c r="N487" s="3" t="s">
        <v>56</v>
      </c>
      <c r="Y487" s="4" t="s">
        <v>1056</v>
      </c>
      <c r="Z487" s="4" t="s">
        <v>1056</v>
      </c>
      <c r="AA487" s="4" t="s">
        <v>1474</v>
      </c>
      <c r="AB487" s="3" t="s">
        <v>1475</v>
      </c>
      <c r="AC487" s="3" t="s">
        <v>1476</v>
      </c>
      <c r="AD487" s="3" t="s">
        <v>472</v>
      </c>
      <c r="AE487" s="3">
        <v>1000</v>
      </c>
      <c r="AI487" s="4" t="s">
        <v>1058</v>
      </c>
      <c r="AJ487" s="4" t="s">
        <v>1058</v>
      </c>
      <c r="AL487" s="4">
        <v>48891</v>
      </c>
      <c r="AM487" s="5">
        <v>59735.5</v>
      </c>
      <c r="AN487" s="4" t="s">
        <v>124</v>
      </c>
      <c r="AO487" s="4">
        <v>99</v>
      </c>
      <c r="AP487" s="4">
        <v>43211503</v>
      </c>
    </row>
    <row r="488" spans="1:42" x14ac:dyDescent="0.25">
      <c r="A488" s="3">
        <v>4604866</v>
      </c>
      <c r="B488" s="3" t="s">
        <v>483</v>
      </c>
      <c r="C488" s="3" t="s">
        <v>1278</v>
      </c>
      <c r="D488" s="3">
        <v>10004672</v>
      </c>
      <c r="E488" s="4">
        <v>4534217</v>
      </c>
      <c r="F488" s="3" t="s">
        <v>49</v>
      </c>
      <c r="G488" s="4" t="s">
        <v>1838</v>
      </c>
      <c r="H488" s="4" t="s">
        <v>1839</v>
      </c>
      <c r="I488" s="5">
        <v>25767.5</v>
      </c>
      <c r="J488" s="3" t="s">
        <v>1479</v>
      </c>
      <c r="K488" s="3" t="s">
        <v>498</v>
      </c>
      <c r="L488" s="3" t="s">
        <v>196</v>
      </c>
      <c r="M488" s="4" t="s">
        <v>1840</v>
      </c>
      <c r="N488" s="3" t="s">
        <v>25</v>
      </c>
      <c r="Y488" s="4" t="s">
        <v>1056</v>
      </c>
      <c r="Z488" s="4" t="s">
        <v>1056</v>
      </c>
      <c r="AD488" s="3" t="s">
        <v>1635</v>
      </c>
      <c r="AE488" s="3">
        <v>1000</v>
      </c>
      <c r="AI488" s="4" t="s">
        <v>1058</v>
      </c>
      <c r="AJ488" s="4" t="s">
        <v>1058</v>
      </c>
      <c r="AL488" s="4">
        <v>45852</v>
      </c>
      <c r="AM488" s="5">
        <v>25767.5</v>
      </c>
      <c r="AN488" s="4" t="s">
        <v>124</v>
      </c>
      <c r="AO488" s="4">
        <v>99</v>
      </c>
      <c r="AP488" s="4">
        <v>43230000</v>
      </c>
    </row>
    <row r="489" spans="1:42" x14ac:dyDescent="0.25">
      <c r="A489" s="3">
        <v>4604868</v>
      </c>
      <c r="B489" s="3" t="s">
        <v>1835</v>
      </c>
      <c r="C489" s="3" t="s">
        <v>1278</v>
      </c>
      <c r="D489" s="3">
        <v>10004684</v>
      </c>
      <c r="E489" s="4">
        <v>4534219</v>
      </c>
      <c r="F489" s="3" t="s">
        <v>49</v>
      </c>
      <c r="G489" s="4" t="s">
        <v>1174</v>
      </c>
      <c r="I489" s="5">
        <v>8897</v>
      </c>
      <c r="J489" s="3" t="s">
        <v>1734</v>
      </c>
      <c r="K489" s="3" t="s">
        <v>817</v>
      </c>
      <c r="L489" s="3" t="s">
        <v>119</v>
      </c>
      <c r="M489" s="4" t="s">
        <v>1283</v>
      </c>
      <c r="N489" s="3" t="s">
        <v>56</v>
      </c>
      <c r="O489" s="3" t="s">
        <v>139</v>
      </c>
      <c r="P489" s="4" t="s">
        <v>140</v>
      </c>
      <c r="Y489" s="4" t="s">
        <v>1079</v>
      </c>
      <c r="Z489" s="4" t="s">
        <v>1090</v>
      </c>
      <c r="AD489" s="3" t="s">
        <v>1835</v>
      </c>
      <c r="AE489" s="3">
        <v>1000</v>
      </c>
      <c r="AI489" s="4" t="s">
        <v>1083</v>
      </c>
      <c r="AJ489" s="4" t="s">
        <v>1091</v>
      </c>
      <c r="AK489" s="3" t="s">
        <v>143</v>
      </c>
      <c r="AL489" s="4">
        <v>42811</v>
      </c>
      <c r="AM489" s="5">
        <v>8897</v>
      </c>
      <c r="AN489" s="4" t="s">
        <v>124</v>
      </c>
    </row>
    <row r="490" spans="1:42" x14ac:dyDescent="0.25">
      <c r="A490" s="3">
        <v>4604869</v>
      </c>
      <c r="B490" s="3" t="s">
        <v>77</v>
      </c>
      <c r="C490" s="3" t="s">
        <v>1278</v>
      </c>
      <c r="D490" s="3">
        <v>10004683</v>
      </c>
      <c r="E490" s="4">
        <v>4534220</v>
      </c>
      <c r="F490" s="3" t="s">
        <v>49</v>
      </c>
      <c r="G490" s="4" t="s">
        <v>1841</v>
      </c>
      <c r="H490" s="4" t="s">
        <v>1842</v>
      </c>
      <c r="I490" s="5">
        <v>26572.7</v>
      </c>
      <c r="J490" s="3" t="s">
        <v>631</v>
      </c>
      <c r="K490" s="3" t="s">
        <v>77</v>
      </c>
      <c r="L490" s="3" t="s">
        <v>1046</v>
      </c>
      <c r="M490" s="4" t="s">
        <v>1842</v>
      </c>
      <c r="N490" s="3" t="s">
        <v>25</v>
      </c>
      <c r="Y490" s="4" t="s">
        <v>1309</v>
      </c>
      <c r="Z490" s="4" t="s">
        <v>1309</v>
      </c>
      <c r="AD490" s="3" t="s">
        <v>1835</v>
      </c>
      <c r="AE490" s="3">
        <v>1000</v>
      </c>
      <c r="AI490" s="4" t="s">
        <v>1313</v>
      </c>
      <c r="AJ490" s="4" t="s">
        <v>1313</v>
      </c>
      <c r="AL490" s="4">
        <v>40357</v>
      </c>
      <c r="AM490" s="5">
        <v>26572.7</v>
      </c>
      <c r="AN490" s="4" t="s">
        <v>124</v>
      </c>
      <c r="AO490" s="4">
        <v>99</v>
      </c>
      <c r="AP490" s="4">
        <v>55110000</v>
      </c>
    </row>
    <row r="491" spans="1:42" x14ac:dyDescent="0.25">
      <c r="A491" s="3">
        <v>4604873</v>
      </c>
      <c r="B491" s="3" t="s">
        <v>77</v>
      </c>
      <c r="C491" s="3" t="s">
        <v>1278</v>
      </c>
      <c r="D491" s="3">
        <v>10004687</v>
      </c>
      <c r="E491" s="4">
        <v>4534224</v>
      </c>
      <c r="F491" s="3" t="s">
        <v>49</v>
      </c>
      <c r="G491" s="4" t="s">
        <v>1454</v>
      </c>
      <c r="H491" s="4" t="s">
        <v>1843</v>
      </c>
      <c r="I491" s="5">
        <v>53181.59</v>
      </c>
      <c r="J491" s="3" t="s">
        <v>486</v>
      </c>
      <c r="K491" s="3" t="s">
        <v>77</v>
      </c>
      <c r="L491" s="3" t="s">
        <v>119</v>
      </c>
      <c r="M491" s="4" t="s">
        <v>1843</v>
      </c>
      <c r="N491" s="3" t="s">
        <v>25</v>
      </c>
      <c r="Y491" s="4" t="s">
        <v>1141</v>
      </c>
      <c r="Z491" s="4" t="s">
        <v>1141</v>
      </c>
      <c r="AA491" s="4" t="s">
        <v>1645</v>
      </c>
      <c r="AD491" s="3" t="s">
        <v>77</v>
      </c>
      <c r="AE491" s="3">
        <v>1000</v>
      </c>
      <c r="AI491" s="4" t="s">
        <v>1144</v>
      </c>
      <c r="AJ491" s="4" t="s">
        <v>1144</v>
      </c>
      <c r="AL491" s="4">
        <v>141769</v>
      </c>
      <c r="AM491" s="5">
        <v>53181.59</v>
      </c>
      <c r="AN491" s="4" t="s">
        <v>124</v>
      </c>
      <c r="AO491" s="4">
        <v>99</v>
      </c>
      <c r="AP491" s="4">
        <v>72101500</v>
      </c>
    </row>
    <row r="492" spans="1:42" x14ac:dyDescent="0.25">
      <c r="A492" s="3">
        <v>4604877</v>
      </c>
      <c r="B492" s="3" t="s">
        <v>486</v>
      </c>
      <c r="C492" s="3" t="s">
        <v>1278</v>
      </c>
      <c r="D492" s="3">
        <v>10004692</v>
      </c>
      <c r="E492" s="4">
        <v>4534228</v>
      </c>
      <c r="F492" s="3" t="s">
        <v>49</v>
      </c>
      <c r="G492" s="4" t="s">
        <v>329</v>
      </c>
      <c r="H492" s="4" t="s">
        <v>1839</v>
      </c>
      <c r="I492" s="5">
        <v>282549.3</v>
      </c>
      <c r="J492" s="3" t="s">
        <v>486</v>
      </c>
      <c r="K492" s="3" t="s">
        <v>498</v>
      </c>
      <c r="L492" s="3" t="s">
        <v>196</v>
      </c>
      <c r="M492" s="4" t="s">
        <v>1844</v>
      </c>
      <c r="N492" s="3" t="s">
        <v>25</v>
      </c>
      <c r="Y492" s="4" t="s">
        <v>1056</v>
      </c>
      <c r="Z492" s="4" t="s">
        <v>1056</v>
      </c>
      <c r="AD492" s="3" t="s">
        <v>455</v>
      </c>
      <c r="AE492" s="3">
        <v>1000</v>
      </c>
      <c r="AI492" s="4" t="s">
        <v>1058</v>
      </c>
      <c r="AJ492" s="4" t="s">
        <v>1058</v>
      </c>
      <c r="AL492" s="4">
        <v>42575</v>
      </c>
      <c r="AM492" s="5">
        <v>282549.3</v>
      </c>
      <c r="AN492" s="4" t="s">
        <v>124</v>
      </c>
      <c r="AO492" s="4">
        <v>99</v>
      </c>
      <c r="AP492" s="4">
        <v>43230000</v>
      </c>
    </row>
    <row r="493" spans="1:42" x14ac:dyDescent="0.25">
      <c r="A493" s="3">
        <v>4604878</v>
      </c>
      <c r="B493" s="3" t="s">
        <v>1236</v>
      </c>
      <c r="C493" s="3" t="s">
        <v>1278</v>
      </c>
      <c r="D493" s="3">
        <v>10004696</v>
      </c>
      <c r="E493" s="4">
        <v>4534229</v>
      </c>
      <c r="F493" s="3" t="s">
        <v>49</v>
      </c>
      <c r="G493" s="4" t="s">
        <v>1234</v>
      </c>
      <c r="H493" s="4" t="s">
        <v>1235</v>
      </c>
      <c r="I493" s="5">
        <v>45000</v>
      </c>
      <c r="J493" s="3" t="s">
        <v>1236</v>
      </c>
      <c r="K493" s="3" t="s">
        <v>1845</v>
      </c>
      <c r="L493" s="3" t="s">
        <v>196</v>
      </c>
      <c r="M493" s="4" t="s">
        <v>1846</v>
      </c>
      <c r="N493" s="3" t="s">
        <v>25</v>
      </c>
      <c r="Y493" s="4" t="s">
        <v>1847</v>
      </c>
      <c r="Z493" s="4" t="s">
        <v>1847</v>
      </c>
      <c r="AD493" s="3" t="s">
        <v>477</v>
      </c>
      <c r="AE493" s="3">
        <v>1000</v>
      </c>
      <c r="AI493" s="4" t="s">
        <v>1848</v>
      </c>
      <c r="AJ493" s="4" t="s">
        <v>1848</v>
      </c>
      <c r="AL493" s="4">
        <v>43497</v>
      </c>
      <c r="AM493" s="5">
        <v>45000</v>
      </c>
      <c r="AN493" s="4" t="s">
        <v>124</v>
      </c>
      <c r="AO493" s="4">
        <v>99</v>
      </c>
      <c r="AP493" s="4">
        <v>86000000</v>
      </c>
    </row>
    <row r="494" spans="1:42" x14ac:dyDescent="0.25">
      <c r="A494" s="3">
        <v>4604879</v>
      </c>
      <c r="B494" s="3" t="s">
        <v>477</v>
      </c>
      <c r="C494" s="3" t="s">
        <v>1278</v>
      </c>
      <c r="D494" s="3">
        <v>10004694</v>
      </c>
      <c r="E494" s="4">
        <v>4534230</v>
      </c>
      <c r="F494" s="3" t="s">
        <v>49</v>
      </c>
      <c r="G494" s="4" t="s">
        <v>134</v>
      </c>
      <c r="H494" s="4" t="s">
        <v>1849</v>
      </c>
      <c r="I494" s="5">
        <v>38395.5</v>
      </c>
      <c r="J494" s="3" t="s">
        <v>477</v>
      </c>
      <c r="K494" s="3" t="s">
        <v>172</v>
      </c>
      <c r="L494" s="3" t="s">
        <v>119</v>
      </c>
      <c r="M494" s="4" t="s">
        <v>1849</v>
      </c>
      <c r="N494" s="3" t="s">
        <v>56</v>
      </c>
      <c r="Y494" s="4" t="s">
        <v>1344</v>
      </c>
      <c r="Z494" s="4" t="s">
        <v>1344</v>
      </c>
      <c r="AA494" s="4" t="s">
        <v>1850</v>
      </c>
      <c r="AB494" s="3" t="s">
        <v>1851</v>
      </c>
      <c r="AC494" s="3" t="s">
        <v>1852</v>
      </c>
      <c r="AD494" s="3" t="s">
        <v>407</v>
      </c>
      <c r="AE494" s="3">
        <v>1000</v>
      </c>
      <c r="AI494" s="4" t="s">
        <v>1346</v>
      </c>
      <c r="AJ494" s="4" t="s">
        <v>1346</v>
      </c>
      <c r="AL494" s="4">
        <v>41275</v>
      </c>
      <c r="AM494" s="5">
        <v>38395.5</v>
      </c>
      <c r="AN494" s="4" t="s">
        <v>124</v>
      </c>
      <c r="AO494" s="4">
        <v>99</v>
      </c>
      <c r="AP494" s="4">
        <v>81111500</v>
      </c>
    </row>
    <row r="495" spans="1:42" x14ac:dyDescent="0.25">
      <c r="A495" s="3">
        <v>4604880</v>
      </c>
      <c r="B495" s="3" t="s">
        <v>455</v>
      </c>
      <c r="C495" s="3" t="s">
        <v>1278</v>
      </c>
      <c r="D495" s="3">
        <v>10004674</v>
      </c>
      <c r="E495" s="4">
        <v>4534231</v>
      </c>
      <c r="F495" s="3" t="s">
        <v>49</v>
      </c>
      <c r="G495" s="4" t="s">
        <v>1853</v>
      </c>
      <c r="H495" s="4" t="s">
        <v>1854</v>
      </c>
      <c r="I495" s="5">
        <v>55000</v>
      </c>
      <c r="J495" s="3" t="s">
        <v>1635</v>
      </c>
      <c r="K495" s="3" t="s">
        <v>77</v>
      </c>
      <c r="L495" s="3" t="s">
        <v>119</v>
      </c>
      <c r="M495" s="4" t="s">
        <v>1854</v>
      </c>
      <c r="N495" s="3" t="s">
        <v>56</v>
      </c>
      <c r="Y495" s="4" t="s">
        <v>267</v>
      </c>
      <c r="Z495" s="4" t="s">
        <v>267</v>
      </c>
      <c r="AA495" s="4" t="s">
        <v>188</v>
      </c>
      <c r="AB495" s="3" t="s">
        <v>1855</v>
      </c>
      <c r="AC495" s="3" t="s">
        <v>190</v>
      </c>
      <c r="AD495" s="3" t="s">
        <v>287</v>
      </c>
      <c r="AE495" s="3">
        <v>1000</v>
      </c>
      <c r="AI495" s="4" t="s">
        <v>270</v>
      </c>
      <c r="AJ495" s="4" t="s">
        <v>270</v>
      </c>
      <c r="AL495" s="4">
        <v>49845</v>
      </c>
      <c r="AM495" s="5">
        <v>55000</v>
      </c>
      <c r="AN495" s="4" t="s">
        <v>124</v>
      </c>
      <c r="AO495" s="4">
        <v>98</v>
      </c>
      <c r="AP495" s="4">
        <v>80111600</v>
      </c>
    </row>
    <row r="496" spans="1:42" x14ac:dyDescent="0.25">
      <c r="A496" s="3">
        <v>4604881</v>
      </c>
      <c r="B496" s="3" t="s">
        <v>483</v>
      </c>
      <c r="C496" s="3" t="s">
        <v>1278</v>
      </c>
      <c r="D496" s="3">
        <v>10004673</v>
      </c>
      <c r="E496" s="4">
        <v>4534232</v>
      </c>
      <c r="F496" s="3" t="s">
        <v>49</v>
      </c>
      <c r="G496" s="4" t="s">
        <v>271</v>
      </c>
      <c r="H496" s="4" t="s">
        <v>1856</v>
      </c>
      <c r="I496" s="5">
        <v>11000</v>
      </c>
      <c r="J496" s="3" t="s">
        <v>484</v>
      </c>
      <c r="K496" s="3" t="s">
        <v>498</v>
      </c>
      <c r="L496" s="3" t="s">
        <v>196</v>
      </c>
      <c r="M496" s="4" t="s">
        <v>1856</v>
      </c>
      <c r="N496" s="3" t="s">
        <v>25</v>
      </c>
      <c r="Y496" s="4" t="s">
        <v>267</v>
      </c>
      <c r="Z496" s="4" t="s">
        <v>267</v>
      </c>
      <c r="AD496" s="3" t="s">
        <v>477</v>
      </c>
      <c r="AE496" s="3">
        <v>1000</v>
      </c>
      <c r="AI496" s="4" t="s">
        <v>270</v>
      </c>
      <c r="AJ496" s="4" t="s">
        <v>270</v>
      </c>
      <c r="AL496" s="4">
        <v>46721</v>
      </c>
      <c r="AM496" s="5">
        <v>11000</v>
      </c>
      <c r="AN496" s="4" t="s">
        <v>124</v>
      </c>
      <c r="AO496" s="4">
        <v>99</v>
      </c>
      <c r="AP496" s="4">
        <v>80111600</v>
      </c>
    </row>
    <row r="497" spans="1:42" x14ac:dyDescent="0.25">
      <c r="A497" s="3">
        <v>4604882</v>
      </c>
      <c r="B497" s="3" t="s">
        <v>419</v>
      </c>
      <c r="C497" s="3" t="s">
        <v>1278</v>
      </c>
      <c r="D497" s="3">
        <v>10004697</v>
      </c>
      <c r="E497" s="4">
        <v>4534233</v>
      </c>
      <c r="F497" s="3" t="s">
        <v>49</v>
      </c>
      <c r="G497" s="4" t="s">
        <v>1599</v>
      </c>
      <c r="H497" s="4" t="s">
        <v>1857</v>
      </c>
      <c r="I497" s="5">
        <v>47520</v>
      </c>
      <c r="J497" s="3" t="s">
        <v>455</v>
      </c>
      <c r="K497" s="3" t="s">
        <v>1858</v>
      </c>
      <c r="L497" s="3" t="s">
        <v>196</v>
      </c>
      <c r="M497" s="4" t="s">
        <v>1859</v>
      </c>
      <c r="N497" s="3" t="s">
        <v>25</v>
      </c>
      <c r="Y497" s="4" t="s">
        <v>1309</v>
      </c>
      <c r="Z497" s="4" t="s">
        <v>1309</v>
      </c>
      <c r="AD497" s="3" t="s">
        <v>1088</v>
      </c>
      <c r="AE497" s="3">
        <v>1000</v>
      </c>
      <c r="AI497" s="4" t="s">
        <v>1313</v>
      </c>
      <c r="AJ497" s="4" t="s">
        <v>1313</v>
      </c>
      <c r="AL497" s="4">
        <v>141435</v>
      </c>
      <c r="AM497" s="5">
        <v>47520</v>
      </c>
      <c r="AN497" s="4" t="s">
        <v>124</v>
      </c>
      <c r="AO497" s="4">
        <v>99</v>
      </c>
      <c r="AP497" s="4">
        <v>80101507</v>
      </c>
    </row>
    <row r="498" spans="1:42" x14ac:dyDescent="0.25">
      <c r="A498" s="3">
        <v>4604883</v>
      </c>
      <c r="B498" s="3" t="s">
        <v>477</v>
      </c>
      <c r="C498" s="3" t="s">
        <v>1278</v>
      </c>
      <c r="D498" s="3">
        <v>10004695</v>
      </c>
      <c r="E498" s="4">
        <v>4534234</v>
      </c>
      <c r="F498" s="3" t="s">
        <v>49</v>
      </c>
      <c r="G498" s="4" t="s">
        <v>1288</v>
      </c>
      <c r="H498" s="4" t="s">
        <v>1860</v>
      </c>
      <c r="I498" s="5">
        <v>99975.27</v>
      </c>
      <c r="J498" s="3" t="s">
        <v>1861</v>
      </c>
      <c r="K498" s="3" t="s">
        <v>1862</v>
      </c>
      <c r="L498" s="3" t="s">
        <v>196</v>
      </c>
      <c r="M498" s="4" t="s">
        <v>1860</v>
      </c>
      <c r="N498" s="3" t="s">
        <v>25</v>
      </c>
      <c r="Y498" s="4" t="s">
        <v>1047</v>
      </c>
      <c r="Z498" s="4" t="s">
        <v>1047</v>
      </c>
      <c r="AD498" s="3" t="s">
        <v>901</v>
      </c>
      <c r="AE498" s="3">
        <v>1000</v>
      </c>
      <c r="AI498" s="4" t="s">
        <v>1050</v>
      </c>
      <c r="AJ498" s="4" t="s">
        <v>1050</v>
      </c>
      <c r="AL498" s="4">
        <v>40217</v>
      </c>
      <c r="AM498" s="5">
        <v>99975.27</v>
      </c>
      <c r="AN498" s="4" t="s">
        <v>124</v>
      </c>
      <c r="AO498" s="4">
        <v>99</v>
      </c>
      <c r="AP498" s="4">
        <v>81112200</v>
      </c>
    </row>
    <row r="499" spans="1:42" x14ac:dyDescent="0.25">
      <c r="A499" s="3">
        <v>4604884</v>
      </c>
      <c r="B499" s="3" t="s">
        <v>477</v>
      </c>
      <c r="C499" s="3" t="s">
        <v>1278</v>
      </c>
      <c r="D499" s="3">
        <v>10004688</v>
      </c>
      <c r="E499" s="4">
        <v>4534235</v>
      </c>
      <c r="F499" s="3" t="s">
        <v>49</v>
      </c>
      <c r="G499" s="4" t="s">
        <v>1288</v>
      </c>
      <c r="H499" s="4" t="s">
        <v>1863</v>
      </c>
      <c r="I499" s="5">
        <v>14245</v>
      </c>
      <c r="J499" s="3" t="s">
        <v>1179</v>
      </c>
      <c r="K499" s="3" t="s">
        <v>1864</v>
      </c>
      <c r="L499" s="3" t="s">
        <v>196</v>
      </c>
      <c r="M499" s="4" t="s">
        <v>1863</v>
      </c>
      <c r="N499" s="3" t="s">
        <v>25</v>
      </c>
      <c r="Y499" s="4" t="s">
        <v>1047</v>
      </c>
      <c r="Z499" s="4" t="s">
        <v>1047</v>
      </c>
      <c r="AD499" s="3" t="s">
        <v>901</v>
      </c>
      <c r="AE499" s="3">
        <v>1000</v>
      </c>
      <c r="AI499" s="4" t="s">
        <v>1050</v>
      </c>
      <c r="AJ499" s="4" t="s">
        <v>1050</v>
      </c>
      <c r="AL499" s="4">
        <v>40217</v>
      </c>
      <c r="AM499" s="5">
        <v>14245</v>
      </c>
      <c r="AN499" s="4" t="s">
        <v>124</v>
      </c>
      <c r="AO499" s="4">
        <v>99</v>
      </c>
      <c r="AP499" s="4">
        <v>86000000</v>
      </c>
    </row>
    <row r="500" spans="1:42" x14ac:dyDescent="0.25">
      <c r="A500" s="3">
        <v>4604885</v>
      </c>
      <c r="B500" s="3" t="s">
        <v>1491</v>
      </c>
      <c r="C500" s="3" t="s">
        <v>1278</v>
      </c>
      <c r="D500" s="3">
        <v>10004698</v>
      </c>
      <c r="E500" s="4">
        <v>4534236</v>
      </c>
      <c r="F500" s="3" t="s">
        <v>49</v>
      </c>
      <c r="G500" s="4" t="s">
        <v>1865</v>
      </c>
      <c r="H500" s="4" t="s">
        <v>1866</v>
      </c>
      <c r="I500" s="5">
        <v>36100</v>
      </c>
      <c r="J500" s="3" t="s">
        <v>477</v>
      </c>
      <c r="K500" s="3" t="s">
        <v>77</v>
      </c>
      <c r="L500" s="3" t="s">
        <v>119</v>
      </c>
      <c r="M500" s="4" t="s">
        <v>1866</v>
      </c>
      <c r="N500" s="3" t="s">
        <v>56</v>
      </c>
      <c r="Y500" s="4" t="s">
        <v>1068</v>
      </c>
      <c r="Z500" s="4" t="s">
        <v>1090</v>
      </c>
      <c r="AA500" s="4" t="s">
        <v>1867</v>
      </c>
      <c r="AB500" s="3" t="s">
        <v>1868</v>
      </c>
      <c r="AC500" s="3" t="s">
        <v>1869</v>
      </c>
      <c r="AD500" s="3" t="s">
        <v>474</v>
      </c>
      <c r="AE500" s="3">
        <v>1000</v>
      </c>
      <c r="AI500" s="4" t="s">
        <v>1071</v>
      </c>
      <c r="AJ500" s="4" t="s">
        <v>1091</v>
      </c>
      <c r="AL500" s="4">
        <v>44725</v>
      </c>
      <c r="AM500" s="5">
        <v>36100</v>
      </c>
      <c r="AN500" s="4" t="s">
        <v>124</v>
      </c>
      <c r="AO500" s="4">
        <v>99</v>
      </c>
      <c r="AP500" s="4">
        <v>14111509</v>
      </c>
    </row>
    <row r="501" spans="1:42" x14ac:dyDescent="0.25">
      <c r="A501" s="3">
        <v>4604886</v>
      </c>
      <c r="B501" s="3" t="s">
        <v>1870</v>
      </c>
      <c r="C501" s="3" t="s">
        <v>1278</v>
      </c>
      <c r="D501" s="3">
        <v>10004700</v>
      </c>
      <c r="E501" s="4">
        <v>4534237</v>
      </c>
      <c r="F501" s="3" t="s">
        <v>49</v>
      </c>
      <c r="G501" s="4" t="s">
        <v>1871</v>
      </c>
      <c r="I501" s="5">
        <v>8162</v>
      </c>
      <c r="J501" s="3" t="s">
        <v>1870</v>
      </c>
      <c r="K501" s="3" t="s">
        <v>1872</v>
      </c>
      <c r="L501" s="3" t="s">
        <v>119</v>
      </c>
      <c r="M501" s="4" t="s">
        <v>1873</v>
      </c>
      <c r="N501" s="3" t="s">
        <v>56</v>
      </c>
      <c r="Y501" s="4" t="s">
        <v>1344</v>
      </c>
      <c r="Z501" s="4" t="s">
        <v>1344</v>
      </c>
      <c r="AD501" s="3" t="s">
        <v>882</v>
      </c>
      <c r="AE501" s="3">
        <v>1000</v>
      </c>
      <c r="AI501" s="4" t="s">
        <v>1346</v>
      </c>
      <c r="AJ501" s="4" t="s">
        <v>1346</v>
      </c>
      <c r="AL501" s="4">
        <v>140797</v>
      </c>
      <c r="AM501" s="5">
        <v>8162</v>
      </c>
      <c r="AN501" s="4" t="s">
        <v>124</v>
      </c>
    </row>
    <row r="502" spans="1:42" x14ac:dyDescent="0.25">
      <c r="A502" s="3">
        <v>4604887</v>
      </c>
      <c r="B502" s="3" t="s">
        <v>1635</v>
      </c>
      <c r="C502" s="3" t="s">
        <v>1278</v>
      </c>
      <c r="D502" s="3">
        <v>10004699</v>
      </c>
      <c r="E502" s="4">
        <v>4534238</v>
      </c>
      <c r="F502" s="3" t="s">
        <v>49</v>
      </c>
      <c r="G502" s="4" t="s">
        <v>1053</v>
      </c>
      <c r="H502" s="4" t="s">
        <v>1874</v>
      </c>
      <c r="I502" s="5">
        <v>317018.39</v>
      </c>
      <c r="J502" s="3" t="s">
        <v>882</v>
      </c>
      <c r="K502" s="3" t="s">
        <v>1037</v>
      </c>
      <c r="L502" s="3" t="s">
        <v>119</v>
      </c>
      <c r="M502" s="4" t="s">
        <v>1875</v>
      </c>
      <c r="N502" s="3" t="s">
        <v>56</v>
      </c>
      <c r="Y502" s="4" t="s">
        <v>1056</v>
      </c>
      <c r="Z502" s="4" t="s">
        <v>1056</v>
      </c>
      <c r="AA502" s="4" t="s">
        <v>1057</v>
      </c>
      <c r="AB502" s="3" t="s">
        <v>1057</v>
      </c>
      <c r="AC502" s="3" t="s">
        <v>1340</v>
      </c>
      <c r="AD502" s="3" t="s">
        <v>1179</v>
      </c>
      <c r="AE502" s="3">
        <v>1000</v>
      </c>
      <c r="AI502" s="4" t="s">
        <v>1058</v>
      </c>
      <c r="AJ502" s="4" t="s">
        <v>1058</v>
      </c>
      <c r="AL502" s="4">
        <v>140248</v>
      </c>
      <c r="AM502" s="5">
        <v>317018.39</v>
      </c>
      <c r="AN502" s="4" t="s">
        <v>124</v>
      </c>
      <c r="AO502" s="4">
        <v>99</v>
      </c>
      <c r="AP502" s="4">
        <v>43230000</v>
      </c>
    </row>
    <row r="503" spans="1:42" x14ac:dyDescent="0.25">
      <c r="A503" s="3">
        <v>4604888</v>
      </c>
      <c r="B503" s="3" t="s">
        <v>77</v>
      </c>
      <c r="C503" s="3" t="s">
        <v>1278</v>
      </c>
      <c r="D503" s="3">
        <v>10004701</v>
      </c>
      <c r="E503" s="4">
        <v>4534239</v>
      </c>
      <c r="F503" s="3" t="s">
        <v>49</v>
      </c>
      <c r="G503" s="4" t="s">
        <v>1454</v>
      </c>
      <c r="H503" s="4" t="s">
        <v>1876</v>
      </c>
      <c r="I503" s="5">
        <v>33386.1</v>
      </c>
      <c r="J503" s="3" t="s">
        <v>1877</v>
      </c>
      <c r="K503" s="3" t="s">
        <v>77</v>
      </c>
      <c r="L503" s="3" t="s">
        <v>119</v>
      </c>
      <c r="M503" s="4" t="s">
        <v>1876</v>
      </c>
      <c r="N503" s="3" t="s">
        <v>25</v>
      </c>
      <c r="Y503" s="4" t="s">
        <v>1141</v>
      </c>
      <c r="Z503" s="4" t="s">
        <v>1141</v>
      </c>
      <c r="AA503" s="4" t="s">
        <v>1645</v>
      </c>
      <c r="AD503" s="3" t="s">
        <v>77</v>
      </c>
      <c r="AE503" s="3">
        <v>1000</v>
      </c>
      <c r="AI503" s="4" t="s">
        <v>1144</v>
      </c>
      <c r="AJ503" s="4" t="s">
        <v>1144</v>
      </c>
      <c r="AL503" s="4">
        <v>141769</v>
      </c>
      <c r="AM503" s="5">
        <v>33386.1</v>
      </c>
      <c r="AN503" s="4" t="s">
        <v>124</v>
      </c>
      <c r="AO503" s="4">
        <v>99</v>
      </c>
      <c r="AP503" s="4">
        <v>72101500</v>
      </c>
    </row>
    <row r="504" spans="1:42" x14ac:dyDescent="0.25">
      <c r="A504" s="3">
        <v>4604889</v>
      </c>
      <c r="B504" s="3" t="s">
        <v>518</v>
      </c>
      <c r="C504" s="3" t="s">
        <v>1278</v>
      </c>
      <c r="D504" s="3">
        <v>10004702</v>
      </c>
      <c r="E504" s="4">
        <v>4534240</v>
      </c>
      <c r="F504" s="3" t="s">
        <v>49</v>
      </c>
      <c r="G504" s="4" t="s">
        <v>174</v>
      </c>
      <c r="H504" s="4" t="s">
        <v>1878</v>
      </c>
      <c r="I504" s="5">
        <v>20700.900000000001</v>
      </c>
      <c r="J504" s="3" t="s">
        <v>959</v>
      </c>
      <c r="K504" s="3" t="s">
        <v>1879</v>
      </c>
      <c r="L504" s="3" t="s">
        <v>119</v>
      </c>
      <c r="M504" s="4" t="s">
        <v>1878</v>
      </c>
      <c r="N504" s="3" t="s">
        <v>56</v>
      </c>
      <c r="Y504" s="4" t="s">
        <v>1344</v>
      </c>
      <c r="Z504" s="4" t="s">
        <v>1344</v>
      </c>
      <c r="AA504" s="4" t="s">
        <v>188</v>
      </c>
      <c r="AB504" s="3" t="s">
        <v>401</v>
      </c>
      <c r="AC504" s="3" t="s">
        <v>190</v>
      </c>
      <c r="AD504" s="3" t="s">
        <v>1879</v>
      </c>
      <c r="AE504" s="3">
        <v>1000</v>
      </c>
      <c r="AI504" s="4" t="s">
        <v>1346</v>
      </c>
      <c r="AJ504" s="4" t="s">
        <v>1346</v>
      </c>
      <c r="AL504" s="4">
        <v>40476</v>
      </c>
      <c r="AM504" s="5">
        <v>20700.900000000001</v>
      </c>
      <c r="AN504" s="4" t="s">
        <v>124</v>
      </c>
      <c r="AO504" s="4">
        <v>99</v>
      </c>
      <c r="AP504" s="4">
        <v>80111600</v>
      </c>
    </row>
    <row r="505" spans="1:42" x14ac:dyDescent="0.25">
      <c r="A505" s="3">
        <v>4604892</v>
      </c>
      <c r="B505" s="3" t="s">
        <v>1870</v>
      </c>
      <c r="C505" s="3" t="s">
        <v>1278</v>
      </c>
      <c r="D505" s="3">
        <v>10004707</v>
      </c>
      <c r="E505" s="4">
        <v>4534243</v>
      </c>
      <c r="F505" s="3" t="s">
        <v>49</v>
      </c>
      <c r="G505" s="4" t="s">
        <v>1661</v>
      </c>
      <c r="H505" s="4" t="s">
        <v>1880</v>
      </c>
      <c r="I505" s="5">
        <v>14071.88</v>
      </c>
      <c r="J505" s="3" t="s">
        <v>1870</v>
      </c>
      <c r="K505" s="3" t="s">
        <v>461</v>
      </c>
      <c r="L505" s="3" t="s">
        <v>196</v>
      </c>
      <c r="M505" s="4" t="s">
        <v>1880</v>
      </c>
      <c r="N505" s="3" t="s">
        <v>25</v>
      </c>
      <c r="Y505" s="4" t="s">
        <v>178</v>
      </c>
      <c r="Z505" s="4" t="s">
        <v>178</v>
      </c>
      <c r="AD505" s="3" t="s">
        <v>1870</v>
      </c>
      <c r="AE505" s="3">
        <v>1000</v>
      </c>
      <c r="AI505" s="4" t="s">
        <v>181</v>
      </c>
      <c r="AJ505" s="4" t="s">
        <v>181</v>
      </c>
      <c r="AL505" s="4">
        <v>141803</v>
      </c>
      <c r="AM505" s="5">
        <v>14071.88</v>
      </c>
      <c r="AN505" s="4" t="s">
        <v>124</v>
      </c>
      <c r="AO505" s="4">
        <v>99</v>
      </c>
      <c r="AP505" s="4">
        <v>80111600</v>
      </c>
    </row>
    <row r="506" spans="1:42" x14ac:dyDescent="0.25">
      <c r="A506" s="3">
        <v>4604893</v>
      </c>
      <c r="B506" s="3" t="s">
        <v>1870</v>
      </c>
      <c r="C506" s="3" t="s">
        <v>1278</v>
      </c>
      <c r="D506" s="3">
        <v>10004706</v>
      </c>
      <c r="E506" s="4">
        <v>4534244</v>
      </c>
      <c r="F506" s="3" t="s">
        <v>49</v>
      </c>
      <c r="G506" s="4" t="s">
        <v>1502</v>
      </c>
      <c r="H506" s="4" t="s">
        <v>1881</v>
      </c>
      <c r="I506" s="5">
        <v>128700</v>
      </c>
      <c r="J506" s="3" t="s">
        <v>502</v>
      </c>
      <c r="K506" s="3" t="s">
        <v>1481</v>
      </c>
      <c r="L506" s="3" t="s">
        <v>119</v>
      </c>
      <c r="M506" s="4" t="s">
        <v>1881</v>
      </c>
      <c r="N506" s="3" t="s">
        <v>56</v>
      </c>
      <c r="Y506" s="4" t="s">
        <v>1882</v>
      </c>
      <c r="Z506" s="4" t="s">
        <v>260</v>
      </c>
      <c r="AA506" s="4" t="s">
        <v>412</v>
      </c>
      <c r="AB506" s="3" t="s">
        <v>1504</v>
      </c>
      <c r="AC506" s="3" t="s">
        <v>414</v>
      </c>
      <c r="AD506" s="3" t="s">
        <v>1159</v>
      </c>
      <c r="AE506" s="3">
        <v>1000</v>
      </c>
      <c r="AI506" s="4" t="s">
        <v>1883</v>
      </c>
      <c r="AJ506" s="4" t="s">
        <v>261</v>
      </c>
      <c r="AL506" s="4">
        <v>49955</v>
      </c>
      <c r="AM506" s="5">
        <v>128700</v>
      </c>
      <c r="AN506" s="4" t="s">
        <v>124</v>
      </c>
      <c r="AO506" s="4">
        <v>99</v>
      </c>
      <c r="AP506" s="4">
        <v>81112200</v>
      </c>
    </row>
    <row r="507" spans="1:42" x14ac:dyDescent="0.25">
      <c r="A507" s="3">
        <v>4604895</v>
      </c>
      <c r="B507" s="3" t="s">
        <v>480</v>
      </c>
      <c r="C507" s="3" t="s">
        <v>1278</v>
      </c>
      <c r="D507" s="3">
        <v>10004671</v>
      </c>
      <c r="E507" s="4">
        <v>4534246</v>
      </c>
      <c r="F507" s="3" t="s">
        <v>49</v>
      </c>
      <c r="G507" s="4" t="s">
        <v>1884</v>
      </c>
      <c r="H507" s="4" t="s">
        <v>1885</v>
      </c>
      <c r="I507" s="5">
        <v>90200</v>
      </c>
      <c r="J507" s="3" t="s">
        <v>480</v>
      </c>
      <c r="K507" s="3" t="s">
        <v>498</v>
      </c>
      <c r="L507" s="3" t="s">
        <v>119</v>
      </c>
      <c r="M507" s="4" t="s">
        <v>1885</v>
      </c>
      <c r="N507" s="3" t="s">
        <v>56</v>
      </c>
      <c r="Y507" s="4" t="s">
        <v>1539</v>
      </c>
      <c r="Z507" s="4" t="s">
        <v>1886</v>
      </c>
      <c r="AA507" s="4" t="s">
        <v>412</v>
      </c>
      <c r="AB507" s="3" t="s">
        <v>412</v>
      </c>
      <c r="AC507" s="3" t="s">
        <v>414</v>
      </c>
      <c r="AD507" s="3" t="s">
        <v>1887</v>
      </c>
      <c r="AE507" s="3">
        <v>1000</v>
      </c>
      <c r="AI507" s="4" t="s">
        <v>1540</v>
      </c>
      <c r="AJ507" s="4" t="s">
        <v>1888</v>
      </c>
      <c r="AL507" s="4">
        <v>141801</v>
      </c>
      <c r="AM507" s="5">
        <v>90200</v>
      </c>
      <c r="AN507" s="4" t="s">
        <v>124</v>
      </c>
      <c r="AO507" s="4">
        <v>99</v>
      </c>
      <c r="AP507" s="4">
        <v>80101507</v>
      </c>
    </row>
    <row r="508" spans="1:42" x14ac:dyDescent="0.25">
      <c r="A508" s="3">
        <v>4604898</v>
      </c>
      <c r="B508" s="3" t="s">
        <v>1870</v>
      </c>
      <c r="C508" s="3" t="s">
        <v>1278</v>
      </c>
      <c r="D508" s="3">
        <v>10004703</v>
      </c>
      <c r="E508" s="4">
        <v>4534249</v>
      </c>
      <c r="F508" s="3" t="s">
        <v>49</v>
      </c>
      <c r="G508" s="4" t="s">
        <v>1053</v>
      </c>
      <c r="H508" s="4" t="s">
        <v>1889</v>
      </c>
      <c r="I508" s="5">
        <v>41250</v>
      </c>
      <c r="J508" s="3" t="s">
        <v>1877</v>
      </c>
      <c r="K508" s="3" t="s">
        <v>77</v>
      </c>
      <c r="L508" s="3" t="s">
        <v>119</v>
      </c>
      <c r="M508" s="4" t="s">
        <v>1890</v>
      </c>
      <c r="N508" s="3" t="s">
        <v>56</v>
      </c>
      <c r="Y508" s="4" t="s">
        <v>1056</v>
      </c>
      <c r="Z508" s="4" t="s">
        <v>1056</v>
      </c>
      <c r="AA508" s="4" t="s">
        <v>1057</v>
      </c>
      <c r="AB508" s="3" t="s">
        <v>1057</v>
      </c>
      <c r="AC508" s="3" t="s">
        <v>1340</v>
      </c>
      <c r="AD508" s="3" t="s">
        <v>479</v>
      </c>
      <c r="AE508" s="3">
        <v>1000</v>
      </c>
      <c r="AI508" s="4" t="s">
        <v>1058</v>
      </c>
      <c r="AJ508" s="4" t="s">
        <v>1058</v>
      </c>
      <c r="AL508" s="4">
        <v>140248</v>
      </c>
      <c r="AM508" s="5">
        <v>41250</v>
      </c>
      <c r="AN508" s="4" t="s">
        <v>124</v>
      </c>
      <c r="AO508" s="4">
        <v>99</v>
      </c>
      <c r="AP508" s="4">
        <v>81111500</v>
      </c>
    </row>
    <row r="509" spans="1:42" x14ac:dyDescent="0.25">
      <c r="A509" s="3">
        <v>4604903</v>
      </c>
      <c r="B509" s="3" t="s">
        <v>502</v>
      </c>
      <c r="C509" s="3" t="s">
        <v>1278</v>
      </c>
      <c r="D509" s="3">
        <v>10004721</v>
      </c>
      <c r="E509" s="4">
        <v>4534254</v>
      </c>
      <c r="F509" s="3" t="s">
        <v>49</v>
      </c>
      <c r="G509" s="4" t="s">
        <v>1053</v>
      </c>
      <c r="H509" s="4" t="s">
        <v>1891</v>
      </c>
      <c r="I509" s="5">
        <v>59866.080000000002</v>
      </c>
      <c r="J509" s="3" t="s">
        <v>502</v>
      </c>
      <c r="K509" s="3" t="s">
        <v>1892</v>
      </c>
      <c r="L509" s="3" t="s">
        <v>119</v>
      </c>
      <c r="M509" s="4" t="s">
        <v>1893</v>
      </c>
      <c r="N509" s="3" t="s">
        <v>56</v>
      </c>
      <c r="Y509" s="4" t="s">
        <v>1056</v>
      </c>
      <c r="Z509" s="4" t="s">
        <v>1056</v>
      </c>
      <c r="AA509" s="4" t="s">
        <v>1057</v>
      </c>
      <c r="AB509" s="3" t="s">
        <v>1057</v>
      </c>
      <c r="AC509" s="3" t="s">
        <v>1340</v>
      </c>
      <c r="AD509" s="3" t="s">
        <v>492</v>
      </c>
      <c r="AE509" s="3">
        <v>1000</v>
      </c>
      <c r="AI509" s="4" t="s">
        <v>1058</v>
      </c>
      <c r="AJ509" s="4" t="s">
        <v>1058</v>
      </c>
      <c r="AL509" s="4">
        <v>140248</v>
      </c>
      <c r="AM509" s="5">
        <v>59866.080000000002</v>
      </c>
      <c r="AN509" s="4" t="s">
        <v>124</v>
      </c>
      <c r="AO509" s="4">
        <v>99</v>
      </c>
      <c r="AP509" s="4">
        <v>43230000</v>
      </c>
    </row>
    <row r="510" spans="1:42" x14ac:dyDescent="0.25">
      <c r="A510" s="3">
        <v>4604904</v>
      </c>
      <c r="B510" s="3" t="s">
        <v>1136</v>
      </c>
      <c r="C510" s="3" t="s">
        <v>1278</v>
      </c>
      <c r="D510" s="3">
        <v>10004620</v>
      </c>
      <c r="E510" s="4">
        <v>4534255</v>
      </c>
      <c r="F510" s="3" t="s">
        <v>49</v>
      </c>
      <c r="G510" s="4" t="s">
        <v>1894</v>
      </c>
      <c r="H510" s="4" t="s">
        <v>1798</v>
      </c>
      <c r="I510" s="5">
        <v>141075.82</v>
      </c>
      <c r="J510" s="3" t="s">
        <v>335</v>
      </c>
      <c r="K510" s="3" t="s">
        <v>901</v>
      </c>
      <c r="L510" s="3" t="s">
        <v>119</v>
      </c>
      <c r="M510" s="4" t="s">
        <v>1895</v>
      </c>
      <c r="N510" s="3" t="s">
        <v>25</v>
      </c>
      <c r="Y510" s="4" t="s">
        <v>1141</v>
      </c>
      <c r="Z510" s="4" t="s">
        <v>1090</v>
      </c>
      <c r="AA510" s="4" t="s">
        <v>1645</v>
      </c>
      <c r="AD510" s="3" t="s">
        <v>1136</v>
      </c>
      <c r="AE510" s="3">
        <v>1000</v>
      </c>
      <c r="AI510" s="4" t="s">
        <v>1144</v>
      </c>
      <c r="AJ510" s="4" t="s">
        <v>1091</v>
      </c>
      <c r="AL510" s="4">
        <v>141877</v>
      </c>
      <c r="AM510" s="5">
        <v>141075.82</v>
      </c>
      <c r="AN510" s="4" t="s">
        <v>124</v>
      </c>
      <c r="AO510" s="4">
        <v>99</v>
      </c>
      <c r="AP510" s="4">
        <v>72100000</v>
      </c>
    </row>
    <row r="511" spans="1:42" x14ac:dyDescent="0.25">
      <c r="A511" s="3">
        <v>4604908</v>
      </c>
      <c r="B511" s="3" t="s">
        <v>502</v>
      </c>
      <c r="C511" s="3" t="s">
        <v>1278</v>
      </c>
      <c r="D511" s="3">
        <v>10004723</v>
      </c>
      <c r="E511" s="4">
        <v>4534259</v>
      </c>
      <c r="F511" s="3" t="s">
        <v>49</v>
      </c>
      <c r="G511" s="4" t="s">
        <v>1053</v>
      </c>
      <c r="H511" s="4" t="s">
        <v>1896</v>
      </c>
      <c r="I511" s="5">
        <v>10698.6</v>
      </c>
      <c r="J511" s="3" t="s">
        <v>502</v>
      </c>
      <c r="K511" s="3" t="s">
        <v>498</v>
      </c>
      <c r="L511" s="3" t="s">
        <v>119</v>
      </c>
      <c r="M511" s="4" t="s">
        <v>1897</v>
      </c>
      <c r="N511" s="3" t="s">
        <v>56</v>
      </c>
      <c r="Y511" s="4" t="s">
        <v>1056</v>
      </c>
      <c r="Z511" s="4" t="s">
        <v>1056</v>
      </c>
      <c r="AA511" s="4" t="s">
        <v>1057</v>
      </c>
      <c r="AB511" s="3" t="s">
        <v>1057</v>
      </c>
      <c r="AC511" s="3" t="s">
        <v>1340</v>
      </c>
      <c r="AD511" s="3" t="s">
        <v>1898</v>
      </c>
      <c r="AE511" s="3">
        <v>1000</v>
      </c>
      <c r="AI511" s="4" t="s">
        <v>1058</v>
      </c>
      <c r="AJ511" s="4" t="s">
        <v>1058</v>
      </c>
      <c r="AL511" s="4">
        <v>140248</v>
      </c>
      <c r="AM511" s="5">
        <v>10698.6</v>
      </c>
      <c r="AN511" s="4" t="s">
        <v>124</v>
      </c>
      <c r="AO511" s="4">
        <v>99</v>
      </c>
      <c r="AP511" s="4">
        <v>81111812</v>
      </c>
    </row>
    <row r="512" spans="1:42" x14ac:dyDescent="0.25">
      <c r="A512" s="3">
        <v>4604910</v>
      </c>
      <c r="B512" s="3" t="s">
        <v>500</v>
      </c>
      <c r="C512" s="3" t="s">
        <v>1278</v>
      </c>
      <c r="D512" s="3">
        <v>10004727</v>
      </c>
      <c r="E512" s="4">
        <v>4534261</v>
      </c>
      <c r="F512" s="3" t="s">
        <v>49</v>
      </c>
      <c r="G512" s="4" t="s">
        <v>1321</v>
      </c>
      <c r="H512" s="4" t="s">
        <v>1767</v>
      </c>
      <c r="I512" s="5">
        <v>43337.25</v>
      </c>
      <c r="J512" s="3" t="s">
        <v>500</v>
      </c>
      <c r="K512" s="3" t="s">
        <v>77</v>
      </c>
      <c r="L512" s="3" t="s">
        <v>196</v>
      </c>
      <c r="M512" s="4" t="s">
        <v>1767</v>
      </c>
      <c r="N512" s="3" t="s">
        <v>25</v>
      </c>
      <c r="Y512" s="4" t="s">
        <v>1309</v>
      </c>
      <c r="Z512" s="4" t="s">
        <v>1309</v>
      </c>
      <c r="AD512" s="3" t="s">
        <v>532</v>
      </c>
      <c r="AE512" s="3">
        <v>1000</v>
      </c>
      <c r="AI512" s="4" t="s">
        <v>1313</v>
      </c>
      <c r="AJ512" s="4" t="s">
        <v>1313</v>
      </c>
      <c r="AL512" s="4">
        <v>140474</v>
      </c>
      <c r="AM512" s="5">
        <v>43337.25</v>
      </c>
      <c r="AN512" s="4" t="s">
        <v>124</v>
      </c>
      <c r="AO512" s="4">
        <v>98</v>
      </c>
      <c r="AP512" s="4">
        <v>80101507</v>
      </c>
    </row>
    <row r="513" spans="1:42" x14ac:dyDescent="0.25">
      <c r="A513" s="3">
        <v>4604911</v>
      </c>
      <c r="B513" s="3" t="s">
        <v>497</v>
      </c>
      <c r="C513" s="3" t="s">
        <v>1278</v>
      </c>
      <c r="D513" s="3">
        <v>10004726</v>
      </c>
      <c r="E513" s="4">
        <v>4534262</v>
      </c>
      <c r="F513" s="3" t="s">
        <v>49</v>
      </c>
      <c r="G513" s="4" t="s">
        <v>1471</v>
      </c>
      <c r="H513" s="4" t="s">
        <v>1899</v>
      </c>
      <c r="I513" s="5">
        <v>47762</v>
      </c>
      <c r="J513" s="3" t="s">
        <v>497</v>
      </c>
      <c r="K513" s="3" t="s">
        <v>422</v>
      </c>
      <c r="L513" s="3" t="s">
        <v>119</v>
      </c>
      <c r="M513" s="4" t="s">
        <v>1900</v>
      </c>
      <c r="N513" s="3" t="s">
        <v>56</v>
      </c>
      <c r="Y513" s="4" t="s">
        <v>1056</v>
      </c>
      <c r="Z513" s="4" t="s">
        <v>1056</v>
      </c>
      <c r="AA513" s="4" t="s">
        <v>1474</v>
      </c>
      <c r="AB513" s="3" t="s">
        <v>1475</v>
      </c>
      <c r="AC513" s="3" t="s">
        <v>1476</v>
      </c>
      <c r="AD513" s="3" t="s">
        <v>492</v>
      </c>
      <c r="AE513" s="3">
        <v>1000</v>
      </c>
      <c r="AI513" s="4" t="s">
        <v>1058</v>
      </c>
      <c r="AJ513" s="4" t="s">
        <v>1058</v>
      </c>
      <c r="AL513" s="4">
        <v>48891</v>
      </c>
      <c r="AM513" s="5">
        <v>47762</v>
      </c>
      <c r="AN513" s="4" t="s">
        <v>124</v>
      </c>
      <c r="AO513" s="4">
        <v>99</v>
      </c>
      <c r="AP513" s="4">
        <v>43211503</v>
      </c>
    </row>
    <row r="514" spans="1:42" x14ac:dyDescent="0.25">
      <c r="A514" s="3">
        <v>4604913</v>
      </c>
      <c r="B514" s="3" t="s">
        <v>1870</v>
      </c>
      <c r="C514" s="3" t="s">
        <v>1278</v>
      </c>
      <c r="D514" s="3">
        <v>10004731</v>
      </c>
      <c r="E514" s="4">
        <v>4534264</v>
      </c>
      <c r="F514" s="3" t="s">
        <v>49</v>
      </c>
      <c r="G514" s="4" t="s">
        <v>1661</v>
      </c>
      <c r="H514" s="4" t="s">
        <v>1901</v>
      </c>
      <c r="I514" s="5">
        <v>14071.88</v>
      </c>
      <c r="J514" s="3" t="s">
        <v>1870</v>
      </c>
      <c r="K514" s="3" t="s">
        <v>77</v>
      </c>
      <c r="L514" s="3" t="s">
        <v>196</v>
      </c>
      <c r="M514" s="4" t="s">
        <v>1901</v>
      </c>
      <c r="N514" s="3" t="s">
        <v>25</v>
      </c>
      <c r="Y514" s="4" t="s">
        <v>178</v>
      </c>
      <c r="Z514" s="4" t="s">
        <v>178</v>
      </c>
      <c r="AD514" s="3" t="s">
        <v>497</v>
      </c>
      <c r="AE514" s="3">
        <v>1000</v>
      </c>
      <c r="AI514" s="4" t="s">
        <v>181</v>
      </c>
      <c r="AJ514" s="4" t="s">
        <v>181</v>
      </c>
      <c r="AL514" s="4">
        <v>141803</v>
      </c>
      <c r="AM514" s="5">
        <v>14071.88</v>
      </c>
      <c r="AN514" s="4" t="s">
        <v>124</v>
      </c>
      <c r="AO514" s="4">
        <v>99</v>
      </c>
      <c r="AP514" s="4">
        <v>80111600</v>
      </c>
    </row>
    <row r="515" spans="1:42" x14ac:dyDescent="0.25">
      <c r="A515" s="3">
        <v>4604914</v>
      </c>
      <c r="B515" s="3" t="s">
        <v>53</v>
      </c>
      <c r="C515" s="3" t="s">
        <v>1278</v>
      </c>
      <c r="D515" s="3">
        <v>10004734</v>
      </c>
      <c r="E515" s="4">
        <v>4534265</v>
      </c>
      <c r="F515" s="3" t="s">
        <v>49</v>
      </c>
      <c r="G515" s="4" t="s">
        <v>453</v>
      </c>
      <c r="H515" s="4" t="s">
        <v>1902</v>
      </c>
      <c r="I515" s="5">
        <v>16000</v>
      </c>
      <c r="J515" s="3" t="s">
        <v>53</v>
      </c>
      <c r="K515" s="3" t="s">
        <v>77</v>
      </c>
      <c r="L515" s="3" t="s">
        <v>196</v>
      </c>
      <c r="M515" s="4" t="s">
        <v>1902</v>
      </c>
      <c r="N515" s="3" t="s">
        <v>25</v>
      </c>
      <c r="Y515" s="4" t="s">
        <v>267</v>
      </c>
      <c r="Z515" s="4" t="s">
        <v>267</v>
      </c>
      <c r="AD515" s="3" t="s">
        <v>1903</v>
      </c>
      <c r="AE515" s="3">
        <v>1000</v>
      </c>
      <c r="AI515" s="4" t="s">
        <v>270</v>
      </c>
      <c r="AJ515" s="4" t="s">
        <v>270</v>
      </c>
      <c r="AL515" s="4">
        <v>47630</v>
      </c>
      <c r="AM515" s="5">
        <v>16000</v>
      </c>
      <c r="AN515" s="4" t="s">
        <v>124</v>
      </c>
      <c r="AO515" s="4">
        <v>99</v>
      </c>
      <c r="AP515" s="4">
        <v>80110000</v>
      </c>
    </row>
    <row r="516" spans="1:42" x14ac:dyDescent="0.25">
      <c r="A516" s="3">
        <v>4604915</v>
      </c>
      <c r="B516" s="3" t="s">
        <v>1903</v>
      </c>
      <c r="C516" s="3" t="s">
        <v>1278</v>
      </c>
      <c r="D516" s="3">
        <v>10004728</v>
      </c>
      <c r="E516" s="4">
        <v>4534266</v>
      </c>
      <c r="F516" s="3" t="s">
        <v>49</v>
      </c>
      <c r="G516" s="4" t="s">
        <v>1053</v>
      </c>
      <c r="H516" s="4" t="s">
        <v>1767</v>
      </c>
      <c r="I516" s="5">
        <v>32844.35</v>
      </c>
      <c r="J516" s="3" t="s">
        <v>492</v>
      </c>
      <c r="K516" s="3" t="s">
        <v>422</v>
      </c>
      <c r="L516" s="3" t="s">
        <v>119</v>
      </c>
      <c r="M516" s="4" t="s">
        <v>1904</v>
      </c>
      <c r="N516" s="3" t="s">
        <v>56</v>
      </c>
      <c r="Y516" s="4" t="s">
        <v>1056</v>
      </c>
      <c r="Z516" s="4" t="s">
        <v>1056</v>
      </c>
      <c r="AA516" s="4" t="s">
        <v>1057</v>
      </c>
      <c r="AB516" s="3" t="s">
        <v>1057</v>
      </c>
      <c r="AC516" s="3" t="s">
        <v>1340</v>
      </c>
      <c r="AD516" s="3" t="s">
        <v>492</v>
      </c>
      <c r="AE516" s="3">
        <v>1000</v>
      </c>
      <c r="AI516" s="4" t="s">
        <v>1058</v>
      </c>
      <c r="AJ516" s="4" t="s">
        <v>1058</v>
      </c>
      <c r="AL516" s="4">
        <v>140248</v>
      </c>
      <c r="AM516" s="5">
        <v>32844.35</v>
      </c>
      <c r="AN516" s="4" t="s">
        <v>124</v>
      </c>
      <c r="AO516" s="4">
        <v>99</v>
      </c>
      <c r="AP516" s="4">
        <v>81111800</v>
      </c>
    </row>
    <row r="517" spans="1:42" x14ac:dyDescent="0.25">
      <c r="A517" s="3">
        <v>4604916</v>
      </c>
      <c r="B517" s="3" t="s">
        <v>1898</v>
      </c>
      <c r="C517" s="3" t="s">
        <v>1278</v>
      </c>
      <c r="D517" s="3">
        <v>10004735</v>
      </c>
      <c r="E517" s="4">
        <v>4534267</v>
      </c>
      <c r="F517" s="3" t="s">
        <v>49</v>
      </c>
      <c r="G517" s="4" t="s">
        <v>1053</v>
      </c>
      <c r="H517" s="4" t="s">
        <v>1896</v>
      </c>
      <c r="I517" s="5">
        <v>27808</v>
      </c>
      <c r="J517" s="3" t="s">
        <v>497</v>
      </c>
      <c r="K517" s="3" t="s">
        <v>492</v>
      </c>
      <c r="L517" s="3" t="s">
        <v>119</v>
      </c>
      <c r="M517" s="4" t="s">
        <v>1905</v>
      </c>
      <c r="N517" s="3" t="s">
        <v>56</v>
      </c>
      <c r="Y517" s="4" t="s">
        <v>1056</v>
      </c>
      <c r="Z517" s="4" t="s">
        <v>1056</v>
      </c>
      <c r="AA517" s="4" t="s">
        <v>1057</v>
      </c>
      <c r="AB517" s="3" t="s">
        <v>1057</v>
      </c>
      <c r="AC517" s="3" t="s">
        <v>1340</v>
      </c>
      <c r="AD517" s="3" t="s">
        <v>369</v>
      </c>
      <c r="AE517" s="3">
        <v>1000</v>
      </c>
      <c r="AI517" s="4" t="s">
        <v>1058</v>
      </c>
      <c r="AJ517" s="4" t="s">
        <v>1058</v>
      </c>
      <c r="AL517" s="4">
        <v>140248</v>
      </c>
      <c r="AM517" s="5">
        <v>27808</v>
      </c>
      <c r="AN517" s="4" t="s">
        <v>124</v>
      </c>
      <c r="AO517" s="4">
        <v>99</v>
      </c>
      <c r="AP517" s="4">
        <v>81111800</v>
      </c>
    </row>
    <row r="518" spans="1:42" x14ac:dyDescent="0.25">
      <c r="A518" s="3">
        <v>4604918</v>
      </c>
      <c r="B518" s="3" t="s">
        <v>500</v>
      </c>
      <c r="C518" s="3" t="s">
        <v>1278</v>
      </c>
      <c r="D518" s="3">
        <v>10004743</v>
      </c>
      <c r="E518" s="4">
        <v>4534269</v>
      </c>
      <c r="F518" s="3" t="s">
        <v>49</v>
      </c>
      <c r="G518" s="4" t="s">
        <v>1502</v>
      </c>
      <c r="H518" s="4" t="s">
        <v>1906</v>
      </c>
      <c r="I518" s="5">
        <v>33000</v>
      </c>
      <c r="J518" s="3" t="s">
        <v>500</v>
      </c>
      <c r="K518" s="3" t="s">
        <v>77</v>
      </c>
      <c r="L518" s="3" t="s">
        <v>119</v>
      </c>
      <c r="M518" s="4" t="s">
        <v>1906</v>
      </c>
      <c r="N518" s="3" t="s">
        <v>56</v>
      </c>
      <c r="Y518" s="4" t="s">
        <v>1344</v>
      </c>
      <c r="Z518" s="4" t="s">
        <v>1344</v>
      </c>
      <c r="AA518" s="4" t="s">
        <v>412</v>
      </c>
      <c r="AB518" s="3" t="s">
        <v>1504</v>
      </c>
      <c r="AC518" s="3" t="s">
        <v>414</v>
      </c>
      <c r="AD518" s="3" t="s">
        <v>492</v>
      </c>
      <c r="AE518" s="3">
        <v>1000</v>
      </c>
      <c r="AI518" s="4" t="s">
        <v>1346</v>
      </c>
      <c r="AJ518" s="4" t="s">
        <v>1346</v>
      </c>
      <c r="AL518" s="4">
        <v>49955</v>
      </c>
      <c r="AM518" s="5">
        <v>33000</v>
      </c>
      <c r="AN518" s="4" t="s">
        <v>124</v>
      </c>
      <c r="AO518" s="4">
        <v>99</v>
      </c>
      <c r="AP518" s="4">
        <v>81112200</v>
      </c>
    </row>
    <row r="519" spans="1:42" x14ac:dyDescent="0.25">
      <c r="A519" s="3">
        <v>4604919</v>
      </c>
      <c r="B519" s="3" t="s">
        <v>77</v>
      </c>
      <c r="C519" s="3" t="s">
        <v>1278</v>
      </c>
      <c r="D519" s="3">
        <v>10004744</v>
      </c>
      <c r="E519" s="4">
        <v>4534270</v>
      </c>
      <c r="F519" s="3" t="s">
        <v>49</v>
      </c>
      <c r="G519" s="4" t="s">
        <v>318</v>
      </c>
      <c r="I519" s="5">
        <v>2338.69</v>
      </c>
      <c r="J519" s="3" t="s">
        <v>441</v>
      </c>
      <c r="K519" s="3" t="s">
        <v>77</v>
      </c>
      <c r="L519" s="3" t="s">
        <v>119</v>
      </c>
      <c r="M519" s="4" t="s">
        <v>1907</v>
      </c>
      <c r="N519" s="3" t="s">
        <v>56</v>
      </c>
      <c r="Y519" s="4" t="s">
        <v>178</v>
      </c>
      <c r="Z519" s="4" t="s">
        <v>178</v>
      </c>
      <c r="AD519" s="3" t="s">
        <v>500</v>
      </c>
      <c r="AE519" s="3">
        <v>1000</v>
      </c>
      <c r="AI519" s="4" t="s">
        <v>181</v>
      </c>
      <c r="AJ519" s="4" t="s">
        <v>181</v>
      </c>
      <c r="AL519" s="4">
        <v>141551</v>
      </c>
      <c r="AM519" s="5">
        <v>2338.69</v>
      </c>
      <c r="AN519" s="4" t="s">
        <v>124</v>
      </c>
    </row>
    <row r="520" spans="1:42" x14ac:dyDescent="0.25">
      <c r="A520" s="3">
        <v>4604922</v>
      </c>
      <c r="B520" s="3" t="s">
        <v>500</v>
      </c>
      <c r="C520" s="3" t="s">
        <v>1278</v>
      </c>
      <c r="D520" s="3">
        <v>10004745</v>
      </c>
      <c r="E520" s="4">
        <v>4534273</v>
      </c>
      <c r="F520" s="3" t="s">
        <v>49</v>
      </c>
      <c r="G520" s="4" t="s">
        <v>1279</v>
      </c>
      <c r="I520" s="5">
        <v>5764</v>
      </c>
      <c r="J520" s="3" t="s">
        <v>500</v>
      </c>
      <c r="K520" s="3" t="s">
        <v>77</v>
      </c>
      <c r="L520" s="3" t="s">
        <v>196</v>
      </c>
      <c r="M520" s="4" t="s">
        <v>1908</v>
      </c>
      <c r="N520" s="3" t="s">
        <v>25</v>
      </c>
      <c r="Y520" s="4" t="s">
        <v>540</v>
      </c>
      <c r="Z520" s="4" t="s">
        <v>1090</v>
      </c>
      <c r="AD520" s="3" t="s">
        <v>500</v>
      </c>
      <c r="AE520" s="3">
        <v>1000</v>
      </c>
      <c r="AI520" s="4" t="s">
        <v>542</v>
      </c>
      <c r="AJ520" s="4" t="s">
        <v>1091</v>
      </c>
      <c r="AL520" s="4">
        <v>46318</v>
      </c>
      <c r="AM520" s="5">
        <v>5764</v>
      </c>
      <c r="AN520" s="4" t="s">
        <v>124</v>
      </c>
    </row>
    <row r="521" spans="1:42" x14ac:dyDescent="0.25">
      <c r="A521" s="3">
        <v>4604923</v>
      </c>
      <c r="B521" s="3" t="s">
        <v>901</v>
      </c>
      <c r="C521" s="3" t="s">
        <v>1278</v>
      </c>
      <c r="D521" s="3">
        <v>10004732</v>
      </c>
      <c r="E521" s="4">
        <v>4534274</v>
      </c>
      <c r="F521" s="3" t="s">
        <v>49</v>
      </c>
      <c r="G521" s="4" t="s">
        <v>1909</v>
      </c>
      <c r="H521" s="4" t="s">
        <v>1910</v>
      </c>
      <c r="I521" s="5">
        <v>62696.7</v>
      </c>
      <c r="J521" s="3" t="s">
        <v>492</v>
      </c>
      <c r="K521" s="3" t="s">
        <v>77</v>
      </c>
      <c r="L521" s="3" t="s">
        <v>196</v>
      </c>
      <c r="M521" s="4" t="s">
        <v>1910</v>
      </c>
      <c r="N521" s="3" t="s">
        <v>25</v>
      </c>
      <c r="Y521" s="4" t="s">
        <v>1911</v>
      </c>
      <c r="Z521" s="4" t="s">
        <v>1911</v>
      </c>
      <c r="AD521" s="3" t="s">
        <v>500</v>
      </c>
      <c r="AE521" s="3">
        <v>1000</v>
      </c>
      <c r="AI521" s="4" t="s">
        <v>1912</v>
      </c>
      <c r="AJ521" s="4" t="s">
        <v>1912</v>
      </c>
      <c r="AL521" s="4">
        <v>141880</v>
      </c>
      <c r="AM521" s="5">
        <v>62696.7</v>
      </c>
      <c r="AN521" s="4" t="s">
        <v>124</v>
      </c>
      <c r="AO521" s="4">
        <v>99</v>
      </c>
      <c r="AP521" s="4">
        <v>80101504</v>
      </c>
    </row>
    <row r="522" spans="1:42" x14ac:dyDescent="0.25">
      <c r="A522" s="3">
        <v>4604925</v>
      </c>
      <c r="B522" s="3" t="s">
        <v>510</v>
      </c>
      <c r="C522" s="3" t="s">
        <v>1278</v>
      </c>
      <c r="D522" s="3">
        <v>10004748</v>
      </c>
      <c r="E522" s="4">
        <v>4534276</v>
      </c>
      <c r="F522" s="3" t="s">
        <v>49</v>
      </c>
      <c r="G522" s="4" t="s">
        <v>1913</v>
      </c>
      <c r="I522" s="5">
        <v>9500</v>
      </c>
      <c r="J522" s="3" t="s">
        <v>510</v>
      </c>
      <c r="K522" s="3" t="s">
        <v>77</v>
      </c>
      <c r="L522" s="3" t="s">
        <v>196</v>
      </c>
      <c r="M522" s="4" t="s">
        <v>1914</v>
      </c>
      <c r="N522" s="3" t="s">
        <v>25</v>
      </c>
      <c r="Y522" s="4" t="s">
        <v>179</v>
      </c>
      <c r="Z522" s="4" t="s">
        <v>179</v>
      </c>
      <c r="AD522" s="3" t="s">
        <v>172</v>
      </c>
      <c r="AE522" s="3">
        <v>1000</v>
      </c>
      <c r="AI522" s="4" t="s">
        <v>182</v>
      </c>
      <c r="AJ522" s="4" t="s">
        <v>182</v>
      </c>
      <c r="AL522" s="4">
        <v>140741</v>
      </c>
      <c r="AM522" s="5">
        <v>9500</v>
      </c>
      <c r="AN522" s="4" t="s">
        <v>124</v>
      </c>
    </row>
    <row r="523" spans="1:42" x14ac:dyDescent="0.25">
      <c r="A523" s="3">
        <v>4604927</v>
      </c>
      <c r="B523" s="3" t="s">
        <v>510</v>
      </c>
      <c r="C523" s="3" t="s">
        <v>1278</v>
      </c>
      <c r="D523" s="3">
        <v>10004747</v>
      </c>
      <c r="E523" s="4">
        <v>4534278</v>
      </c>
      <c r="F523" s="3" t="s">
        <v>49</v>
      </c>
      <c r="G523" s="4" t="s">
        <v>453</v>
      </c>
      <c r="H523" s="4" t="s">
        <v>1915</v>
      </c>
      <c r="I523" s="5">
        <v>11750</v>
      </c>
      <c r="J523" s="3" t="s">
        <v>510</v>
      </c>
      <c r="K523" s="3" t="s">
        <v>77</v>
      </c>
      <c r="L523" s="3" t="s">
        <v>196</v>
      </c>
      <c r="M523" s="4" t="s">
        <v>1915</v>
      </c>
      <c r="N523" s="3" t="s">
        <v>25</v>
      </c>
      <c r="Y523" s="4" t="s">
        <v>179</v>
      </c>
      <c r="Z523" s="4" t="s">
        <v>179</v>
      </c>
      <c r="AD523" s="3" t="s">
        <v>510</v>
      </c>
      <c r="AE523" s="3">
        <v>1000</v>
      </c>
      <c r="AI523" s="4" t="s">
        <v>182</v>
      </c>
      <c r="AJ523" s="4" t="s">
        <v>182</v>
      </c>
      <c r="AL523" s="4">
        <v>47630</v>
      </c>
      <c r="AM523" s="5">
        <v>11750</v>
      </c>
      <c r="AN523" s="4" t="s">
        <v>124</v>
      </c>
      <c r="AO523" s="4">
        <v>99</v>
      </c>
      <c r="AP523" s="4">
        <v>86000000</v>
      </c>
    </row>
    <row r="524" spans="1:42" x14ac:dyDescent="0.25">
      <c r="A524" s="3">
        <v>4604936</v>
      </c>
      <c r="B524" s="3" t="s">
        <v>1903</v>
      </c>
      <c r="C524" s="3" t="s">
        <v>1278</v>
      </c>
      <c r="D524" s="3">
        <v>10004750</v>
      </c>
      <c r="E524" s="4">
        <v>4534287</v>
      </c>
      <c r="F524" s="3" t="s">
        <v>49</v>
      </c>
      <c r="G524" s="4" t="s">
        <v>1916</v>
      </c>
      <c r="H524" s="4" t="s">
        <v>1917</v>
      </c>
      <c r="I524" s="5">
        <v>18000</v>
      </c>
      <c r="J524" s="3" t="s">
        <v>1903</v>
      </c>
      <c r="K524" s="3" t="s">
        <v>77</v>
      </c>
      <c r="L524" s="3" t="s">
        <v>196</v>
      </c>
      <c r="M524" s="4" t="s">
        <v>1917</v>
      </c>
      <c r="N524" s="3" t="s">
        <v>25</v>
      </c>
      <c r="O524" s="3" t="s">
        <v>139</v>
      </c>
      <c r="P524" s="4" t="s">
        <v>282</v>
      </c>
      <c r="Y524" s="4" t="s">
        <v>1176</v>
      </c>
      <c r="Z524" s="4" t="s">
        <v>1176</v>
      </c>
      <c r="AD524" s="3" t="s">
        <v>369</v>
      </c>
      <c r="AE524" s="3">
        <v>1000</v>
      </c>
      <c r="AI524" s="4" t="s">
        <v>1178</v>
      </c>
      <c r="AJ524" s="4" t="s">
        <v>1178</v>
      </c>
      <c r="AK524" s="3" t="s">
        <v>286</v>
      </c>
      <c r="AL524" s="4">
        <v>141887</v>
      </c>
      <c r="AM524" s="5">
        <v>18000</v>
      </c>
      <c r="AN524" s="4" t="s">
        <v>124</v>
      </c>
      <c r="AO524" s="4">
        <v>99</v>
      </c>
      <c r="AP524" s="4">
        <v>80100000</v>
      </c>
    </row>
    <row r="525" spans="1:42" x14ac:dyDescent="0.25">
      <c r="A525" s="3">
        <v>4604942</v>
      </c>
      <c r="B525" s="3" t="s">
        <v>513</v>
      </c>
      <c r="C525" s="3" t="s">
        <v>1278</v>
      </c>
      <c r="D525" s="3">
        <v>10004759</v>
      </c>
      <c r="E525" s="4">
        <v>4534293</v>
      </c>
      <c r="F525" s="3" t="s">
        <v>49</v>
      </c>
      <c r="G525" s="4" t="s">
        <v>1918</v>
      </c>
      <c r="H525" s="4" t="s">
        <v>1919</v>
      </c>
      <c r="I525" s="5">
        <v>105050</v>
      </c>
      <c r="J525" s="3" t="s">
        <v>513</v>
      </c>
      <c r="K525" s="3" t="s">
        <v>77</v>
      </c>
      <c r="L525" s="3" t="s">
        <v>196</v>
      </c>
      <c r="M525" s="4" t="s">
        <v>1919</v>
      </c>
      <c r="N525" s="3" t="s">
        <v>25</v>
      </c>
      <c r="Y525" s="4" t="s">
        <v>179</v>
      </c>
      <c r="Z525" s="4" t="s">
        <v>179</v>
      </c>
      <c r="AD525" s="3" t="s">
        <v>287</v>
      </c>
      <c r="AE525" s="3">
        <v>1000</v>
      </c>
      <c r="AI525" s="4" t="s">
        <v>182</v>
      </c>
      <c r="AJ525" s="4" t="s">
        <v>182</v>
      </c>
      <c r="AL525" s="4">
        <v>141891</v>
      </c>
      <c r="AM525" s="5">
        <v>105050</v>
      </c>
      <c r="AN525" s="4" t="s">
        <v>124</v>
      </c>
      <c r="AO525" s="4">
        <v>98</v>
      </c>
      <c r="AP525" s="4">
        <v>80101504</v>
      </c>
    </row>
    <row r="526" spans="1:42" x14ac:dyDescent="0.25">
      <c r="A526" s="3">
        <v>4604944</v>
      </c>
      <c r="B526" s="3" t="s">
        <v>510</v>
      </c>
      <c r="C526" s="3" t="s">
        <v>1278</v>
      </c>
      <c r="D526" s="3">
        <v>10004740</v>
      </c>
      <c r="E526" s="4">
        <v>4534295</v>
      </c>
      <c r="F526" s="3" t="s">
        <v>49</v>
      </c>
      <c r="G526" s="4" t="s">
        <v>1744</v>
      </c>
      <c r="H526" s="4" t="s">
        <v>1920</v>
      </c>
      <c r="I526" s="5">
        <v>85410.7</v>
      </c>
      <c r="J526" s="3" t="s">
        <v>500</v>
      </c>
      <c r="K526" s="3" t="s">
        <v>77</v>
      </c>
      <c r="L526" s="3" t="s">
        <v>119</v>
      </c>
      <c r="M526" s="4" t="s">
        <v>1920</v>
      </c>
      <c r="N526" s="3" t="s">
        <v>56</v>
      </c>
      <c r="O526" s="3" t="s">
        <v>139</v>
      </c>
      <c r="P526" s="4" t="s">
        <v>140</v>
      </c>
      <c r="Y526" s="4" t="s">
        <v>405</v>
      </c>
      <c r="Z526" s="4" t="s">
        <v>405</v>
      </c>
      <c r="AA526" s="4" t="s">
        <v>1284</v>
      </c>
      <c r="AB526" s="3" t="s">
        <v>1921</v>
      </c>
      <c r="AC526" s="3" t="s">
        <v>1286</v>
      </c>
      <c r="AD526" s="3" t="s">
        <v>353</v>
      </c>
      <c r="AE526" s="3">
        <v>1000</v>
      </c>
      <c r="AI526" s="4" t="s">
        <v>408</v>
      </c>
      <c r="AJ526" s="4" t="s">
        <v>408</v>
      </c>
      <c r="AK526" s="3" t="s">
        <v>143</v>
      </c>
      <c r="AL526" s="4">
        <v>140381</v>
      </c>
      <c r="AM526" s="5">
        <v>85410.7</v>
      </c>
      <c r="AN526" s="4" t="s">
        <v>124</v>
      </c>
      <c r="AO526" s="4">
        <v>99</v>
      </c>
      <c r="AP526" s="4">
        <v>80101507</v>
      </c>
    </row>
    <row r="527" spans="1:42" x14ac:dyDescent="0.25">
      <c r="A527" s="3">
        <v>4604945</v>
      </c>
      <c r="B527" s="3" t="s">
        <v>1159</v>
      </c>
      <c r="C527" s="3" t="s">
        <v>1278</v>
      </c>
      <c r="D527" s="3">
        <v>10004765</v>
      </c>
      <c r="E527" s="4">
        <v>4534296</v>
      </c>
      <c r="F527" s="3" t="s">
        <v>49</v>
      </c>
      <c r="G527" s="4" t="s">
        <v>1922</v>
      </c>
      <c r="H527" s="4" t="s">
        <v>1923</v>
      </c>
      <c r="I527" s="5">
        <v>559481.12</v>
      </c>
      <c r="J527" s="3" t="s">
        <v>1924</v>
      </c>
      <c r="K527" s="3" t="s">
        <v>1925</v>
      </c>
      <c r="L527" s="3" t="s">
        <v>119</v>
      </c>
      <c r="M527" s="4" t="s">
        <v>1923</v>
      </c>
      <c r="N527" s="3" t="s">
        <v>56</v>
      </c>
      <c r="Y527" s="4" t="s">
        <v>1926</v>
      </c>
      <c r="Z527" s="4" t="s">
        <v>1785</v>
      </c>
      <c r="AA527" s="4" t="s">
        <v>1284</v>
      </c>
      <c r="AB527" s="3" t="s">
        <v>1927</v>
      </c>
      <c r="AC527" s="3" t="s">
        <v>1286</v>
      </c>
      <c r="AD527" s="3" t="s">
        <v>1159</v>
      </c>
      <c r="AE527" s="3">
        <v>1000</v>
      </c>
      <c r="AI527" s="4" t="s">
        <v>1928</v>
      </c>
      <c r="AJ527" s="4" t="s">
        <v>1787</v>
      </c>
      <c r="AL527" s="4">
        <v>42423</v>
      </c>
      <c r="AM527" s="5">
        <v>559481.12</v>
      </c>
      <c r="AN527" s="4" t="s">
        <v>124</v>
      </c>
      <c r="AO527" s="4">
        <v>98</v>
      </c>
      <c r="AP527" s="4">
        <v>80101600</v>
      </c>
    </row>
    <row r="528" spans="1:42" x14ac:dyDescent="0.25">
      <c r="A528" s="3">
        <v>4604946</v>
      </c>
      <c r="B528" s="3" t="s">
        <v>404</v>
      </c>
      <c r="C528" s="3" t="s">
        <v>1278</v>
      </c>
      <c r="D528" s="3">
        <v>10004763</v>
      </c>
      <c r="E528" s="4">
        <v>4534297</v>
      </c>
      <c r="F528" s="3" t="s">
        <v>49</v>
      </c>
      <c r="G528" s="4" t="s">
        <v>1085</v>
      </c>
      <c r="H528" s="4" t="s">
        <v>1929</v>
      </c>
      <c r="I528" s="5">
        <v>590000</v>
      </c>
      <c r="J528" s="3" t="s">
        <v>404</v>
      </c>
      <c r="K528" s="3" t="s">
        <v>77</v>
      </c>
      <c r="L528" s="3" t="s">
        <v>1046</v>
      </c>
      <c r="M528" s="4" t="s">
        <v>1929</v>
      </c>
      <c r="N528" s="3" t="s">
        <v>56</v>
      </c>
      <c r="Y528" s="4" t="s">
        <v>1930</v>
      </c>
      <c r="Z528" s="4" t="s">
        <v>1309</v>
      </c>
      <c r="AA528" s="4" t="s">
        <v>1474</v>
      </c>
      <c r="AB528" s="3" t="s">
        <v>1474</v>
      </c>
      <c r="AC528" s="3" t="s">
        <v>1476</v>
      </c>
      <c r="AD528" s="3" t="s">
        <v>422</v>
      </c>
      <c r="AE528" s="3">
        <v>1000</v>
      </c>
      <c r="AI528" s="4" t="s">
        <v>1931</v>
      </c>
      <c r="AJ528" s="4" t="s">
        <v>1313</v>
      </c>
      <c r="AL528" s="4">
        <v>30502</v>
      </c>
      <c r="AM528" s="5">
        <v>590000</v>
      </c>
      <c r="AN528" s="4" t="s">
        <v>124</v>
      </c>
      <c r="AO528" s="4">
        <v>99</v>
      </c>
      <c r="AP528" s="4">
        <v>80101507</v>
      </c>
    </row>
    <row r="529" spans="1:42" x14ac:dyDescent="0.25">
      <c r="A529" s="3">
        <v>4604947</v>
      </c>
      <c r="B529" s="3" t="s">
        <v>1924</v>
      </c>
      <c r="C529" s="3" t="s">
        <v>1278</v>
      </c>
      <c r="D529" s="3">
        <v>10004768</v>
      </c>
      <c r="E529" s="4">
        <v>4534298</v>
      </c>
      <c r="F529" s="3" t="s">
        <v>49</v>
      </c>
      <c r="G529" s="4" t="s">
        <v>174</v>
      </c>
      <c r="I529" s="5">
        <v>1443.76</v>
      </c>
      <c r="J529" s="3" t="s">
        <v>498</v>
      </c>
      <c r="K529" s="3" t="s">
        <v>77</v>
      </c>
      <c r="L529" s="3" t="s">
        <v>119</v>
      </c>
      <c r="M529" s="4" t="s">
        <v>1932</v>
      </c>
      <c r="N529" s="3" t="s">
        <v>56</v>
      </c>
      <c r="Y529" s="4" t="s">
        <v>178</v>
      </c>
      <c r="Z529" s="4" t="s">
        <v>178</v>
      </c>
      <c r="AD529" s="3" t="s">
        <v>1924</v>
      </c>
      <c r="AE529" s="3">
        <v>1000</v>
      </c>
      <c r="AI529" s="4" t="s">
        <v>181</v>
      </c>
      <c r="AJ529" s="4" t="s">
        <v>181</v>
      </c>
      <c r="AL529" s="4">
        <v>40476</v>
      </c>
      <c r="AM529" s="5">
        <v>1443.76</v>
      </c>
      <c r="AN529" s="4" t="s">
        <v>124</v>
      </c>
    </row>
    <row r="530" spans="1:42" x14ac:dyDescent="0.25">
      <c r="A530" s="3">
        <v>4604948</v>
      </c>
      <c r="B530" s="3" t="s">
        <v>1924</v>
      </c>
      <c r="C530" s="3" t="s">
        <v>1278</v>
      </c>
      <c r="D530" s="3">
        <v>10004767</v>
      </c>
      <c r="E530" s="4">
        <v>4534299</v>
      </c>
      <c r="F530" s="3" t="s">
        <v>49</v>
      </c>
      <c r="G530" s="4" t="s">
        <v>1174</v>
      </c>
      <c r="H530" s="4" t="s">
        <v>1933</v>
      </c>
      <c r="I530" s="5">
        <v>72380</v>
      </c>
      <c r="J530" s="3" t="s">
        <v>1924</v>
      </c>
      <c r="K530" s="3" t="s">
        <v>374</v>
      </c>
      <c r="L530" s="3" t="s">
        <v>196</v>
      </c>
      <c r="M530" s="4" t="s">
        <v>1933</v>
      </c>
      <c r="N530" s="3" t="s">
        <v>25</v>
      </c>
      <c r="Y530" s="4" t="s">
        <v>1934</v>
      </c>
      <c r="Z530" s="4" t="s">
        <v>1934</v>
      </c>
      <c r="AD530" s="3" t="s">
        <v>1924</v>
      </c>
      <c r="AE530" s="3">
        <v>1000</v>
      </c>
      <c r="AI530" s="4" t="s">
        <v>1935</v>
      </c>
      <c r="AJ530" s="4" t="s">
        <v>1935</v>
      </c>
      <c r="AL530" s="4">
        <v>42811</v>
      </c>
      <c r="AM530" s="5">
        <v>72380</v>
      </c>
      <c r="AN530" s="4" t="s">
        <v>124</v>
      </c>
      <c r="AO530" s="4">
        <v>99</v>
      </c>
      <c r="AP530" s="4">
        <v>80100000</v>
      </c>
    </row>
    <row r="531" spans="1:42" x14ac:dyDescent="0.25">
      <c r="A531" s="3">
        <v>4604950</v>
      </c>
      <c r="B531" s="3" t="s">
        <v>1924</v>
      </c>
      <c r="C531" s="3" t="s">
        <v>1278</v>
      </c>
      <c r="D531" s="3">
        <v>10004766</v>
      </c>
      <c r="E531" s="4">
        <v>4534301</v>
      </c>
      <c r="F531" s="3" t="s">
        <v>49</v>
      </c>
      <c r="G531" s="4" t="s">
        <v>1936</v>
      </c>
      <c r="H531" s="4" t="s">
        <v>1937</v>
      </c>
      <c r="I531" s="5">
        <v>10752.5</v>
      </c>
      <c r="J531" s="3" t="s">
        <v>1924</v>
      </c>
      <c r="K531" s="3" t="s">
        <v>1938</v>
      </c>
      <c r="L531" s="3" t="s">
        <v>196</v>
      </c>
      <c r="M531" s="4" t="s">
        <v>1937</v>
      </c>
      <c r="N531" s="3" t="s">
        <v>25</v>
      </c>
      <c r="Y531" s="4" t="s">
        <v>1934</v>
      </c>
      <c r="Z531" s="4" t="s">
        <v>1934</v>
      </c>
      <c r="AD531" s="3" t="s">
        <v>1924</v>
      </c>
      <c r="AE531" s="3">
        <v>1000</v>
      </c>
      <c r="AI531" s="4" t="s">
        <v>1935</v>
      </c>
      <c r="AJ531" s="4" t="s">
        <v>1935</v>
      </c>
      <c r="AL531" s="4">
        <v>141795</v>
      </c>
      <c r="AM531" s="5">
        <v>10752.5</v>
      </c>
      <c r="AN531" s="4" t="s">
        <v>124</v>
      </c>
      <c r="AO531" s="4">
        <v>99</v>
      </c>
      <c r="AP531" s="4">
        <v>80100000</v>
      </c>
    </row>
    <row r="532" spans="1:42" x14ac:dyDescent="0.25">
      <c r="A532" s="3">
        <v>4604951</v>
      </c>
      <c r="B532" s="3" t="s">
        <v>53</v>
      </c>
      <c r="C532" s="3" t="s">
        <v>1278</v>
      </c>
      <c r="D532" s="3">
        <v>10004760</v>
      </c>
      <c r="E532" s="4">
        <v>4534302</v>
      </c>
      <c r="F532" s="3" t="s">
        <v>49</v>
      </c>
      <c r="G532" s="4" t="s">
        <v>1053</v>
      </c>
      <c r="H532" s="4" t="s">
        <v>1939</v>
      </c>
      <c r="I532" s="5">
        <v>44989.95</v>
      </c>
      <c r="J532" s="3" t="s">
        <v>53</v>
      </c>
      <c r="K532" s="3" t="s">
        <v>488</v>
      </c>
      <c r="L532" s="3" t="s">
        <v>119</v>
      </c>
      <c r="M532" s="4" t="s">
        <v>1940</v>
      </c>
      <c r="N532" s="3" t="s">
        <v>56</v>
      </c>
      <c r="Y532" s="4" t="s">
        <v>1056</v>
      </c>
      <c r="Z532" s="4" t="s">
        <v>1056</v>
      </c>
      <c r="AA532" s="4" t="s">
        <v>1057</v>
      </c>
      <c r="AB532" s="3" t="s">
        <v>1057</v>
      </c>
      <c r="AC532" s="3" t="s">
        <v>1340</v>
      </c>
      <c r="AD532" s="3" t="s">
        <v>53</v>
      </c>
      <c r="AE532" s="3">
        <v>1000</v>
      </c>
      <c r="AI532" s="4" t="s">
        <v>1058</v>
      </c>
      <c r="AJ532" s="4" t="s">
        <v>1058</v>
      </c>
      <c r="AL532" s="4">
        <v>140248</v>
      </c>
      <c r="AM532" s="5">
        <v>44989.95</v>
      </c>
      <c r="AN532" s="4" t="s">
        <v>124</v>
      </c>
      <c r="AO532" s="4">
        <v>99</v>
      </c>
      <c r="AP532" s="4">
        <v>43211501</v>
      </c>
    </row>
    <row r="533" spans="1:42" x14ac:dyDescent="0.25">
      <c r="A533" s="3">
        <v>4604952</v>
      </c>
      <c r="B533" s="3" t="s">
        <v>498</v>
      </c>
      <c r="C533" s="3" t="s">
        <v>1278</v>
      </c>
      <c r="D533" s="3">
        <v>10004771</v>
      </c>
      <c r="E533" s="4">
        <v>4534303</v>
      </c>
      <c r="F533" s="3" t="s">
        <v>49</v>
      </c>
      <c r="G533" s="4" t="s">
        <v>325</v>
      </c>
      <c r="I533" s="4">
        <v>746.15</v>
      </c>
      <c r="J533" s="3" t="s">
        <v>1266</v>
      </c>
      <c r="K533" s="3" t="s">
        <v>77</v>
      </c>
      <c r="L533" s="3" t="s">
        <v>119</v>
      </c>
      <c r="M533" s="4" t="s">
        <v>1941</v>
      </c>
      <c r="N533" s="3" t="s">
        <v>56</v>
      </c>
      <c r="Y533" s="4" t="s">
        <v>178</v>
      </c>
      <c r="Z533" s="4" t="s">
        <v>178</v>
      </c>
      <c r="AD533" s="3" t="s">
        <v>498</v>
      </c>
      <c r="AE533" s="3">
        <v>1000</v>
      </c>
      <c r="AI533" s="4" t="s">
        <v>181</v>
      </c>
      <c r="AJ533" s="4" t="s">
        <v>181</v>
      </c>
      <c r="AL533" s="4">
        <v>40391</v>
      </c>
      <c r="AM533" s="4">
        <v>746.15</v>
      </c>
      <c r="AN533" s="4" t="s">
        <v>124</v>
      </c>
    </row>
    <row r="534" spans="1:42" x14ac:dyDescent="0.25">
      <c r="A534" s="3">
        <v>4604954</v>
      </c>
      <c r="B534" s="3" t="s">
        <v>302</v>
      </c>
      <c r="C534" s="3" t="s">
        <v>1278</v>
      </c>
      <c r="D534" s="3">
        <v>10004773</v>
      </c>
      <c r="E534" s="4">
        <v>4534305</v>
      </c>
      <c r="F534" s="3" t="s">
        <v>49</v>
      </c>
      <c r="G534" s="4" t="s">
        <v>1427</v>
      </c>
      <c r="H534" s="4" t="s">
        <v>1942</v>
      </c>
      <c r="I534" s="5">
        <v>47500</v>
      </c>
      <c r="J534" s="3" t="s">
        <v>1266</v>
      </c>
      <c r="K534" s="3" t="s">
        <v>302</v>
      </c>
      <c r="L534" s="3" t="s">
        <v>196</v>
      </c>
      <c r="M534" s="4" t="s">
        <v>1942</v>
      </c>
      <c r="N534" s="3" t="s">
        <v>25</v>
      </c>
      <c r="Y534" s="4" t="s">
        <v>267</v>
      </c>
      <c r="Z534" s="4" t="s">
        <v>267</v>
      </c>
      <c r="AD534" s="3" t="s">
        <v>527</v>
      </c>
      <c r="AE534" s="3">
        <v>1000</v>
      </c>
      <c r="AI534" s="4" t="s">
        <v>270</v>
      </c>
      <c r="AJ534" s="4" t="s">
        <v>270</v>
      </c>
      <c r="AL534" s="4">
        <v>141764</v>
      </c>
      <c r="AM534" s="5">
        <v>47500</v>
      </c>
      <c r="AN534" s="4" t="s">
        <v>124</v>
      </c>
      <c r="AO534" s="4">
        <v>99</v>
      </c>
      <c r="AP534" s="4">
        <v>80110000</v>
      </c>
    </row>
    <row r="535" spans="1:42" x14ac:dyDescent="0.25">
      <c r="A535" s="3">
        <v>4604957</v>
      </c>
      <c r="B535" s="3" t="s">
        <v>1943</v>
      </c>
      <c r="C535" s="3" t="s">
        <v>1278</v>
      </c>
      <c r="D535" s="3">
        <v>10004774</v>
      </c>
      <c r="E535" s="4">
        <v>4534308</v>
      </c>
      <c r="F535" s="3" t="s">
        <v>49</v>
      </c>
      <c r="G535" s="4" t="s">
        <v>1405</v>
      </c>
      <c r="H535" s="4" t="s">
        <v>1294</v>
      </c>
      <c r="I535" s="5">
        <v>163206.47</v>
      </c>
      <c r="J535" s="3" t="s">
        <v>1944</v>
      </c>
      <c r="K535" s="3" t="s">
        <v>77</v>
      </c>
      <c r="L535" s="3" t="s">
        <v>119</v>
      </c>
      <c r="M535" s="4" t="s">
        <v>1945</v>
      </c>
      <c r="N535" s="3" t="s">
        <v>56</v>
      </c>
      <c r="Y535" s="4" t="s">
        <v>1056</v>
      </c>
      <c r="Z535" s="4" t="s">
        <v>1056</v>
      </c>
      <c r="AA535" s="4" t="s">
        <v>1474</v>
      </c>
      <c r="AB535" s="3" t="s">
        <v>1946</v>
      </c>
      <c r="AC535" s="3" t="s">
        <v>1476</v>
      </c>
      <c r="AD535" s="3" t="s">
        <v>711</v>
      </c>
      <c r="AE535" s="3">
        <v>1000</v>
      </c>
      <c r="AI535" s="4" t="s">
        <v>1058</v>
      </c>
      <c r="AJ535" s="4" t="s">
        <v>1058</v>
      </c>
      <c r="AL535" s="4">
        <v>48469</v>
      </c>
      <c r="AM535" s="5">
        <v>163206.47</v>
      </c>
      <c r="AN535" s="4" t="s">
        <v>124</v>
      </c>
      <c r="AO535" s="4">
        <v>99</v>
      </c>
      <c r="AP535" s="4">
        <v>43230000</v>
      </c>
    </row>
    <row r="536" spans="1:42" x14ac:dyDescent="0.25">
      <c r="A536" s="3">
        <v>4604958</v>
      </c>
      <c r="B536" s="3" t="s">
        <v>527</v>
      </c>
      <c r="C536" s="3" t="s">
        <v>1278</v>
      </c>
      <c r="D536" s="3">
        <v>10004777</v>
      </c>
      <c r="E536" s="4">
        <v>4534309</v>
      </c>
      <c r="F536" s="3" t="s">
        <v>49</v>
      </c>
      <c r="G536" s="4" t="s">
        <v>1261</v>
      </c>
      <c r="H536" s="4" t="s">
        <v>1947</v>
      </c>
      <c r="I536" s="5">
        <v>20000</v>
      </c>
      <c r="J536" s="3" t="s">
        <v>1943</v>
      </c>
      <c r="K536" s="3" t="s">
        <v>77</v>
      </c>
      <c r="L536" s="3" t="s">
        <v>119</v>
      </c>
      <c r="M536" s="4" t="s">
        <v>1947</v>
      </c>
      <c r="N536" s="3" t="s">
        <v>25</v>
      </c>
      <c r="Y536" s="4" t="s">
        <v>178</v>
      </c>
      <c r="Z536" s="4" t="s">
        <v>178</v>
      </c>
      <c r="AA536" s="4" t="s">
        <v>1265</v>
      </c>
      <c r="AD536" s="3" t="s">
        <v>1948</v>
      </c>
      <c r="AE536" s="3">
        <v>1000</v>
      </c>
      <c r="AI536" s="4" t="s">
        <v>181</v>
      </c>
      <c r="AJ536" s="4" t="s">
        <v>181</v>
      </c>
      <c r="AL536" s="4">
        <v>43889</v>
      </c>
      <c r="AM536" s="5">
        <v>20000</v>
      </c>
      <c r="AN536" s="4" t="s">
        <v>124</v>
      </c>
      <c r="AO536" s="4">
        <v>99</v>
      </c>
      <c r="AP536" s="4">
        <v>80111700</v>
      </c>
    </row>
    <row r="537" spans="1:42" x14ac:dyDescent="0.25">
      <c r="A537" s="3">
        <v>4604959</v>
      </c>
      <c r="B537" s="3" t="s">
        <v>1944</v>
      </c>
      <c r="C537" s="3" t="s">
        <v>1278</v>
      </c>
      <c r="D537" s="3">
        <v>10004781</v>
      </c>
      <c r="E537" s="4">
        <v>4534310</v>
      </c>
      <c r="F537" s="3" t="s">
        <v>49</v>
      </c>
      <c r="G537" s="4" t="s">
        <v>1949</v>
      </c>
      <c r="H537" s="4" t="s">
        <v>1950</v>
      </c>
      <c r="I537" s="5">
        <v>26150</v>
      </c>
      <c r="J537" s="3" t="s">
        <v>1944</v>
      </c>
      <c r="K537" s="3" t="s">
        <v>77</v>
      </c>
      <c r="L537" s="3" t="s">
        <v>196</v>
      </c>
      <c r="M537" s="4" t="s">
        <v>1950</v>
      </c>
      <c r="N537" s="3" t="s">
        <v>25</v>
      </c>
      <c r="Y537" s="4" t="s">
        <v>179</v>
      </c>
      <c r="Z537" s="4" t="s">
        <v>179</v>
      </c>
      <c r="AD537" s="3" t="s">
        <v>1948</v>
      </c>
      <c r="AE537" s="3">
        <v>1000</v>
      </c>
      <c r="AI537" s="4" t="s">
        <v>182</v>
      </c>
      <c r="AJ537" s="4" t="s">
        <v>182</v>
      </c>
      <c r="AL537" s="4">
        <v>31110</v>
      </c>
      <c r="AM537" s="5">
        <v>26150</v>
      </c>
      <c r="AN537" s="4" t="s">
        <v>124</v>
      </c>
      <c r="AO537" s="4">
        <v>99</v>
      </c>
      <c r="AP537" s="4">
        <v>80110000</v>
      </c>
    </row>
    <row r="538" spans="1:42" x14ac:dyDescent="0.25">
      <c r="A538" s="3">
        <v>4604960</v>
      </c>
      <c r="B538" s="3" t="s">
        <v>1266</v>
      </c>
      <c r="C538" s="3" t="s">
        <v>1278</v>
      </c>
      <c r="D538" s="3">
        <v>10004780</v>
      </c>
      <c r="E538" s="4">
        <v>4534311</v>
      </c>
      <c r="F538" s="3" t="s">
        <v>49</v>
      </c>
      <c r="G538" s="4" t="s">
        <v>1951</v>
      </c>
      <c r="H538" s="4" t="s">
        <v>1952</v>
      </c>
      <c r="I538" s="5">
        <v>38392.199999999997</v>
      </c>
      <c r="J538" s="3" t="s">
        <v>292</v>
      </c>
      <c r="K538" s="3" t="s">
        <v>302</v>
      </c>
      <c r="L538" s="3" t="s">
        <v>119</v>
      </c>
      <c r="M538" s="4" t="s">
        <v>1953</v>
      </c>
      <c r="N538" s="3" t="s">
        <v>56</v>
      </c>
      <c r="Y538" s="4" t="s">
        <v>1079</v>
      </c>
      <c r="Z538" s="4" t="s">
        <v>1090</v>
      </c>
      <c r="AA538" s="4" t="s">
        <v>1095</v>
      </c>
      <c r="AB538" s="3" t="s">
        <v>1954</v>
      </c>
      <c r="AC538" s="3" t="s">
        <v>1097</v>
      </c>
      <c r="AD538" s="3" t="s">
        <v>359</v>
      </c>
      <c r="AE538" s="3">
        <v>1000</v>
      </c>
      <c r="AI538" s="4" t="s">
        <v>1083</v>
      </c>
      <c r="AJ538" s="4" t="s">
        <v>1091</v>
      </c>
      <c r="AL538" s="4">
        <v>40413</v>
      </c>
      <c r="AM538" s="5">
        <v>38392.199999999997</v>
      </c>
      <c r="AN538" s="4" t="s">
        <v>124</v>
      </c>
      <c r="AO538" s="4">
        <v>99</v>
      </c>
      <c r="AP538" s="4">
        <v>44100000</v>
      </c>
    </row>
    <row r="539" spans="1:42" x14ac:dyDescent="0.25">
      <c r="A539" s="3">
        <v>4604961</v>
      </c>
      <c r="B539" s="3" t="s">
        <v>485</v>
      </c>
      <c r="C539" s="3" t="s">
        <v>1278</v>
      </c>
      <c r="D539" s="3">
        <v>10004782</v>
      </c>
      <c r="E539" s="4">
        <v>4534312</v>
      </c>
      <c r="F539" s="3" t="s">
        <v>49</v>
      </c>
      <c r="G539" s="4" t="s">
        <v>1838</v>
      </c>
      <c r="H539" s="4" t="s">
        <v>1955</v>
      </c>
      <c r="I539" s="5">
        <v>13660.9</v>
      </c>
      <c r="J539" s="3" t="s">
        <v>485</v>
      </c>
      <c r="K539" s="3" t="s">
        <v>1956</v>
      </c>
      <c r="L539" s="3" t="s">
        <v>196</v>
      </c>
      <c r="M539" s="4" t="s">
        <v>1957</v>
      </c>
      <c r="N539" s="3" t="s">
        <v>25</v>
      </c>
      <c r="Y539" s="4" t="s">
        <v>1056</v>
      </c>
      <c r="Z539" s="4" t="s">
        <v>1056</v>
      </c>
      <c r="AD539" s="3" t="s">
        <v>1117</v>
      </c>
      <c r="AE539" s="3">
        <v>1000</v>
      </c>
      <c r="AI539" s="4" t="s">
        <v>1058</v>
      </c>
      <c r="AJ539" s="4" t="s">
        <v>1058</v>
      </c>
      <c r="AL539" s="4">
        <v>45852</v>
      </c>
      <c r="AM539" s="5">
        <v>13660.9</v>
      </c>
      <c r="AN539" s="4" t="s">
        <v>124</v>
      </c>
      <c r="AO539" s="4">
        <v>99</v>
      </c>
      <c r="AP539" s="4">
        <v>43230000</v>
      </c>
    </row>
    <row r="540" spans="1:42" x14ac:dyDescent="0.25">
      <c r="A540" s="3">
        <v>4604962</v>
      </c>
      <c r="B540" s="3" t="s">
        <v>1117</v>
      </c>
      <c r="C540" s="3" t="s">
        <v>1278</v>
      </c>
      <c r="D540" s="3">
        <v>10004783</v>
      </c>
      <c r="E540" s="4">
        <v>4534313</v>
      </c>
      <c r="F540" s="3" t="s">
        <v>49</v>
      </c>
      <c r="G540" s="4" t="s">
        <v>1053</v>
      </c>
      <c r="I540" s="5">
        <v>9500</v>
      </c>
      <c r="J540" s="3" t="s">
        <v>1117</v>
      </c>
      <c r="K540" s="3" t="s">
        <v>516</v>
      </c>
      <c r="L540" s="3" t="s">
        <v>119</v>
      </c>
      <c r="M540" s="4" t="s">
        <v>1958</v>
      </c>
      <c r="N540" s="3" t="s">
        <v>56</v>
      </c>
      <c r="Y540" s="4" t="s">
        <v>1056</v>
      </c>
      <c r="Z540" s="4" t="s">
        <v>1056</v>
      </c>
      <c r="AD540" s="3" t="s">
        <v>359</v>
      </c>
      <c r="AE540" s="3">
        <v>1000</v>
      </c>
      <c r="AI540" s="4" t="s">
        <v>1058</v>
      </c>
      <c r="AJ540" s="4" t="s">
        <v>1058</v>
      </c>
      <c r="AL540" s="4">
        <v>140248</v>
      </c>
      <c r="AM540" s="5">
        <v>9500</v>
      </c>
      <c r="AN540" s="4" t="s">
        <v>124</v>
      </c>
    </row>
    <row r="541" spans="1:42" x14ac:dyDescent="0.25">
      <c r="A541" s="3">
        <v>4604964</v>
      </c>
      <c r="B541" s="3" t="s">
        <v>1227</v>
      </c>
      <c r="C541" s="3" t="s">
        <v>1278</v>
      </c>
      <c r="D541" s="3">
        <v>10004784</v>
      </c>
      <c r="E541" s="4">
        <v>4534315</v>
      </c>
      <c r="F541" s="3" t="s">
        <v>49</v>
      </c>
      <c r="G541" s="4" t="s">
        <v>1357</v>
      </c>
      <c r="H541" s="4" t="s">
        <v>1595</v>
      </c>
      <c r="I541" s="5">
        <v>38500</v>
      </c>
      <c r="J541" s="3" t="s">
        <v>1227</v>
      </c>
      <c r="K541" s="3" t="s">
        <v>77</v>
      </c>
      <c r="L541" s="3" t="s">
        <v>196</v>
      </c>
      <c r="M541" s="4" t="s">
        <v>1595</v>
      </c>
      <c r="N541" s="3" t="s">
        <v>25</v>
      </c>
      <c r="Y541" s="4" t="s">
        <v>1959</v>
      </c>
      <c r="Z541" s="4" t="s">
        <v>1959</v>
      </c>
      <c r="AD541" s="3" t="s">
        <v>359</v>
      </c>
      <c r="AE541" s="3">
        <v>1000</v>
      </c>
      <c r="AI541" s="4" t="s">
        <v>1960</v>
      </c>
      <c r="AJ541" s="4" t="s">
        <v>1960</v>
      </c>
      <c r="AL541" s="4">
        <v>49941</v>
      </c>
      <c r="AM541" s="5">
        <v>38500</v>
      </c>
      <c r="AN541" s="4" t="s">
        <v>124</v>
      </c>
      <c r="AO541" s="4">
        <v>99</v>
      </c>
      <c r="AP541" s="4">
        <v>80101507</v>
      </c>
    </row>
    <row r="542" spans="1:42" x14ac:dyDescent="0.25">
      <c r="A542" s="3">
        <v>4604965</v>
      </c>
      <c r="B542" s="3" t="s">
        <v>1117</v>
      </c>
      <c r="C542" s="3" t="s">
        <v>1278</v>
      </c>
      <c r="D542" s="3">
        <v>10004661</v>
      </c>
      <c r="E542" s="4">
        <v>4534316</v>
      </c>
      <c r="F542" s="3" t="s">
        <v>49</v>
      </c>
      <c r="G542" s="4" t="s">
        <v>1818</v>
      </c>
      <c r="H542" s="4" t="s">
        <v>1961</v>
      </c>
      <c r="I542" s="5">
        <v>56595</v>
      </c>
      <c r="J542" s="3" t="s">
        <v>1269</v>
      </c>
      <c r="K542" s="3" t="s">
        <v>422</v>
      </c>
      <c r="L542" s="3" t="s">
        <v>119</v>
      </c>
      <c r="M542" s="4" t="s">
        <v>1962</v>
      </c>
      <c r="N542" s="3" t="s">
        <v>56</v>
      </c>
      <c r="Y542" s="4" t="s">
        <v>1056</v>
      </c>
      <c r="Z542" s="4" t="s">
        <v>1056</v>
      </c>
      <c r="AA542" s="4">
        <v>20000194</v>
      </c>
      <c r="AB542" s="3" t="s">
        <v>1821</v>
      </c>
      <c r="AC542" s="3" t="s">
        <v>1719</v>
      </c>
      <c r="AD542" s="3" t="s">
        <v>1117</v>
      </c>
      <c r="AE542" s="3">
        <v>1000</v>
      </c>
      <c r="AI542" s="4" t="s">
        <v>1058</v>
      </c>
      <c r="AJ542" s="4" t="s">
        <v>1058</v>
      </c>
      <c r="AL542" s="4">
        <v>44100</v>
      </c>
      <c r="AM542" s="5">
        <v>56595</v>
      </c>
      <c r="AN542" s="4" t="s">
        <v>124</v>
      </c>
      <c r="AO542" s="4">
        <v>99</v>
      </c>
      <c r="AP542" s="4">
        <v>81111900</v>
      </c>
    </row>
    <row r="543" spans="1:42" x14ac:dyDescent="0.25">
      <c r="A543" s="3">
        <v>4604966</v>
      </c>
      <c r="B543" s="3" t="s">
        <v>1161</v>
      </c>
      <c r="C543" s="3" t="s">
        <v>1278</v>
      </c>
      <c r="D543" s="3">
        <v>10004797</v>
      </c>
      <c r="E543" s="4">
        <v>4534317</v>
      </c>
      <c r="F543" s="3" t="s">
        <v>49</v>
      </c>
      <c r="G543" s="4" t="s">
        <v>271</v>
      </c>
      <c r="I543" s="5">
        <v>5060</v>
      </c>
      <c r="J543" s="3" t="s">
        <v>419</v>
      </c>
      <c r="K543" s="3" t="s">
        <v>504</v>
      </c>
      <c r="L543" s="3" t="s">
        <v>119</v>
      </c>
      <c r="M543" s="4" t="s">
        <v>1963</v>
      </c>
      <c r="N543" s="3" t="s">
        <v>25</v>
      </c>
      <c r="Y543" s="4" t="s">
        <v>178</v>
      </c>
      <c r="Z543" s="4" t="s">
        <v>178</v>
      </c>
      <c r="AD543" s="3" t="s">
        <v>439</v>
      </c>
      <c r="AE543" s="3">
        <v>1000</v>
      </c>
      <c r="AI543" s="4" t="s">
        <v>181</v>
      </c>
      <c r="AJ543" s="4" t="s">
        <v>181</v>
      </c>
      <c r="AL543" s="4">
        <v>46721</v>
      </c>
      <c r="AM543" s="5">
        <v>5060</v>
      </c>
      <c r="AN543" s="4" t="s">
        <v>124</v>
      </c>
    </row>
    <row r="544" spans="1:42" x14ac:dyDescent="0.25">
      <c r="A544" s="3">
        <v>4604968</v>
      </c>
      <c r="B544" s="3" t="s">
        <v>1964</v>
      </c>
      <c r="C544" s="3" t="s">
        <v>1278</v>
      </c>
      <c r="D544" s="3">
        <v>10004802</v>
      </c>
      <c r="E544" s="4">
        <v>4534319</v>
      </c>
      <c r="F544" s="3" t="s">
        <v>49</v>
      </c>
      <c r="G544" s="4" t="s">
        <v>1588</v>
      </c>
      <c r="I544" s="5">
        <v>1681.9</v>
      </c>
      <c r="J544" s="3" t="s">
        <v>1964</v>
      </c>
      <c r="K544" s="3" t="s">
        <v>53</v>
      </c>
      <c r="L544" s="3" t="s">
        <v>1046</v>
      </c>
      <c r="M544" s="4" t="s">
        <v>1965</v>
      </c>
      <c r="N544" s="3" t="s">
        <v>25</v>
      </c>
      <c r="Y544" s="4" t="s">
        <v>1966</v>
      </c>
      <c r="Z544" s="4" t="s">
        <v>1966</v>
      </c>
      <c r="AD544" s="3" t="s">
        <v>419</v>
      </c>
      <c r="AE544" s="3">
        <v>1000</v>
      </c>
      <c r="AI544" s="4" t="s">
        <v>1967</v>
      </c>
      <c r="AJ544" s="4" t="s">
        <v>1967</v>
      </c>
      <c r="AL544" s="4">
        <v>41005</v>
      </c>
      <c r="AM544" s="5">
        <v>1681.9</v>
      </c>
      <c r="AN544" s="4" t="s">
        <v>124</v>
      </c>
    </row>
    <row r="545" spans="1:42" x14ac:dyDescent="0.25">
      <c r="A545" s="3">
        <v>4604969</v>
      </c>
      <c r="B545" s="3" t="s">
        <v>516</v>
      </c>
      <c r="C545" s="3" t="s">
        <v>1278</v>
      </c>
      <c r="D545" s="3">
        <v>10004792</v>
      </c>
      <c r="E545" s="4">
        <v>4534320</v>
      </c>
      <c r="F545" s="3" t="s">
        <v>49</v>
      </c>
      <c r="G545" s="4" t="s">
        <v>1968</v>
      </c>
      <c r="I545" s="5">
        <v>7150</v>
      </c>
      <c r="J545" s="3" t="s">
        <v>516</v>
      </c>
      <c r="K545" s="3" t="s">
        <v>77</v>
      </c>
      <c r="L545" s="3" t="s">
        <v>196</v>
      </c>
      <c r="M545" s="4" t="s">
        <v>1595</v>
      </c>
      <c r="N545" s="3" t="s">
        <v>56</v>
      </c>
      <c r="Y545" s="4" t="s">
        <v>1959</v>
      </c>
      <c r="Z545" s="4" t="s">
        <v>1959</v>
      </c>
      <c r="AD545" s="3" t="s">
        <v>1088</v>
      </c>
      <c r="AE545" s="3">
        <v>1000</v>
      </c>
      <c r="AI545" s="4" t="s">
        <v>1960</v>
      </c>
      <c r="AJ545" s="4" t="s">
        <v>1960</v>
      </c>
      <c r="AL545" s="4">
        <v>141901</v>
      </c>
      <c r="AM545" s="5">
        <v>7150</v>
      </c>
      <c r="AN545" s="4" t="s">
        <v>124</v>
      </c>
    </row>
    <row r="546" spans="1:42" x14ac:dyDescent="0.25">
      <c r="A546" s="3">
        <v>4604971</v>
      </c>
      <c r="B546" s="3" t="s">
        <v>1088</v>
      </c>
      <c r="C546" s="3" t="s">
        <v>1278</v>
      </c>
      <c r="D546" s="3">
        <v>10004805</v>
      </c>
      <c r="E546" s="4">
        <v>4534322</v>
      </c>
      <c r="F546" s="3" t="s">
        <v>49</v>
      </c>
      <c r="G546" s="4" t="s">
        <v>174</v>
      </c>
      <c r="I546" s="4">
        <v>733.34</v>
      </c>
      <c r="J546" s="3" t="s">
        <v>360</v>
      </c>
      <c r="K546" s="3" t="s">
        <v>77</v>
      </c>
      <c r="L546" s="3" t="s">
        <v>119</v>
      </c>
      <c r="M546" s="4" t="s">
        <v>1969</v>
      </c>
      <c r="N546" s="3" t="s">
        <v>56</v>
      </c>
      <c r="Y546" s="4" t="s">
        <v>178</v>
      </c>
      <c r="Z546" s="4" t="s">
        <v>178</v>
      </c>
      <c r="AD546" s="3" t="s">
        <v>360</v>
      </c>
      <c r="AE546" s="3">
        <v>1000</v>
      </c>
      <c r="AI546" s="4" t="s">
        <v>181</v>
      </c>
      <c r="AJ546" s="4" t="s">
        <v>181</v>
      </c>
      <c r="AL546" s="4">
        <v>40476</v>
      </c>
      <c r="AM546" s="4">
        <v>733.34</v>
      </c>
      <c r="AN546" s="4" t="s">
        <v>124</v>
      </c>
    </row>
    <row r="547" spans="1:42" x14ac:dyDescent="0.25">
      <c r="A547" s="3">
        <v>4604972</v>
      </c>
      <c r="B547" s="3" t="s">
        <v>1813</v>
      </c>
      <c r="C547" s="3" t="s">
        <v>1278</v>
      </c>
      <c r="D547" s="3">
        <v>10004807</v>
      </c>
      <c r="E547" s="4">
        <v>4534323</v>
      </c>
      <c r="F547" s="3" t="s">
        <v>49</v>
      </c>
      <c r="G547" s="4" t="s">
        <v>1385</v>
      </c>
      <c r="H547" s="4" t="s">
        <v>1386</v>
      </c>
      <c r="I547" s="5">
        <v>84859.5</v>
      </c>
      <c r="J547" s="3" t="s">
        <v>535</v>
      </c>
      <c r="K547" s="3" t="s">
        <v>1970</v>
      </c>
      <c r="L547" s="3" t="s">
        <v>196</v>
      </c>
      <c r="M547" s="4" t="s">
        <v>1971</v>
      </c>
      <c r="N547" s="3" t="s">
        <v>25</v>
      </c>
      <c r="Y547" s="4" t="s">
        <v>1972</v>
      </c>
      <c r="Z547" s="4" t="s">
        <v>1972</v>
      </c>
      <c r="AD547" s="3" t="s">
        <v>1813</v>
      </c>
      <c r="AE547" s="3">
        <v>1000</v>
      </c>
      <c r="AI547" s="4" t="s">
        <v>1973</v>
      </c>
      <c r="AJ547" s="4" t="s">
        <v>1973</v>
      </c>
      <c r="AL547" s="4">
        <v>49327</v>
      </c>
      <c r="AM547" s="5">
        <v>84859.5</v>
      </c>
      <c r="AN547" s="4" t="s">
        <v>124</v>
      </c>
      <c r="AO547" s="4">
        <v>99</v>
      </c>
      <c r="AP547" s="4">
        <v>43230000</v>
      </c>
    </row>
    <row r="548" spans="1:42" x14ac:dyDescent="0.25">
      <c r="A548" s="3">
        <v>4604974</v>
      </c>
      <c r="B548" s="3" t="s">
        <v>419</v>
      </c>
      <c r="C548" s="3" t="s">
        <v>1278</v>
      </c>
      <c r="D548" s="3">
        <v>10004791</v>
      </c>
      <c r="E548" s="4">
        <v>4534325</v>
      </c>
      <c r="F548" s="3" t="s">
        <v>49</v>
      </c>
      <c r="G548" s="4" t="s">
        <v>347</v>
      </c>
      <c r="H548" s="4" t="s">
        <v>1974</v>
      </c>
      <c r="I548" s="5">
        <v>531630</v>
      </c>
      <c r="J548" s="3" t="s">
        <v>419</v>
      </c>
      <c r="K548" s="3" t="s">
        <v>575</v>
      </c>
      <c r="L548" s="3" t="s">
        <v>119</v>
      </c>
      <c r="M548" s="4" t="s">
        <v>1974</v>
      </c>
      <c r="N548" s="3" t="s">
        <v>56</v>
      </c>
      <c r="Y548" s="4" t="s">
        <v>1975</v>
      </c>
      <c r="Z548" s="4" t="s">
        <v>1309</v>
      </c>
      <c r="AA548" s="4" t="s">
        <v>1976</v>
      </c>
      <c r="AC548" s="3" t="s">
        <v>1977</v>
      </c>
      <c r="AD548" s="3" t="s">
        <v>360</v>
      </c>
      <c r="AE548" s="3">
        <v>1000</v>
      </c>
      <c r="AI548" s="4" t="s">
        <v>1978</v>
      </c>
      <c r="AJ548" s="4" t="s">
        <v>1313</v>
      </c>
      <c r="AL548" s="4">
        <v>40471</v>
      </c>
      <c r="AM548" s="5">
        <v>531630</v>
      </c>
      <c r="AN548" s="4" t="s">
        <v>124</v>
      </c>
      <c r="AO548" s="4">
        <v>99</v>
      </c>
      <c r="AP548" s="4">
        <v>82111900</v>
      </c>
    </row>
    <row r="549" spans="1:42" x14ac:dyDescent="0.25">
      <c r="A549" s="3">
        <v>4604977</v>
      </c>
      <c r="B549" s="3" t="s">
        <v>377</v>
      </c>
      <c r="C549" s="3" t="s">
        <v>1278</v>
      </c>
      <c r="D549" s="3">
        <v>10004769</v>
      </c>
      <c r="E549" s="4">
        <v>4534328</v>
      </c>
      <c r="F549" s="3" t="s">
        <v>49</v>
      </c>
      <c r="G549" s="4" t="s">
        <v>1085</v>
      </c>
      <c r="H549" s="4" t="s">
        <v>1979</v>
      </c>
      <c r="I549" s="5">
        <v>58500</v>
      </c>
      <c r="J549" s="3" t="s">
        <v>53</v>
      </c>
      <c r="K549" s="3" t="s">
        <v>77</v>
      </c>
      <c r="L549" s="3" t="s">
        <v>196</v>
      </c>
      <c r="M549" s="4" t="s">
        <v>1979</v>
      </c>
      <c r="N549" s="3" t="s">
        <v>56</v>
      </c>
      <c r="Y549" s="4" t="s">
        <v>1959</v>
      </c>
      <c r="Z549" s="4" t="s">
        <v>1959</v>
      </c>
      <c r="AA549" s="4" t="s">
        <v>1474</v>
      </c>
      <c r="AB549" s="3" t="s">
        <v>1474</v>
      </c>
      <c r="AC549" s="3" t="s">
        <v>1476</v>
      </c>
      <c r="AD549" s="3" t="s">
        <v>382</v>
      </c>
      <c r="AE549" s="3">
        <v>1000</v>
      </c>
      <c r="AI549" s="4" t="s">
        <v>1960</v>
      </c>
      <c r="AJ549" s="4" t="s">
        <v>1960</v>
      </c>
      <c r="AL549" s="4">
        <v>30502</v>
      </c>
      <c r="AM549" s="5">
        <v>58500</v>
      </c>
      <c r="AN549" s="4" t="s">
        <v>124</v>
      </c>
      <c r="AO549" s="4">
        <v>99</v>
      </c>
      <c r="AP549" s="4">
        <v>80101507</v>
      </c>
    </row>
    <row r="550" spans="1:42" x14ac:dyDescent="0.25">
      <c r="A550" s="3">
        <v>4604978</v>
      </c>
      <c r="B550" s="3" t="s">
        <v>1980</v>
      </c>
      <c r="C550" s="3" t="s">
        <v>1278</v>
      </c>
      <c r="D550" s="3">
        <v>10004770</v>
      </c>
      <c r="E550" s="4">
        <v>4534329</v>
      </c>
      <c r="F550" s="3" t="s">
        <v>49</v>
      </c>
      <c r="G550" s="4" t="s">
        <v>1085</v>
      </c>
      <c r="H550" s="4" t="s">
        <v>1981</v>
      </c>
      <c r="I550" s="5">
        <v>236000</v>
      </c>
      <c r="J550" s="3" t="s">
        <v>53</v>
      </c>
      <c r="K550" s="3" t="s">
        <v>77</v>
      </c>
      <c r="L550" s="3" t="s">
        <v>196</v>
      </c>
      <c r="M550" s="4" t="s">
        <v>1981</v>
      </c>
      <c r="N550" s="3" t="s">
        <v>56</v>
      </c>
      <c r="Y550" s="4" t="s">
        <v>1959</v>
      </c>
      <c r="Z550" s="4" t="s">
        <v>1959</v>
      </c>
      <c r="AA550" s="4" t="s">
        <v>1474</v>
      </c>
      <c r="AB550" s="3" t="s">
        <v>1474</v>
      </c>
      <c r="AC550" s="3" t="s">
        <v>1476</v>
      </c>
      <c r="AD550" s="3" t="s">
        <v>382</v>
      </c>
      <c r="AE550" s="3">
        <v>1000</v>
      </c>
      <c r="AI550" s="4" t="s">
        <v>1960</v>
      </c>
      <c r="AJ550" s="4" t="s">
        <v>1960</v>
      </c>
      <c r="AL550" s="4">
        <v>30502</v>
      </c>
      <c r="AM550" s="5">
        <v>236000</v>
      </c>
      <c r="AN550" s="4" t="s">
        <v>124</v>
      </c>
      <c r="AO550" s="4">
        <v>99</v>
      </c>
      <c r="AP550" s="4">
        <v>80101507</v>
      </c>
    </row>
    <row r="551" spans="1:42" x14ac:dyDescent="0.25">
      <c r="A551" s="3">
        <v>4604981</v>
      </c>
      <c r="B551" s="3" t="s">
        <v>500</v>
      </c>
      <c r="C551" s="3" t="s">
        <v>1278</v>
      </c>
      <c r="D551" s="3">
        <v>10004810</v>
      </c>
      <c r="E551" s="4">
        <v>4534332</v>
      </c>
      <c r="F551" s="3" t="s">
        <v>49</v>
      </c>
      <c r="G551" s="4" t="s">
        <v>1982</v>
      </c>
      <c r="H551" s="4" t="s">
        <v>1983</v>
      </c>
      <c r="I551" s="5">
        <v>24552</v>
      </c>
      <c r="J551" s="3" t="s">
        <v>500</v>
      </c>
      <c r="K551" s="3" t="s">
        <v>77</v>
      </c>
      <c r="L551" s="3" t="s">
        <v>196</v>
      </c>
      <c r="M551" s="4" t="s">
        <v>1983</v>
      </c>
      <c r="N551" s="3" t="s">
        <v>25</v>
      </c>
      <c r="Y551" s="4" t="s">
        <v>1984</v>
      </c>
      <c r="Z551" s="4" t="s">
        <v>1984</v>
      </c>
      <c r="AD551" s="3" t="s">
        <v>1980</v>
      </c>
      <c r="AE551" s="3">
        <v>1000</v>
      </c>
      <c r="AI551" s="4" t="s">
        <v>1985</v>
      </c>
      <c r="AJ551" s="4" t="s">
        <v>1985</v>
      </c>
      <c r="AL551" s="4">
        <v>141737</v>
      </c>
      <c r="AM551" s="5">
        <v>24552</v>
      </c>
      <c r="AN551" s="4" t="s">
        <v>124</v>
      </c>
      <c r="AO551" s="4">
        <v>99</v>
      </c>
      <c r="AP551" s="4">
        <v>80110000</v>
      </c>
    </row>
    <row r="552" spans="1:42" x14ac:dyDescent="0.25">
      <c r="A552" s="3">
        <v>4604982</v>
      </c>
      <c r="B552" s="3" t="s">
        <v>1980</v>
      </c>
      <c r="C552" s="3" t="s">
        <v>1278</v>
      </c>
      <c r="D552" s="3">
        <v>10004811</v>
      </c>
      <c r="E552" s="4">
        <v>4534333</v>
      </c>
      <c r="F552" s="3" t="s">
        <v>49</v>
      </c>
      <c r="G552" s="4" t="s">
        <v>184</v>
      </c>
      <c r="I552" s="5">
        <v>3934.43</v>
      </c>
      <c r="J552" s="3" t="s">
        <v>529</v>
      </c>
      <c r="K552" s="3" t="s">
        <v>1627</v>
      </c>
      <c r="L552" s="3" t="s">
        <v>119</v>
      </c>
      <c r="M552" s="4" t="s">
        <v>1907</v>
      </c>
      <c r="N552" s="3" t="s">
        <v>56</v>
      </c>
      <c r="Y552" s="4" t="s">
        <v>178</v>
      </c>
      <c r="Z552" s="4" t="s">
        <v>178</v>
      </c>
      <c r="AD552" s="3" t="s">
        <v>439</v>
      </c>
      <c r="AE552" s="3">
        <v>1000</v>
      </c>
      <c r="AI552" s="4" t="s">
        <v>181</v>
      </c>
      <c r="AJ552" s="4" t="s">
        <v>181</v>
      </c>
      <c r="AL552" s="4">
        <v>40619</v>
      </c>
      <c r="AM552" s="5">
        <v>3934.43</v>
      </c>
      <c r="AN552" s="4" t="s">
        <v>124</v>
      </c>
    </row>
    <row r="553" spans="1:42" x14ac:dyDescent="0.25">
      <c r="A553" s="3">
        <v>4604983</v>
      </c>
      <c r="B553" s="3" t="s">
        <v>419</v>
      </c>
      <c r="C553" s="3" t="s">
        <v>1278</v>
      </c>
      <c r="D553" s="3">
        <v>10004812</v>
      </c>
      <c r="E553" s="4">
        <v>4534334</v>
      </c>
      <c r="F553" s="3" t="s">
        <v>49</v>
      </c>
      <c r="G553" s="4" t="s">
        <v>1053</v>
      </c>
      <c r="H553" s="4" t="s">
        <v>1054</v>
      </c>
      <c r="I553" s="5">
        <v>23520566</v>
      </c>
      <c r="J553" s="3" t="s">
        <v>419</v>
      </c>
      <c r="K553" s="3" t="s">
        <v>1986</v>
      </c>
      <c r="L553" s="3" t="s">
        <v>196</v>
      </c>
      <c r="M553" s="4" t="s">
        <v>1054</v>
      </c>
      <c r="N553" s="3" t="s">
        <v>25</v>
      </c>
      <c r="Y553" s="4" t="s">
        <v>1056</v>
      </c>
      <c r="Z553" s="4" t="s">
        <v>1056</v>
      </c>
      <c r="AD553" s="3" t="s">
        <v>287</v>
      </c>
      <c r="AE553" s="3">
        <v>1000</v>
      </c>
      <c r="AI553" s="4" t="s">
        <v>1058</v>
      </c>
      <c r="AJ553" s="4" t="s">
        <v>1058</v>
      </c>
      <c r="AL553" s="4">
        <v>140248</v>
      </c>
      <c r="AM553" s="5">
        <v>23520566</v>
      </c>
      <c r="AN553" s="4" t="s">
        <v>124</v>
      </c>
      <c r="AO553" s="4">
        <v>99</v>
      </c>
      <c r="AP553" s="4">
        <v>81111700</v>
      </c>
    </row>
    <row r="554" spans="1:42" x14ac:dyDescent="0.25">
      <c r="A554" s="3">
        <v>4604984</v>
      </c>
      <c r="B554" s="3" t="s">
        <v>360</v>
      </c>
      <c r="C554" s="3" t="s">
        <v>1278</v>
      </c>
      <c r="D554" s="3">
        <v>10004808</v>
      </c>
      <c r="E554" s="4">
        <v>4534335</v>
      </c>
      <c r="F554" s="3" t="s">
        <v>49</v>
      </c>
      <c r="G554" s="4" t="s">
        <v>1053</v>
      </c>
      <c r="H554" s="4" t="s">
        <v>1987</v>
      </c>
      <c r="I554" s="5">
        <v>215000</v>
      </c>
      <c r="J554" s="3" t="s">
        <v>360</v>
      </c>
      <c r="K554" s="3" t="s">
        <v>77</v>
      </c>
      <c r="L554" s="3" t="s">
        <v>119</v>
      </c>
      <c r="M554" s="4" t="s">
        <v>1988</v>
      </c>
      <c r="N554" s="3" t="s">
        <v>56</v>
      </c>
      <c r="Y554" s="4" t="s">
        <v>1056</v>
      </c>
      <c r="Z554" s="4" t="s">
        <v>1056</v>
      </c>
      <c r="AA554" s="4" t="s">
        <v>1057</v>
      </c>
      <c r="AB554" s="3" t="s">
        <v>1057</v>
      </c>
      <c r="AC554" s="3" t="s">
        <v>1340</v>
      </c>
      <c r="AD554" s="3" t="s">
        <v>529</v>
      </c>
      <c r="AE554" s="3">
        <v>1000</v>
      </c>
      <c r="AI554" s="4" t="s">
        <v>1058</v>
      </c>
      <c r="AJ554" s="4" t="s">
        <v>1058</v>
      </c>
      <c r="AL554" s="4">
        <v>140248</v>
      </c>
      <c r="AM554" s="5">
        <v>215000</v>
      </c>
      <c r="AN554" s="4" t="s">
        <v>124</v>
      </c>
      <c r="AO554" s="4">
        <v>99</v>
      </c>
      <c r="AP554" s="4">
        <v>81111800</v>
      </c>
    </row>
    <row r="555" spans="1:42" x14ac:dyDescent="0.25">
      <c r="A555" s="3">
        <v>4604986</v>
      </c>
      <c r="B555" s="3" t="s">
        <v>1944</v>
      </c>
      <c r="C555" s="3" t="s">
        <v>1278</v>
      </c>
      <c r="D555" s="3">
        <v>10002087</v>
      </c>
      <c r="E555" s="4">
        <v>4534337</v>
      </c>
      <c r="F555" s="3" t="s">
        <v>49</v>
      </c>
      <c r="G555" s="4" t="s">
        <v>1085</v>
      </c>
      <c r="H555" s="4" t="s">
        <v>1989</v>
      </c>
      <c r="I555" s="5">
        <v>750000</v>
      </c>
      <c r="J555" s="3" t="s">
        <v>1990</v>
      </c>
      <c r="K555" s="3" t="s">
        <v>1991</v>
      </c>
      <c r="L555" s="3" t="s">
        <v>119</v>
      </c>
      <c r="M555" s="4" t="s">
        <v>1992</v>
      </c>
      <c r="N555" s="3" t="s">
        <v>56</v>
      </c>
      <c r="Y555" s="4" t="s">
        <v>1056</v>
      </c>
      <c r="Z555" s="4" t="s">
        <v>1056</v>
      </c>
      <c r="AD555" s="3" t="s">
        <v>529</v>
      </c>
      <c r="AE555" s="3">
        <v>1000</v>
      </c>
      <c r="AI555" s="4" t="s">
        <v>1058</v>
      </c>
      <c r="AJ555" s="4" t="s">
        <v>1058</v>
      </c>
      <c r="AL555" s="4">
        <v>30502</v>
      </c>
      <c r="AM555" s="5">
        <v>750000</v>
      </c>
      <c r="AN555" s="4" t="s">
        <v>124</v>
      </c>
      <c r="AO555" s="4">
        <v>99</v>
      </c>
    </row>
    <row r="556" spans="1:42" x14ac:dyDescent="0.25">
      <c r="A556" s="3">
        <v>4604988</v>
      </c>
      <c r="B556" s="3" t="s">
        <v>422</v>
      </c>
      <c r="C556" s="3" t="s">
        <v>1278</v>
      </c>
      <c r="D556" s="3">
        <v>10004815</v>
      </c>
      <c r="E556" s="4">
        <v>4534339</v>
      </c>
      <c r="F556" s="3" t="s">
        <v>49</v>
      </c>
      <c r="G556" s="4" t="s">
        <v>1993</v>
      </c>
      <c r="H556" s="4" t="s">
        <v>1994</v>
      </c>
      <c r="I556" s="5">
        <v>26180</v>
      </c>
      <c r="J556" s="3" t="s">
        <v>377</v>
      </c>
      <c r="K556" s="3" t="s">
        <v>374</v>
      </c>
      <c r="L556" s="3" t="s">
        <v>119</v>
      </c>
      <c r="M556" s="4" t="s">
        <v>1994</v>
      </c>
      <c r="N556" s="3" t="s">
        <v>56</v>
      </c>
      <c r="Q556" s="3" t="s">
        <v>139</v>
      </c>
      <c r="R556" s="3" t="s">
        <v>427</v>
      </c>
      <c r="S556" s="4" t="s">
        <v>428</v>
      </c>
      <c r="U556" s="4" t="s">
        <v>139</v>
      </c>
      <c r="V556" s="4" t="s">
        <v>427</v>
      </c>
      <c r="W556" s="4" t="s">
        <v>428</v>
      </c>
      <c r="Y556" s="4" t="s">
        <v>1510</v>
      </c>
      <c r="Z556" s="4" t="s">
        <v>1995</v>
      </c>
      <c r="AA556" s="4" t="s">
        <v>1996</v>
      </c>
      <c r="AB556" s="3" t="s">
        <v>1997</v>
      </c>
      <c r="AC556" s="3" t="s">
        <v>1998</v>
      </c>
      <c r="AD556" s="3" t="s">
        <v>1491</v>
      </c>
      <c r="AE556" s="3">
        <v>1000</v>
      </c>
      <c r="AI556" s="4" t="s">
        <v>1512</v>
      </c>
      <c r="AJ556" s="4" t="s">
        <v>1999</v>
      </c>
      <c r="AL556" s="4">
        <v>141701</v>
      </c>
      <c r="AM556" s="5">
        <v>26180</v>
      </c>
      <c r="AN556" s="4" t="s">
        <v>124</v>
      </c>
      <c r="AO556" s="4">
        <v>99</v>
      </c>
      <c r="AP556" s="4">
        <v>81111508</v>
      </c>
    </row>
    <row r="557" spans="1:42" x14ac:dyDescent="0.25">
      <c r="A557" s="3">
        <v>4604990</v>
      </c>
      <c r="B557" s="3" t="s">
        <v>1813</v>
      </c>
      <c r="C557" s="3" t="s">
        <v>1278</v>
      </c>
      <c r="D557" s="3">
        <v>10004779</v>
      </c>
      <c r="E557" s="4">
        <v>4534341</v>
      </c>
      <c r="F557" s="3" t="s">
        <v>49</v>
      </c>
      <c r="G557" s="4" t="s">
        <v>1360</v>
      </c>
      <c r="H557" s="4" t="s">
        <v>2000</v>
      </c>
      <c r="I557" s="5">
        <v>40000</v>
      </c>
      <c r="J557" s="3" t="s">
        <v>1088</v>
      </c>
      <c r="K557" s="3" t="s">
        <v>77</v>
      </c>
      <c r="L557" s="3" t="s">
        <v>196</v>
      </c>
      <c r="M557" s="4" t="s">
        <v>2000</v>
      </c>
      <c r="N557" s="3" t="s">
        <v>25</v>
      </c>
      <c r="Y557" s="4" t="s">
        <v>2001</v>
      </c>
      <c r="Z557" s="4" t="s">
        <v>1959</v>
      </c>
      <c r="AD557" s="3" t="s">
        <v>365</v>
      </c>
      <c r="AE557" s="3">
        <v>1000</v>
      </c>
      <c r="AI557" s="4" t="s">
        <v>2002</v>
      </c>
      <c r="AJ557" s="4" t="s">
        <v>1960</v>
      </c>
      <c r="AL557" s="4">
        <v>49879</v>
      </c>
      <c r="AM557" s="5">
        <v>40000</v>
      </c>
      <c r="AN557" s="4" t="s">
        <v>124</v>
      </c>
      <c r="AO557" s="4">
        <v>99</v>
      </c>
      <c r="AP557" s="4">
        <v>43230000</v>
      </c>
    </row>
    <row r="558" spans="1:42" x14ac:dyDescent="0.25">
      <c r="A558" s="3">
        <v>4604993</v>
      </c>
      <c r="B558" s="3" t="s">
        <v>532</v>
      </c>
      <c r="C558" s="3" t="s">
        <v>1278</v>
      </c>
      <c r="D558" s="3">
        <v>10004828</v>
      </c>
      <c r="E558" s="4">
        <v>4534344</v>
      </c>
      <c r="F558" s="3" t="s">
        <v>49</v>
      </c>
      <c r="G558" s="4" t="s">
        <v>1710</v>
      </c>
      <c r="I558" s="5">
        <v>1682.78</v>
      </c>
      <c r="J558" s="3" t="s">
        <v>376</v>
      </c>
      <c r="K558" s="3" t="s">
        <v>77</v>
      </c>
      <c r="L558" s="3" t="s">
        <v>119</v>
      </c>
      <c r="M558" s="4" t="s">
        <v>2003</v>
      </c>
      <c r="N558" s="3" t="s">
        <v>56</v>
      </c>
      <c r="Y558" s="4" t="s">
        <v>178</v>
      </c>
      <c r="Z558" s="4" t="s">
        <v>178</v>
      </c>
      <c r="AD558" s="3" t="s">
        <v>1491</v>
      </c>
      <c r="AE558" s="3">
        <v>1000</v>
      </c>
      <c r="AI558" s="4" t="s">
        <v>181</v>
      </c>
      <c r="AJ558" s="4" t="s">
        <v>181</v>
      </c>
      <c r="AL558" s="4">
        <v>47444</v>
      </c>
      <c r="AM558" s="5">
        <v>1682.78</v>
      </c>
      <c r="AN558" s="4" t="s">
        <v>124</v>
      </c>
    </row>
    <row r="559" spans="1:42" x14ac:dyDescent="0.25">
      <c r="A559" s="3">
        <v>4604994</v>
      </c>
      <c r="B559" s="3" t="s">
        <v>532</v>
      </c>
      <c r="C559" s="3" t="s">
        <v>1278</v>
      </c>
      <c r="D559" s="3">
        <v>10004829</v>
      </c>
      <c r="E559" s="4">
        <v>4534345</v>
      </c>
      <c r="F559" s="3" t="s">
        <v>49</v>
      </c>
      <c r="G559" s="4" t="s">
        <v>2004</v>
      </c>
      <c r="H559" s="4" t="s">
        <v>2005</v>
      </c>
      <c r="I559" s="5">
        <v>17600</v>
      </c>
      <c r="J559" s="3" t="s">
        <v>532</v>
      </c>
      <c r="K559" s="3" t="s">
        <v>77</v>
      </c>
      <c r="L559" s="3" t="s">
        <v>196</v>
      </c>
      <c r="M559" s="4" t="s">
        <v>2005</v>
      </c>
      <c r="N559" s="3" t="s">
        <v>25</v>
      </c>
      <c r="Y559" s="4" t="s">
        <v>1959</v>
      </c>
      <c r="Z559" s="4" t="s">
        <v>1959</v>
      </c>
      <c r="AD559" s="3" t="s">
        <v>532</v>
      </c>
      <c r="AE559" s="3">
        <v>1000</v>
      </c>
      <c r="AI559" s="4" t="s">
        <v>1960</v>
      </c>
      <c r="AJ559" s="4" t="s">
        <v>1960</v>
      </c>
      <c r="AL559" s="4">
        <v>141905</v>
      </c>
      <c r="AM559" s="5">
        <v>17600</v>
      </c>
      <c r="AN559" s="4" t="s">
        <v>124</v>
      </c>
      <c r="AO559" s="4">
        <v>99</v>
      </c>
      <c r="AP559" s="4">
        <v>80101507</v>
      </c>
    </row>
    <row r="560" spans="1:42" x14ac:dyDescent="0.25">
      <c r="A560" s="3">
        <v>4604995</v>
      </c>
      <c r="B560" s="3" t="s">
        <v>1491</v>
      </c>
      <c r="C560" s="3" t="s">
        <v>1278</v>
      </c>
      <c r="D560" s="3">
        <v>10004831</v>
      </c>
      <c r="E560" s="4">
        <v>4534346</v>
      </c>
      <c r="F560" s="3" t="s">
        <v>49</v>
      </c>
      <c r="G560" s="4" t="s">
        <v>1818</v>
      </c>
      <c r="H560" s="4" t="s">
        <v>2006</v>
      </c>
      <c r="I560" s="5">
        <v>31416</v>
      </c>
      <c r="J560" s="3" t="s">
        <v>1491</v>
      </c>
      <c r="K560" s="3" t="s">
        <v>439</v>
      </c>
      <c r="L560" s="3" t="s">
        <v>196</v>
      </c>
      <c r="M560" s="4" t="s">
        <v>2006</v>
      </c>
      <c r="N560" s="3" t="s">
        <v>25</v>
      </c>
      <c r="Q560" s="3" t="s">
        <v>139</v>
      </c>
      <c r="R560" s="3" t="s">
        <v>427</v>
      </c>
      <c r="S560" s="4" t="s">
        <v>428</v>
      </c>
      <c r="U560" s="4" t="s">
        <v>139</v>
      </c>
      <c r="V560" s="4" t="s">
        <v>427</v>
      </c>
      <c r="W560" s="4" t="s">
        <v>428</v>
      </c>
      <c r="Y560" s="4" t="s">
        <v>1700</v>
      </c>
      <c r="Z560" s="4" t="s">
        <v>1995</v>
      </c>
      <c r="AD560" s="3" t="s">
        <v>1491</v>
      </c>
      <c r="AE560" s="3">
        <v>1000</v>
      </c>
      <c r="AI560" s="4" t="s">
        <v>1701</v>
      </c>
      <c r="AJ560" s="4" t="s">
        <v>1999</v>
      </c>
      <c r="AL560" s="4">
        <v>44100</v>
      </c>
      <c r="AM560" s="5">
        <v>31416</v>
      </c>
      <c r="AN560" s="4" t="s">
        <v>124</v>
      </c>
      <c r="AO560" s="4">
        <v>99</v>
      </c>
      <c r="AP560" s="4">
        <v>80101507</v>
      </c>
    </row>
    <row r="561" spans="1:42" x14ac:dyDescent="0.25">
      <c r="A561" s="3">
        <v>4605000</v>
      </c>
      <c r="B561" s="3" t="s">
        <v>365</v>
      </c>
      <c r="C561" s="3" t="s">
        <v>1278</v>
      </c>
      <c r="D561" s="3">
        <v>10004822</v>
      </c>
      <c r="E561" s="4">
        <v>4534351</v>
      </c>
      <c r="F561" s="3" t="s">
        <v>49</v>
      </c>
      <c r="G561" s="4" t="s">
        <v>1759</v>
      </c>
      <c r="I561" s="5">
        <v>9147.6</v>
      </c>
      <c r="J561" s="3" t="s">
        <v>365</v>
      </c>
      <c r="K561" s="3" t="s">
        <v>77</v>
      </c>
      <c r="L561" s="3" t="s">
        <v>196</v>
      </c>
      <c r="M561" s="4" t="s">
        <v>1929</v>
      </c>
      <c r="N561" s="3" t="s">
        <v>56</v>
      </c>
      <c r="Y561" s="4" t="s">
        <v>1959</v>
      </c>
      <c r="Z561" s="4" t="s">
        <v>1959</v>
      </c>
      <c r="AD561" s="3" t="s">
        <v>385</v>
      </c>
      <c r="AE561" s="3">
        <v>1000</v>
      </c>
      <c r="AI561" s="4" t="s">
        <v>1960</v>
      </c>
      <c r="AJ561" s="4" t="s">
        <v>1960</v>
      </c>
      <c r="AL561" s="4">
        <v>141842</v>
      </c>
      <c r="AM561" s="5">
        <v>9147.6</v>
      </c>
      <c r="AN561" s="4" t="s">
        <v>124</v>
      </c>
    </row>
    <row r="562" spans="1:42" x14ac:dyDescent="0.25">
      <c r="A562" s="3">
        <v>4605001</v>
      </c>
      <c r="B562" s="3" t="s">
        <v>377</v>
      </c>
      <c r="C562" s="3" t="s">
        <v>1278</v>
      </c>
      <c r="D562" s="3">
        <v>10004778</v>
      </c>
      <c r="E562" s="4">
        <v>4534352</v>
      </c>
      <c r="F562" s="3" t="s">
        <v>49</v>
      </c>
      <c r="G562" s="4" t="s">
        <v>1686</v>
      </c>
      <c r="H562" s="4" t="s">
        <v>2007</v>
      </c>
      <c r="I562" s="5">
        <v>11385</v>
      </c>
      <c r="J562" s="3" t="s">
        <v>377</v>
      </c>
      <c r="K562" s="3" t="s">
        <v>77</v>
      </c>
      <c r="L562" s="3" t="s">
        <v>196</v>
      </c>
      <c r="M562" s="4" t="s">
        <v>2007</v>
      </c>
      <c r="N562" s="3" t="s">
        <v>25</v>
      </c>
      <c r="Y562" s="4" t="s">
        <v>1959</v>
      </c>
      <c r="Z562" s="4" t="s">
        <v>1959</v>
      </c>
      <c r="AD562" s="3" t="s">
        <v>369</v>
      </c>
      <c r="AE562" s="3">
        <v>1000</v>
      </c>
      <c r="AI562" s="4" t="s">
        <v>1960</v>
      </c>
      <c r="AJ562" s="4" t="s">
        <v>1960</v>
      </c>
      <c r="AL562" s="4">
        <v>140652</v>
      </c>
      <c r="AM562" s="5">
        <v>11385</v>
      </c>
      <c r="AN562" s="4" t="s">
        <v>124</v>
      </c>
      <c r="AO562" s="4">
        <v>99</v>
      </c>
      <c r="AP562" s="4">
        <v>80111700</v>
      </c>
    </row>
    <row r="563" spans="1:42" x14ac:dyDescent="0.25">
      <c r="A563" s="3">
        <v>4605002</v>
      </c>
      <c r="B563" s="3" t="s">
        <v>474</v>
      </c>
      <c r="C563" s="3" t="s">
        <v>1278</v>
      </c>
      <c r="D563" s="3">
        <v>10004832</v>
      </c>
      <c r="E563" s="4">
        <v>4534353</v>
      </c>
      <c r="F563" s="3" t="s">
        <v>49</v>
      </c>
      <c r="G563" s="4" t="s">
        <v>2008</v>
      </c>
      <c r="H563" s="4" t="s">
        <v>2009</v>
      </c>
      <c r="I563" s="5">
        <v>33749.050000000003</v>
      </c>
      <c r="J563" s="3" t="s">
        <v>472</v>
      </c>
      <c r="K563" s="3" t="s">
        <v>77</v>
      </c>
      <c r="L563" s="3" t="s">
        <v>196</v>
      </c>
      <c r="M563" s="4" t="s">
        <v>2009</v>
      </c>
      <c r="N563" s="3" t="s">
        <v>25</v>
      </c>
      <c r="Y563" s="4" t="s">
        <v>1959</v>
      </c>
      <c r="Z563" s="4" t="s">
        <v>1959</v>
      </c>
      <c r="AD563" s="3" t="s">
        <v>77</v>
      </c>
      <c r="AE563" s="3">
        <v>1000</v>
      </c>
      <c r="AI563" s="4" t="s">
        <v>1960</v>
      </c>
      <c r="AJ563" s="4" t="s">
        <v>1960</v>
      </c>
      <c r="AL563" s="4">
        <v>141907</v>
      </c>
      <c r="AM563" s="5">
        <v>33749.050000000003</v>
      </c>
      <c r="AN563" s="4" t="s">
        <v>124</v>
      </c>
      <c r="AO563" s="4">
        <v>99</v>
      </c>
      <c r="AP563" s="4">
        <v>43230000</v>
      </c>
    </row>
    <row r="564" spans="1:42" x14ac:dyDescent="0.25">
      <c r="A564" s="3">
        <v>4605005</v>
      </c>
      <c r="B564" s="3" t="s">
        <v>422</v>
      </c>
      <c r="C564" s="3" t="s">
        <v>1278</v>
      </c>
      <c r="D564" s="3">
        <v>10004820</v>
      </c>
      <c r="E564" s="4">
        <v>4534356</v>
      </c>
      <c r="F564" s="3" t="s">
        <v>49</v>
      </c>
      <c r="G564" s="4" t="s">
        <v>1174</v>
      </c>
      <c r="H564" s="4" t="s">
        <v>2010</v>
      </c>
      <c r="I564" s="5">
        <v>73788</v>
      </c>
      <c r="J564" s="3" t="s">
        <v>1088</v>
      </c>
      <c r="K564" s="3" t="s">
        <v>374</v>
      </c>
      <c r="L564" s="3" t="s">
        <v>196</v>
      </c>
      <c r="M564" s="4" t="s">
        <v>2010</v>
      </c>
      <c r="N564" s="3" t="s">
        <v>25</v>
      </c>
      <c r="Y564" s="4" t="s">
        <v>1200</v>
      </c>
      <c r="Z564" s="4" t="s">
        <v>1200</v>
      </c>
      <c r="AA564" s="4" t="s">
        <v>2011</v>
      </c>
      <c r="AD564" s="3" t="s">
        <v>474</v>
      </c>
      <c r="AE564" s="3">
        <v>1000</v>
      </c>
      <c r="AI564" s="4" t="s">
        <v>1202</v>
      </c>
      <c r="AJ564" s="4" t="s">
        <v>1202</v>
      </c>
      <c r="AL564" s="4">
        <v>42811</v>
      </c>
      <c r="AM564" s="5">
        <v>73788</v>
      </c>
      <c r="AN564" s="4" t="s">
        <v>124</v>
      </c>
      <c r="AO564" s="4">
        <v>99</v>
      </c>
      <c r="AP564" s="4">
        <v>80160000</v>
      </c>
    </row>
    <row r="565" spans="1:42" x14ac:dyDescent="0.25">
      <c r="A565" s="3">
        <v>4605006</v>
      </c>
      <c r="B565" s="3" t="s">
        <v>535</v>
      </c>
      <c r="C565" s="3" t="s">
        <v>1278</v>
      </c>
      <c r="D565" s="3">
        <v>10004830</v>
      </c>
      <c r="E565" s="4">
        <v>4534357</v>
      </c>
      <c r="F565" s="3" t="s">
        <v>49</v>
      </c>
      <c r="G565" s="4" t="s">
        <v>1053</v>
      </c>
      <c r="H565" s="4" t="s">
        <v>2012</v>
      </c>
      <c r="I565" s="5">
        <v>13630.1</v>
      </c>
      <c r="J565" s="3" t="s">
        <v>529</v>
      </c>
      <c r="K565" s="3" t="s">
        <v>77</v>
      </c>
      <c r="L565" s="3" t="s">
        <v>119</v>
      </c>
      <c r="M565" s="4" t="s">
        <v>2013</v>
      </c>
      <c r="N565" s="3" t="s">
        <v>56</v>
      </c>
      <c r="Y565" s="4" t="s">
        <v>1056</v>
      </c>
      <c r="Z565" s="4" t="s">
        <v>1056</v>
      </c>
      <c r="AA565" s="4" t="s">
        <v>1057</v>
      </c>
      <c r="AB565" s="3" t="s">
        <v>1057</v>
      </c>
      <c r="AC565" s="3" t="s">
        <v>1340</v>
      </c>
      <c r="AD565" s="3" t="s">
        <v>474</v>
      </c>
      <c r="AE565" s="3">
        <v>1000</v>
      </c>
      <c r="AI565" s="4" t="s">
        <v>1058</v>
      </c>
      <c r="AJ565" s="4" t="s">
        <v>1058</v>
      </c>
      <c r="AL565" s="4">
        <v>140248</v>
      </c>
      <c r="AM565" s="5">
        <v>13630.1</v>
      </c>
      <c r="AN565" s="4" t="s">
        <v>124</v>
      </c>
      <c r="AO565" s="4">
        <v>99</v>
      </c>
      <c r="AP565" s="4">
        <v>43230000</v>
      </c>
    </row>
    <row r="566" spans="1:42" x14ac:dyDescent="0.25">
      <c r="A566" s="3">
        <v>4605009</v>
      </c>
      <c r="B566" s="3" t="s">
        <v>532</v>
      </c>
      <c r="C566" s="3" t="s">
        <v>1278</v>
      </c>
      <c r="D566" s="3">
        <v>10004833</v>
      </c>
      <c r="E566" s="4">
        <v>4534360</v>
      </c>
      <c r="F566" s="3" t="s">
        <v>49</v>
      </c>
      <c r="G566" s="4" t="s">
        <v>388</v>
      </c>
      <c r="H566" s="4" t="s">
        <v>1929</v>
      </c>
      <c r="I566" s="5">
        <v>16016.01</v>
      </c>
      <c r="J566" s="3" t="s">
        <v>532</v>
      </c>
      <c r="K566" s="3" t="s">
        <v>77</v>
      </c>
      <c r="L566" s="3" t="s">
        <v>196</v>
      </c>
      <c r="M566" s="4" t="s">
        <v>1929</v>
      </c>
      <c r="N566" s="3" t="s">
        <v>25</v>
      </c>
      <c r="Y566" s="4" t="s">
        <v>1959</v>
      </c>
      <c r="Z566" s="4" t="s">
        <v>1959</v>
      </c>
      <c r="AD566" s="3" t="s">
        <v>351</v>
      </c>
      <c r="AE566" s="3">
        <v>1000</v>
      </c>
      <c r="AI566" s="4" t="s">
        <v>1960</v>
      </c>
      <c r="AJ566" s="4" t="s">
        <v>1960</v>
      </c>
      <c r="AL566" s="4">
        <v>141826</v>
      </c>
      <c r="AM566" s="5">
        <v>16016.01</v>
      </c>
      <c r="AN566" s="4" t="s">
        <v>124</v>
      </c>
      <c r="AO566" s="4">
        <v>99</v>
      </c>
      <c r="AP566" s="4">
        <v>43230000</v>
      </c>
    </row>
    <row r="567" spans="1:42" x14ac:dyDescent="0.25">
      <c r="A567" s="3">
        <v>4605012</v>
      </c>
      <c r="B567" s="3" t="s">
        <v>529</v>
      </c>
      <c r="C567" s="3" t="s">
        <v>1278</v>
      </c>
      <c r="D567" s="3">
        <v>10004823</v>
      </c>
      <c r="E567" s="4">
        <v>4534363</v>
      </c>
      <c r="F567" s="3" t="s">
        <v>49</v>
      </c>
      <c r="G567" s="4" t="s">
        <v>1427</v>
      </c>
      <c r="H567" s="4" t="s">
        <v>2014</v>
      </c>
      <c r="I567" s="5">
        <v>71900</v>
      </c>
      <c r="J567" s="3" t="s">
        <v>377</v>
      </c>
      <c r="K567" s="3" t="s">
        <v>2015</v>
      </c>
      <c r="L567" s="3" t="s">
        <v>196</v>
      </c>
      <c r="M567" s="4" t="s">
        <v>2016</v>
      </c>
      <c r="N567" s="3" t="s">
        <v>25</v>
      </c>
      <c r="Y567" s="4" t="s">
        <v>1510</v>
      </c>
      <c r="Z567" s="4" t="s">
        <v>1995</v>
      </c>
      <c r="AD567" s="3" t="s">
        <v>317</v>
      </c>
      <c r="AE567" s="3">
        <v>1000</v>
      </c>
      <c r="AI567" s="4" t="s">
        <v>1512</v>
      </c>
      <c r="AJ567" s="4" t="s">
        <v>1999</v>
      </c>
      <c r="AL567" s="4">
        <v>141764</v>
      </c>
      <c r="AM567" s="5">
        <v>71900</v>
      </c>
      <c r="AN567" s="4" t="s">
        <v>124</v>
      </c>
      <c r="AO567" s="4">
        <v>99</v>
      </c>
      <c r="AP567" s="4">
        <v>80141500</v>
      </c>
    </row>
    <row r="568" spans="1:42" x14ac:dyDescent="0.25">
      <c r="A568" s="3">
        <v>4605013</v>
      </c>
      <c r="B568" s="3" t="s">
        <v>380</v>
      </c>
      <c r="C568" s="3" t="s">
        <v>1278</v>
      </c>
      <c r="D568" s="3">
        <v>10004840</v>
      </c>
      <c r="E568" s="4">
        <v>4534364</v>
      </c>
      <c r="F568" s="3" t="s">
        <v>49</v>
      </c>
      <c r="G568" s="4" t="s">
        <v>1053</v>
      </c>
      <c r="H568" s="4" t="s">
        <v>2017</v>
      </c>
      <c r="I568" s="5">
        <v>129607.7</v>
      </c>
      <c r="J568" s="3" t="s">
        <v>371</v>
      </c>
      <c r="K568" s="3" t="s">
        <v>77</v>
      </c>
      <c r="L568" s="3" t="s">
        <v>119</v>
      </c>
      <c r="M568" s="4" t="s">
        <v>2018</v>
      </c>
      <c r="N568" s="3" t="s">
        <v>56</v>
      </c>
      <c r="Y568" s="4" t="s">
        <v>1056</v>
      </c>
      <c r="Z568" s="4" t="s">
        <v>1056</v>
      </c>
      <c r="AA568" s="4" t="s">
        <v>1057</v>
      </c>
      <c r="AB568" s="3" t="s">
        <v>1057</v>
      </c>
      <c r="AC568" s="3" t="s">
        <v>1340</v>
      </c>
      <c r="AD568" s="3" t="s">
        <v>317</v>
      </c>
      <c r="AE568" s="3">
        <v>1000</v>
      </c>
      <c r="AI568" s="4" t="s">
        <v>1058</v>
      </c>
      <c r="AJ568" s="4" t="s">
        <v>1058</v>
      </c>
      <c r="AL568" s="4">
        <v>140248</v>
      </c>
      <c r="AM568" s="5">
        <v>129607.7</v>
      </c>
      <c r="AN568" s="4" t="s">
        <v>124</v>
      </c>
      <c r="AO568" s="4">
        <v>99</v>
      </c>
      <c r="AP568" s="4">
        <v>43230000</v>
      </c>
    </row>
    <row r="569" spans="1:42" x14ac:dyDescent="0.25">
      <c r="A569" s="3">
        <v>4605014</v>
      </c>
      <c r="B569" s="3" t="s">
        <v>359</v>
      </c>
      <c r="C569" s="3" t="s">
        <v>1278</v>
      </c>
      <c r="D569" s="3">
        <v>10004868</v>
      </c>
      <c r="E569" s="4">
        <v>4534365</v>
      </c>
      <c r="F569" s="3" t="s">
        <v>49</v>
      </c>
      <c r="G569" s="4" t="s">
        <v>1603</v>
      </c>
      <c r="I569" s="5">
        <v>1771</v>
      </c>
      <c r="J569" s="3" t="s">
        <v>1944</v>
      </c>
      <c r="K569" s="3" t="s">
        <v>359</v>
      </c>
      <c r="L569" s="3" t="s">
        <v>1046</v>
      </c>
      <c r="M569" s="4" t="s">
        <v>2019</v>
      </c>
      <c r="N569" s="3" t="s">
        <v>25</v>
      </c>
      <c r="Y569" s="4" t="s">
        <v>1966</v>
      </c>
      <c r="Z569" s="4" t="s">
        <v>1966</v>
      </c>
      <c r="AD569" s="3" t="s">
        <v>317</v>
      </c>
      <c r="AE569" s="3">
        <v>1000</v>
      </c>
      <c r="AI569" s="4" t="s">
        <v>1967</v>
      </c>
      <c r="AJ569" s="4" t="s">
        <v>1967</v>
      </c>
      <c r="AL569" s="4">
        <v>41323</v>
      </c>
      <c r="AM569" s="5">
        <v>1771</v>
      </c>
      <c r="AN569" s="4" t="s">
        <v>124</v>
      </c>
    </row>
    <row r="570" spans="1:42" x14ac:dyDescent="0.25">
      <c r="A570" s="3">
        <v>4605015</v>
      </c>
      <c r="B570" s="3" t="s">
        <v>359</v>
      </c>
      <c r="C570" s="3" t="s">
        <v>1278</v>
      </c>
      <c r="D570" s="3">
        <v>10004867</v>
      </c>
      <c r="E570" s="4">
        <v>4534366</v>
      </c>
      <c r="F570" s="3" t="s">
        <v>49</v>
      </c>
      <c r="G570" s="4" t="s">
        <v>1603</v>
      </c>
      <c r="I570" s="5">
        <v>4048</v>
      </c>
      <c r="J570" s="3" t="s">
        <v>1944</v>
      </c>
      <c r="K570" s="3" t="s">
        <v>359</v>
      </c>
      <c r="L570" s="3" t="s">
        <v>1046</v>
      </c>
      <c r="M570" s="4" t="s">
        <v>2020</v>
      </c>
      <c r="N570" s="3" t="s">
        <v>25</v>
      </c>
      <c r="Y570" s="4" t="s">
        <v>1966</v>
      </c>
      <c r="Z570" s="4" t="s">
        <v>1966</v>
      </c>
      <c r="AD570" s="3" t="s">
        <v>317</v>
      </c>
      <c r="AE570" s="3">
        <v>1000</v>
      </c>
      <c r="AI570" s="4" t="s">
        <v>1967</v>
      </c>
      <c r="AJ570" s="4" t="s">
        <v>1967</v>
      </c>
      <c r="AL570" s="4">
        <v>41323</v>
      </c>
      <c r="AM570" s="5">
        <v>4048</v>
      </c>
      <c r="AN570" s="4" t="s">
        <v>124</v>
      </c>
    </row>
    <row r="571" spans="1:42" x14ac:dyDescent="0.25">
      <c r="A571" s="3">
        <v>4605016</v>
      </c>
      <c r="B571" s="3" t="s">
        <v>53</v>
      </c>
      <c r="C571" s="3" t="s">
        <v>1278</v>
      </c>
      <c r="D571" s="3">
        <v>10004858</v>
      </c>
      <c r="E571" s="4">
        <v>4534367</v>
      </c>
      <c r="F571" s="3" t="s">
        <v>49</v>
      </c>
      <c r="G571" s="4" t="s">
        <v>1174</v>
      </c>
      <c r="I571" s="5">
        <v>1760</v>
      </c>
      <c r="J571" s="3" t="s">
        <v>711</v>
      </c>
      <c r="K571" s="3" t="s">
        <v>711</v>
      </c>
      <c r="L571" s="3" t="s">
        <v>1046</v>
      </c>
      <c r="M571" s="4" t="s">
        <v>2021</v>
      </c>
      <c r="N571" s="3" t="s">
        <v>25</v>
      </c>
      <c r="Y571" s="4" t="s">
        <v>1966</v>
      </c>
      <c r="Z571" s="4" t="s">
        <v>1966</v>
      </c>
      <c r="AD571" s="3" t="s">
        <v>317</v>
      </c>
      <c r="AE571" s="3">
        <v>1000</v>
      </c>
      <c r="AI571" s="4" t="s">
        <v>1967</v>
      </c>
      <c r="AJ571" s="4" t="s">
        <v>1967</v>
      </c>
      <c r="AL571" s="4">
        <v>42811</v>
      </c>
      <c r="AM571" s="5">
        <v>1760</v>
      </c>
      <c r="AN571" s="4" t="s">
        <v>124</v>
      </c>
    </row>
    <row r="572" spans="1:42" x14ac:dyDescent="0.25">
      <c r="A572" s="3">
        <v>4605019</v>
      </c>
      <c r="B572" s="3" t="s">
        <v>485</v>
      </c>
      <c r="C572" s="3" t="s">
        <v>1278</v>
      </c>
      <c r="D572" s="3">
        <v>10004853</v>
      </c>
      <c r="E572" s="4">
        <v>4534370</v>
      </c>
      <c r="F572" s="3" t="s">
        <v>49</v>
      </c>
      <c r="G572" s="4" t="s">
        <v>2022</v>
      </c>
      <c r="H572" s="4" t="s">
        <v>2023</v>
      </c>
      <c r="I572" s="5">
        <v>120000</v>
      </c>
      <c r="J572" s="3" t="s">
        <v>474</v>
      </c>
      <c r="K572" s="3" t="s">
        <v>374</v>
      </c>
      <c r="L572" s="3" t="s">
        <v>196</v>
      </c>
      <c r="M572" s="4" t="s">
        <v>2024</v>
      </c>
      <c r="N572" s="3" t="s">
        <v>25</v>
      </c>
      <c r="Y572" s="4" t="s">
        <v>1056</v>
      </c>
      <c r="Z572" s="4" t="s">
        <v>1056</v>
      </c>
      <c r="AD572" s="3" t="s">
        <v>287</v>
      </c>
      <c r="AE572" s="3">
        <v>1000</v>
      </c>
      <c r="AI572" s="4" t="s">
        <v>1058</v>
      </c>
      <c r="AJ572" s="4" t="s">
        <v>1058</v>
      </c>
      <c r="AL572" s="4">
        <v>141918</v>
      </c>
      <c r="AM572" s="5">
        <v>120000</v>
      </c>
      <c r="AN572" s="4" t="s">
        <v>124</v>
      </c>
      <c r="AO572" s="4">
        <v>99</v>
      </c>
      <c r="AP572" s="4">
        <v>43220000</v>
      </c>
    </row>
    <row r="573" spans="1:42" x14ac:dyDescent="0.25">
      <c r="A573" s="3">
        <v>4605020</v>
      </c>
      <c r="B573" s="3" t="s">
        <v>380</v>
      </c>
      <c r="C573" s="3" t="s">
        <v>1278</v>
      </c>
      <c r="D573" s="3">
        <v>10004855</v>
      </c>
      <c r="E573" s="4">
        <v>4534371</v>
      </c>
      <c r="F573" s="3" t="s">
        <v>49</v>
      </c>
      <c r="G573" s="4" t="s">
        <v>1085</v>
      </c>
      <c r="H573" s="4" t="s">
        <v>2025</v>
      </c>
      <c r="I573" s="5">
        <v>174299</v>
      </c>
      <c r="J573" s="3" t="s">
        <v>474</v>
      </c>
      <c r="K573" s="3" t="s">
        <v>77</v>
      </c>
      <c r="L573" s="3" t="s">
        <v>196</v>
      </c>
      <c r="M573" s="4" t="s">
        <v>2025</v>
      </c>
      <c r="N573" s="3" t="s">
        <v>25</v>
      </c>
      <c r="Y573" s="4" t="s">
        <v>267</v>
      </c>
      <c r="Z573" s="4" t="s">
        <v>267</v>
      </c>
      <c r="AD573" s="3" t="s">
        <v>385</v>
      </c>
      <c r="AE573" s="3">
        <v>1000</v>
      </c>
      <c r="AI573" s="4" t="s">
        <v>270</v>
      </c>
      <c r="AJ573" s="4" t="s">
        <v>270</v>
      </c>
      <c r="AL573" s="4">
        <v>30502</v>
      </c>
      <c r="AM573" s="5">
        <v>174299</v>
      </c>
      <c r="AN573" s="4" t="s">
        <v>124</v>
      </c>
      <c r="AO573" s="4">
        <v>99</v>
      </c>
      <c r="AP573" s="4">
        <v>93141805</v>
      </c>
    </row>
    <row r="574" spans="1:42" x14ac:dyDescent="0.25">
      <c r="A574" s="3">
        <v>4605021</v>
      </c>
      <c r="B574" s="3" t="s">
        <v>534</v>
      </c>
      <c r="C574" s="3" t="s">
        <v>1278</v>
      </c>
      <c r="D574" s="3">
        <v>10004825</v>
      </c>
      <c r="E574" s="4">
        <v>4534372</v>
      </c>
      <c r="F574" s="3" t="s">
        <v>49</v>
      </c>
      <c r="G574" s="4" t="s">
        <v>1759</v>
      </c>
      <c r="I574" s="5">
        <v>5031.18</v>
      </c>
      <c r="J574" s="3" t="s">
        <v>534</v>
      </c>
      <c r="K574" s="3" t="s">
        <v>77</v>
      </c>
      <c r="L574" s="3" t="s">
        <v>196</v>
      </c>
      <c r="M574" s="4" t="s">
        <v>2026</v>
      </c>
      <c r="N574" s="3" t="s">
        <v>25</v>
      </c>
      <c r="Y574" s="4" t="s">
        <v>1959</v>
      </c>
      <c r="Z574" s="4" t="s">
        <v>1959</v>
      </c>
      <c r="AD574" s="3" t="s">
        <v>380</v>
      </c>
      <c r="AE574" s="3">
        <v>1000</v>
      </c>
      <c r="AI574" s="4" t="s">
        <v>1960</v>
      </c>
      <c r="AJ574" s="4" t="s">
        <v>1960</v>
      </c>
      <c r="AL574" s="4">
        <v>141842</v>
      </c>
      <c r="AM574" s="5">
        <v>5031.18</v>
      </c>
      <c r="AN574" s="4" t="s">
        <v>124</v>
      </c>
    </row>
    <row r="575" spans="1:42" x14ac:dyDescent="0.25">
      <c r="A575" s="3">
        <v>4605022</v>
      </c>
      <c r="B575" s="3" t="s">
        <v>380</v>
      </c>
      <c r="C575" s="3" t="s">
        <v>1278</v>
      </c>
      <c r="D575" s="3">
        <v>10004871</v>
      </c>
      <c r="E575" s="4">
        <v>4534373</v>
      </c>
      <c r="F575" s="3" t="s">
        <v>49</v>
      </c>
      <c r="G575" s="4" t="s">
        <v>1357</v>
      </c>
      <c r="H575" s="4" t="s">
        <v>1929</v>
      </c>
      <c r="I575" s="5">
        <v>110000</v>
      </c>
      <c r="J575" s="3" t="s">
        <v>380</v>
      </c>
      <c r="K575" s="3" t="s">
        <v>77</v>
      </c>
      <c r="L575" s="3" t="s">
        <v>1046</v>
      </c>
      <c r="M575" s="4" t="s">
        <v>1929</v>
      </c>
      <c r="N575" s="3" t="s">
        <v>25</v>
      </c>
      <c r="Y575" s="4" t="s">
        <v>1959</v>
      </c>
      <c r="Z575" s="4" t="s">
        <v>1959</v>
      </c>
      <c r="AD575" s="3" t="s">
        <v>385</v>
      </c>
      <c r="AE575" s="3">
        <v>1000</v>
      </c>
      <c r="AI575" s="4" t="s">
        <v>1960</v>
      </c>
      <c r="AJ575" s="4" t="s">
        <v>1960</v>
      </c>
      <c r="AL575" s="4">
        <v>49941</v>
      </c>
      <c r="AM575" s="5">
        <v>110000</v>
      </c>
      <c r="AN575" s="4" t="s">
        <v>124</v>
      </c>
      <c r="AO575" s="4">
        <v>99</v>
      </c>
      <c r="AP575" s="4">
        <v>80101507</v>
      </c>
    </row>
    <row r="576" spans="1:42" x14ac:dyDescent="0.25">
      <c r="A576" s="3">
        <v>4605023</v>
      </c>
      <c r="B576" s="3" t="s">
        <v>485</v>
      </c>
      <c r="C576" s="3" t="s">
        <v>1278</v>
      </c>
      <c r="D576" s="3">
        <v>10004869</v>
      </c>
      <c r="E576" s="4">
        <v>4534374</v>
      </c>
      <c r="F576" s="3" t="s">
        <v>49</v>
      </c>
      <c r="G576" s="4" t="s">
        <v>1918</v>
      </c>
      <c r="H576" s="4" t="s">
        <v>2027</v>
      </c>
      <c r="I576" s="5">
        <v>21560</v>
      </c>
      <c r="J576" s="3" t="s">
        <v>485</v>
      </c>
      <c r="K576" s="3" t="s">
        <v>77</v>
      </c>
      <c r="L576" s="3" t="s">
        <v>196</v>
      </c>
      <c r="M576" s="4" t="s">
        <v>2027</v>
      </c>
      <c r="N576" s="3" t="s">
        <v>25</v>
      </c>
      <c r="Y576" s="4" t="s">
        <v>2028</v>
      </c>
      <c r="Z576" s="4" t="s">
        <v>1176</v>
      </c>
      <c r="AD576" s="3" t="s">
        <v>385</v>
      </c>
      <c r="AE576" s="3">
        <v>1000</v>
      </c>
      <c r="AI576" s="4" t="s">
        <v>2029</v>
      </c>
      <c r="AJ576" s="4" t="s">
        <v>1178</v>
      </c>
      <c r="AL576" s="4">
        <v>141891</v>
      </c>
      <c r="AM576" s="5">
        <v>21560</v>
      </c>
      <c r="AN576" s="4" t="s">
        <v>124</v>
      </c>
      <c r="AO576" s="4">
        <v>99</v>
      </c>
      <c r="AP576" s="4">
        <v>80101504</v>
      </c>
    </row>
    <row r="577" spans="1:42" x14ac:dyDescent="0.25">
      <c r="A577" s="3">
        <v>4605025</v>
      </c>
      <c r="B577" s="3" t="s">
        <v>385</v>
      </c>
      <c r="C577" s="3" t="s">
        <v>1278</v>
      </c>
      <c r="D577" s="3">
        <v>10004863</v>
      </c>
      <c r="E577" s="4">
        <v>4534376</v>
      </c>
      <c r="F577" s="3" t="s">
        <v>49</v>
      </c>
      <c r="G577" s="4" t="s">
        <v>1053</v>
      </c>
      <c r="H577" s="4" t="s">
        <v>2030</v>
      </c>
      <c r="I577" s="5">
        <v>32197.73</v>
      </c>
      <c r="J577" s="3" t="s">
        <v>77</v>
      </c>
      <c r="K577" s="3" t="s">
        <v>575</v>
      </c>
      <c r="L577" s="3" t="s">
        <v>119</v>
      </c>
      <c r="M577" s="4" t="s">
        <v>2031</v>
      </c>
      <c r="N577" s="3" t="s">
        <v>56</v>
      </c>
      <c r="Y577" s="4" t="s">
        <v>1056</v>
      </c>
      <c r="Z577" s="4" t="s">
        <v>1056</v>
      </c>
      <c r="AA577" s="4" t="s">
        <v>1057</v>
      </c>
      <c r="AB577" s="3" t="s">
        <v>1057</v>
      </c>
      <c r="AC577" s="3" t="s">
        <v>1340</v>
      </c>
      <c r="AD577" s="3" t="s">
        <v>385</v>
      </c>
      <c r="AE577" s="3">
        <v>1000</v>
      </c>
      <c r="AI577" s="4" t="s">
        <v>1058</v>
      </c>
      <c r="AJ577" s="4" t="s">
        <v>1058</v>
      </c>
      <c r="AL577" s="4">
        <v>140248</v>
      </c>
      <c r="AM577" s="5">
        <v>32197.73</v>
      </c>
      <c r="AN577" s="4" t="s">
        <v>124</v>
      </c>
      <c r="AO577" s="4">
        <v>99</v>
      </c>
      <c r="AP577" s="4">
        <v>43230000</v>
      </c>
    </row>
    <row r="578" spans="1:42" x14ac:dyDescent="0.25">
      <c r="A578" s="3">
        <v>4605026</v>
      </c>
      <c r="B578" s="3" t="s">
        <v>376</v>
      </c>
      <c r="C578" s="3" t="s">
        <v>1278</v>
      </c>
      <c r="D578" s="3">
        <v>10004826</v>
      </c>
      <c r="E578" s="4">
        <v>4534377</v>
      </c>
      <c r="F578" s="3" t="s">
        <v>49</v>
      </c>
      <c r="G578" s="4" t="s">
        <v>1053</v>
      </c>
      <c r="H578" s="4" t="s">
        <v>2032</v>
      </c>
      <c r="I578" s="5">
        <v>63171.9</v>
      </c>
      <c r="J578" s="3" t="s">
        <v>371</v>
      </c>
      <c r="K578" s="3" t="s">
        <v>374</v>
      </c>
      <c r="L578" s="3" t="s">
        <v>119</v>
      </c>
      <c r="M578" s="4" t="s">
        <v>2033</v>
      </c>
      <c r="N578" s="3" t="s">
        <v>56</v>
      </c>
      <c r="Y578" s="4" t="s">
        <v>1056</v>
      </c>
      <c r="Z578" s="4" t="s">
        <v>1056</v>
      </c>
      <c r="AA578" s="4" t="s">
        <v>1057</v>
      </c>
      <c r="AB578" s="3" t="s">
        <v>1057</v>
      </c>
      <c r="AC578" s="3" t="s">
        <v>1340</v>
      </c>
      <c r="AD578" s="3" t="s">
        <v>385</v>
      </c>
      <c r="AE578" s="3">
        <v>1000</v>
      </c>
      <c r="AI578" s="4" t="s">
        <v>1058</v>
      </c>
      <c r="AJ578" s="4" t="s">
        <v>1058</v>
      </c>
      <c r="AL578" s="4">
        <v>140248</v>
      </c>
      <c r="AM578" s="5">
        <v>63171.9</v>
      </c>
      <c r="AN578" s="4" t="s">
        <v>124</v>
      </c>
      <c r="AO578" s="4">
        <v>99</v>
      </c>
      <c r="AP578" s="4">
        <v>43222500</v>
      </c>
    </row>
    <row r="579" spans="1:42" x14ac:dyDescent="0.25">
      <c r="A579" s="3">
        <v>4605027</v>
      </c>
      <c r="B579" s="3" t="s">
        <v>385</v>
      </c>
      <c r="C579" s="3" t="s">
        <v>1278</v>
      </c>
      <c r="D579" s="3">
        <v>10004872</v>
      </c>
      <c r="E579" s="4">
        <v>4534378</v>
      </c>
      <c r="F579" s="3" t="s">
        <v>49</v>
      </c>
      <c r="G579" s="4" t="s">
        <v>2022</v>
      </c>
      <c r="H579" s="4" t="s">
        <v>2034</v>
      </c>
      <c r="I579" s="5">
        <v>40885.050000000003</v>
      </c>
      <c r="J579" s="3" t="s">
        <v>407</v>
      </c>
      <c r="K579" s="3" t="s">
        <v>77</v>
      </c>
      <c r="L579" s="3" t="s">
        <v>196</v>
      </c>
      <c r="M579" s="4" t="s">
        <v>2035</v>
      </c>
      <c r="N579" s="3" t="s">
        <v>25</v>
      </c>
      <c r="Y579" s="4" t="s">
        <v>1510</v>
      </c>
      <c r="Z579" s="4" t="s">
        <v>1995</v>
      </c>
      <c r="AD579" s="3" t="s">
        <v>351</v>
      </c>
      <c r="AE579" s="3">
        <v>1000</v>
      </c>
      <c r="AI579" s="4" t="s">
        <v>1512</v>
      </c>
      <c r="AJ579" s="4" t="s">
        <v>1999</v>
      </c>
      <c r="AL579" s="4">
        <v>141918</v>
      </c>
      <c r="AM579" s="5">
        <v>40885.050000000003</v>
      </c>
      <c r="AN579" s="4" t="s">
        <v>124</v>
      </c>
      <c r="AO579" s="4">
        <v>99</v>
      </c>
      <c r="AP579" s="4">
        <v>43190000</v>
      </c>
    </row>
    <row r="580" spans="1:42" x14ac:dyDescent="0.25">
      <c r="A580" s="3">
        <v>4605028</v>
      </c>
      <c r="B580" s="3" t="s">
        <v>1159</v>
      </c>
      <c r="C580" s="3" t="s">
        <v>1278</v>
      </c>
      <c r="D580" s="3">
        <v>10004873</v>
      </c>
      <c r="E580" s="4">
        <v>4534379</v>
      </c>
      <c r="F580" s="3" t="s">
        <v>49</v>
      </c>
      <c r="G580" s="4" t="s">
        <v>1561</v>
      </c>
      <c r="H580" s="4" t="s">
        <v>2036</v>
      </c>
      <c r="I580" s="5">
        <v>114783.29</v>
      </c>
      <c r="J580" s="3" t="s">
        <v>485</v>
      </c>
      <c r="K580" s="3" t="s">
        <v>77</v>
      </c>
      <c r="L580" s="3" t="s">
        <v>196</v>
      </c>
      <c r="M580" s="4" t="s">
        <v>2037</v>
      </c>
      <c r="N580" s="3" t="s">
        <v>25</v>
      </c>
      <c r="Y580" s="4" t="s">
        <v>1056</v>
      </c>
      <c r="Z580" s="4" t="s">
        <v>1056</v>
      </c>
      <c r="AD580" s="3" t="s">
        <v>351</v>
      </c>
      <c r="AE580" s="3">
        <v>1000</v>
      </c>
      <c r="AI580" s="4" t="s">
        <v>1058</v>
      </c>
      <c r="AJ580" s="4" t="s">
        <v>1058</v>
      </c>
      <c r="AL580" s="4">
        <v>30955</v>
      </c>
      <c r="AM580" s="5">
        <v>114783.29</v>
      </c>
      <c r="AN580" s="4" t="s">
        <v>124</v>
      </c>
      <c r="AO580" s="4">
        <v>99</v>
      </c>
      <c r="AP580" s="4">
        <v>43230000</v>
      </c>
    </row>
    <row r="581" spans="1:42" x14ac:dyDescent="0.25">
      <c r="A581" s="3">
        <v>4605031</v>
      </c>
      <c r="B581" s="3" t="s">
        <v>1159</v>
      </c>
      <c r="C581" s="3" t="s">
        <v>1278</v>
      </c>
      <c r="D581" s="3">
        <v>10004852</v>
      </c>
      <c r="E581" s="4">
        <v>4534382</v>
      </c>
      <c r="F581" s="3" t="s">
        <v>49</v>
      </c>
      <c r="G581" s="4" t="s">
        <v>2038</v>
      </c>
      <c r="H581" s="4" t="s">
        <v>2039</v>
      </c>
      <c r="I581" s="5">
        <v>16185.71</v>
      </c>
      <c r="J581" s="3" t="s">
        <v>1491</v>
      </c>
      <c r="K581" s="3" t="s">
        <v>77</v>
      </c>
      <c r="L581" s="3" t="s">
        <v>196</v>
      </c>
      <c r="M581" s="4" t="s">
        <v>2040</v>
      </c>
      <c r="N581" s="3" t="s">
        <v>25</v>
      </c>
      <c r="Y581" s="4" t="s">
        <v>1068</v>
      </c>
      <c r="Z581" s="4" t="s">
        <v>1090</v>
      </c>
      <c r="AD581" s="3" t="s">
        <v>1159</v>
      </c>
      <c r="AE581" s="3">
        <v>1000</v>
      </c>
      <c r="AI581" s="4" t="s">
        <v>1071</v>
      </c>
      <c r="AJ581" s="4" t="s">
        <v>1091</v>
      </c>
      <c r="AL581" s="4">
        <v>141916</v>
      </c>
      <c r="AM581" s="5">
        <v>16185.71</v>
      </c>
      <c r="AN581" s="4" t="s">
        <v>124</v>
      </c>
      <c r="AO581" s="4">
        <v>99</v>
      </c>
      <c r="AP581" s="4">
        <v>47120000</v>
      </c>
    </row>
    <row r="582" spans="1:42" x14ac:dyDescent="0.25">
      <c r="A582" s="3">
        <v>4605032</v>
      </c>
      <c r="B582" s="3" t="s">
        <v>317</v>
      </c>
      <c r="C582" s="3" t="s">
        <v>1278</v>
      </c>
      <c r="D582" s="3">
        <v>10004887</v>
      </c>
      <c r="E582" s="4">
        <v>4534383</v>
      </c>
      <c r="F582" s="3" t="s">
        <v>49</v>
      </c>
      <c r="G582" s="4" t="s">
        <v>1657</v>
      </c>
      <c r="H582" s="4" t="s">
        <v>2041</v>
      </c>
      <c r="I582" s="5">
        <v>11660</v>
      </c>
      <c r="J582" s="3" t="s">
        <v>317</v>
      </c>
      <c r="K582" s="3" t="s">
        <v>77</v>
      </c>
      <c r="L582" s="3" t="s">
        <v>196</v>
      </c>
      <c r="M582" s="4" t="s">
        <v>2041</v>
      </c>
      <c r="N582" s="3" t="s">
        <v>25</v>
      </c>
      <c r="Y582" s="4" t="s">
        <v>2042</v>
      </c>
      <c r="Z582" s="4" t="s">
        <v>2042</v>
      </c>
      <c r="AD582" s="3" t="s">
        <v>351</v>
      </c>
      <c r="AE582" s="3">
        <v>1000</v>
      </c>
      <c r="AI582" s="4" t="s">
        <v>2043</v>
      </c>
      <c r="AJ582" s="4" t="s">
        <v>2043</v>
      </c>
      <c r="AL582" s="4">
        <v>47407</v>
      </c>
      <c r="AM582" s="5">
        <v>11660</v>
      </c>
      <c r="AN582" s="4" t="s">
        <v>124</v>
      </c>
      <c r="AO582" s="4">
        <v>99</v>
      </c>
      <c r="AP582" s="4">
        <v>56101700</v>
      </c>
    </row>
    <row r="583" spans="1:42" x14ac:dyDescent="0.25">
      <c r="A583" s="3">
        <v>4605034</v>
      </c>
      <c r="B583" s="3" t="s">
        <v>351</v>
      </c>
      <c r="C583" s="3" t="s">
        <v>1278</v>
      </c>
      <c r="D583" s="3">
        <v>10004880</v>
      </c>
      <c r="E583" s="4">
        <v>4534385</v>
      </c>
      <c r="F583" s="3" t="s">
        <v>49</v>
      </c>
      <c r="G583" s="4" t="s">
        <v>393</v>
      </c>
      <c r="H583" s="4" t="s">
        <v>2044</v>
      </c>
      <c r="I583" s="5">
        <v>110687.5</v>
      </c>
      <c r="J583" s="3" t="s">
        <v>407</v>
      </c>
      <c r="K583" s="3" t="s">
        <v>575</v>
      </c>
      <c r="L583" s="3" t="s">
        <v>119</v>
      </c>
      <c r="M583" s="4" t="s">
        <v>2044</v>
      </c>
      <c r="N583" s="3" t="s">
        <v>56</v>
      </c>
      <c r="Y583" s="4" t="s">
        <v>179</v>
      </c>
      <c r="Z583" s="4" t="s">
        <v>179</v>
      </c>
      <c r="AA583" s="4" t="s">
        <v>2045</v>
      </c>
      <c r="AB583" s="3" t="s">
        <v>2046</v>
      </c>
      <c r="AC583" s="3" t="s">
        <v>2047</v>
      </c>
      <c r="AD583" s="3" t="s">
        <v>351</v>
      </c>
      <c r="AE583" s="3">
        <v>1000</v>
      </c>
      <c r="AI583" s="4" t="s">
        <v>182</v>
      </c>
      <c r="AJ583" s="4" t="s">
        <v>182</v>
      </c>
      <c r="AL583" s="4">
        <v>51455</v>
      </c>
      <c r="AM583" s="5">
        <v>110687.5</v>
      </c>
      <c r="AN583" s="4" t="s">
        <v>124</v>
      </c>
      <c r="AO583" s="4">
        <v>99</v>
      </c>
      <c r="AP583" s="4">
        <v>86000000</v>
      </c>
    </row>
    <row r="584" spans="1:42" x14ac:dyDescent="0.25">
      <c r="A584" s="3">
        <v>4605038</v>
      </c>
      <c r="B584" s="3" t="s">
        <v>351</v>
      </c>
      <c r="C584" s="3" t="s">
        <v>1278</v>
      </c>
      <c r="D584" s="3">
        <v>10004886</v>
      </c>
      <c r="E584" s="4">
        <v>4534389</v>
      </c>
      <c r="F584" s="3" t="s">
        <v>49</v>
      </c>
      <c r="G584" s="4" t="s">
        <v>2048</v>
      </c>
      <c r="H584" s="4" t="s">
        <v>2049</v>
      </c>
      <c r="I584" s="5">
        <v>20679.3</v>
      </c>
      <c r="J584" s="3" t="s">
        <v>351</v>
      </c>
      <c r="K584" s="3" t="s">
        <v>77</v>
      </c>
      <c r="L584" s="3" t="s">
        <v>196</v>
      </c>
      <c r="M584" s="4" t="s">
        <v>2049</v>
      </c>
      <c r="N584" s="3" t="s">
        <v>25</v>
      </c>
      <c r="Y584" s="4" t="s">
        <v>1959</v>
      </c>
      <c r="Z584" s="4" t="s">
        <v>1959</v>
      </c>
      <c r="AD584" s="3" t="s">
        <v>351</v>
      </c>
      <c r="AE584" s="3">
        <v>1000</v>
      </c>
      <c r="AI584" s="4" t="s">
        <v>1960</v>
      </c>
      <c r="AJ584" s="4" t="s">
        <v>1960</v>
      </c>
      <c r="AL584" s="4">
        <v>48912</v>
      </c>
      <c r="AM584" s="5">
        <v>20679.3</v>
      </c>
      <c r="AN584" s="4" t="s">
        <v>124</v>
      </c>
      <c r="AO584" s="4">
        <v>99</v>
      </c>
      <c r="AP584" s="4">
        <v>52161500</v>
      </c>
    </row>
    <row r="585" spans="1:42" x14ac:dyDescent="0.25">
      <c r="A585" s="3">
        <v>4605039</v>
      </c>
      <c r="B585" s="3" t="s">
        <v>369</v>
      </c>
      <c r="C585" s="3" t="s">
        <v>1278</v>
      </c>
      <c r="D585" s="3">
        <v>10004888</v>
      </c>
      <c r="E585" s="4">
        <v>4534390</v>
      </c>
      <c r="F585" s="3" t="s">
        <v>49</v>
      </c>
      <c r="G585" s="4" t="s">
        <v>1053</v>
      </c>
      <c r="H585" s="4" t="s">
        <v>2050</v>
      </c>
      <c r="I585" s="5">
        <v>13755.72</v>
      </c>
      <c r="J585" s="3" t="s">
        <v>369</v>
      </c>
      <c r="K585" s="3" t="s">
        <v>374</v>
      </c>
      <c r="L585" s="3" t="s">
        <v>119</v>
      </c>
      <c r="M585" s="4" t="s">
        <v>2051</v>
      </c>
      <c r="N585" s="3" t="s">
        <v>56</v>
      </c>
      <c r="Y585" s="4" t="s">
        <v>1056</v>
      </c>
      <c r="Z585" s="4" t="s">
        <v>1056</v>
      </c>
      <c r="AA585" s="4" t="s">
        <v>1057</v>
      </c>
      <c r="AB585" s="3" t="s">
        <v>1057</v>
      </c>
      <c r="AC585" s="3" t="s">
        <v>1340</v>
      </c>
      <c r="AD585" s="3" t="s">
        <v>369</v>
      </c>
      <c r="AE585" s="3">
        <v>1000</v>
      </c>
      <c r="AI585" s="4" t="s">
        <v>1058</v>
      </c>
      <c r="AJ585" s="4" t="s">
        <v>1058</v>
      </c>
      <c r="AL585" s="4">
        <v>140248</v>
      </c>
      <c r="AM585" s="5">
        <v>13755.72</v>
      </c>
      <c r="AN585" s="4" t="s">
        <v>124</v>
      </c>
      <c r="AO585" s="4">
        <v>99</v>
      </c>
      <c r="AP585" s="4">
        <v>43222500</v>
      </c>
    </row>
    <row r="586" spans="1:42" x14ac:dyDescent="0.25">
      <c r="A586" s="3">
        <v>4605043</v>
      </c>
      <c r="B586" s="3" t="s">
        <v>369</v>
      </c>
      <c r="C586" s="3" t="s">
        <v>1278</v>
      </c>
      <c r="D586" s="3">
        <v>10004865</v>
      </c>
      <c r="E586" s="4">
        <v>4534394</v>
      </c>
      <c r="F586" s="3" t="s">
        <v>49</v>
      </c>
      <c r="G586" s="4" t="s">
        <v>1968</v>
      </c>
      <c r="H586" s="4" t="s">
        <v>2052</v>
      </c>
      <c r="I586" s="5">
        <v>57464</v>
      </c>
      <c r="J586" s="3" t="s">
        <v>317</v>
      </c>
      <c r="K586" s="3" t="s">
        <v>77</v>
      </c>
      <c r="L586" s="3" t="s">
        <v>196</v>
      </c>
      <c r="M586" s="4" t="s">
        <v>2052</v>
      </c>
      <c r="N586" s="3" t="s">
        <v>25</v>
      </c>
      <c r="Y586" s="4" t="s">
        <v>1959</v>
      </c>
      <c r="Z586" s="4" t="s">
        <v>1959</v>
      </c>
      <c r="AD586" s="3" t="s">
        <v>369</v>
      </c>
      <c r="AE586" s="3">
        <v>1000</v>
      </c>
      <c r="AI586" s="4" t="s">
        <v>1960</v>
      </c>
      <c r="AJ586" s="4" t="s">
        <v>1960</v>
      </c>
      <c r="AL586" s="4">
        <v>141901</v>
      </c>
      <c r="AM586" s="5">
        <v>57464</v>
      </c>
      <c r="AN586" s="4" t="s">
        <v>124</v>
      </c>
      <c r="AO586" s="4">
        <v>99</v>
      </c>
      <c r="AP586" s="4">
        <v>80101504</v>
      </c>
    </row>
    <row r="587" spans="1:42" x14ac:dyDescent="0.25">
      <c r="A587" s="3">
        <v>4605044</v>
      </c>
      <c r="B587" s="3" t="s">
        <v>543</v>
      </c>
      <c r="C587" s="3" t="s">
        <v>1278</v>
      </c>
      <c r="D587" s="3">
        <v>10004894</v>
      </c>
      <c r="E587" s="4">
        <v>4534395</v>
      </c>
      <c r="F587" s="3" t="s">
        <v>49</v>
      </c>
      <c r="G587" s="4" t="s">
        <v>1360</v>
      </c>
      <c r="H587" s="4" t="s">
        <v>2053</v>
      </c>
      <c r="I587" s="5">
        <v>36300</v>
      </c>
      <c r="J587" s="3" t="s">
        <v>543</v>
      </c>
      <c r="K587" s="3" t="s">
        <v>77</v>
      </c>
      <c r="L587" s="3" t="s">
        <v>119</v>
      </c>
      <c r="M587" s="4" t="s">
        <v>2053</v>
      </c>
      <c r="N587" s="3" t="s">
        <v>56</v>
      </c>
      <c r="Y587" s="4" t="s">
        <v>1959</v>
      </c>
      <c r="Z587" s="4" t="s">
        <v>1959</v>
      </c>
      <c r="AA587" s="4" t="s">
        <v>1324</v>
      </c>
      <c r="AB587" s="3" t="s">
        <v>1363</v>
      </c>
      <c r="AC587" s="3" t="s">
        <v>1326</v>
      </c>
      <c r="AD587" s="3" t="s">
        <v>369</v>
      </c>
      <c r="AE587" s="3">
        <v>1000</v>
      </c>
      <c r="AI587" s="4" t="s">
        <v>1960</v>
      </c>
      <c r="AJ587" s="4" t="s">
        <v>1960</v>
      </c>
      <c r="AL587" s="4">
        <v>49879</v>
      </c>
      <c r="AM587" s="5">
        <v>36300</v>
      </c>
      <c r="AN587" s="4" t="s">
        <v>124</v>
      </c>
      <c r="AO587" s="4">
        <v>99</v>
      </c>
      <c r="AP587" s="4">
        <v>43230000</v>
      </c>
    </row>
    <row r="588" spans="1:42" x14ac:dyDescent="0.25">
      <c r="A588" s="3">
        <v>4605052</v>
      </c>
      <c r="B588" s="3" t="s">
        <v>543</v>
      </c>
      <c r="C588" s="3" t="s">
        <v>1278</v>
      </c>
      <c r="D588" s="3">
        <v>10004906</v>
      </c>
      <c r="E588" s="4">
        <v>4534403</v>
      </c>
      <c r="F588" s="3" t="s">
        <v>49</v>
      </c>
      <c r="G588" s="4" t="s">
        <v>2022</v>
      </c>
      <c r="I588" s="5">
        <v>8836.34</v>
      </c>
      <c r="J588" s="3" t="s">
        <v>439</v>
      </c>
      <c r="K588" s="3" t="s">
        <v>374</v>
      </c>
      <c r="L588" s="3" t="s">
        <v>196</v>
      </c>
      <c r="M588" s="4" t="s">
        <v>2054</v>
      </c>
      <c r="N588" s="3" t="s">
        <v>25</v>
      </c>
      <c r="Y588" s="4" t="s">
        <v>1056</v>
      </c>
      <c r="Z588" s="4" t="s">
        <v>1056</v>
      </c>
      <c r="AD588" s="3" t="s">
        <v>543</v>
      </c>
      <c r="AE588" s="3">
        <v>1000</v>
      </c>
      <c r="AI588" s="4" t="s">
        <v>1058</v>
      </c>
      <c r="AJ588" s="4" t="s">
        <v>1058</v>
      </c>
      <c r="AL588" s="4">
        <v>141918</v>
      </c>
      <c r="AM588" s="5">
        <v>8836.34</v>
      </c>
      <c r="AN588" s="4" t="s">
        <v>124</v>
      </c>
    </row>
    <row r="589" spans="1:42" x14ac:dyDescent="0.25">
      <c r="A589" s="3">
        <v>4605053</v>
      </c>
      <c r="B589" s="3" t="s">
        <v>543</v>
      </c>
      <c r="C589" s="3" t="s">
        <v>1278</v>
      </c>
      <c r="D589" s="3">
        <v>10004907</v>
      </c>
      <c r="E589" s="4">
        <v>4534404</v>
      </c>
      <c r="F589" s="3" t="s">
        <v>49</v>
      </c>
      <c r="G589" s="4" t="s">
        <v>2055</v>
      </c>
      <c r="H589" s="4" t="s">
        <v>2056</v>
      </c>
      <c r="I589" s="5">
        <v>26202</v>
      </c>
      <c r="J589" s="3" t="s">
        <v>543</v>
      </c>
      <c r="K589" s="3" t="s">
        <v>77</v>
      </c>
      <c r="L589" s="3" t="s">
        <v>196</v>
      </c>
      <c r="M589" s="4" t="s">
        <v>2056</v>
      </c>
      <c r="N589" s="3" t="s">
        <v>25</v>
      </c>
      <c r="Y589" s="4" t="s">
        <v>2057</v>
      </c>
      <c r="Z589" s="4" t="s">
        <v>2058</v>
      </c>
      <c r="AA589" s="4" t="s">
        <v>2059</v>
      </c>
      <c r="AD589" s="3" t="s">
        <v>543</v>
      </c>
      <c r="AE589" s="3">
        <v>1000</v>
      </c>
      <c r="AI589" s="4" t="s">
        <v>2060</v>
      </c>
      <c r="AJ589" s="4" t="s">
        <v>2061</v>
      </c>
      <c r="AL589" s="4">
        <v>141925</v>
      </c>
      <c r="AM589" s="5">
        <v>26202</v>
      </c>
      <c r="AN589" s="4" t="s">
        <v>124</v>
      </c>
      <c r="AO589" s="4">
        <v>99</v>
      </c>
      <c r="AP589" s="4">
        <v>43210000</v>
      </c>
    </row>
    <row r="590" spans="1:42" x14ac:dyDescent="0.25">
      <c r="A590" s="3">
        <v>4605056</v>
      </c>
      <c r="B590" s="3" t="s">
        <v>1159</v>
      </c>
      <c r="C590" s="3" t="s">
        <v>1278</v>
      </c>
      <c r="D590" s="3">
        <v>10004911</v>
      </c>
      <c r="E590" s="4">
        <v>4534407</v>
      </c>
      <c r="F590" s="3" t="s">
        <v>49</v>
      </c>
      <c r="G590" s="4" t="s">
        <v>1716</v>
      </c>
      <c r="I590" s="4">
        <v>825</v>
      </c>
      <c r="J590" s="3" t="s">
        <v>77</v>
      </c>
      <c r="K590" s="3" t="s">
        <v>77</v>
      </c>
      <c r="L590" s="3" t="s">
        <v>196</v>
      </c>
      <c r="M590" s="4" t="s">
        <v>2062</v>
      </c>
      <c r="N590" s="3" t="s">
        <v>25</v>
      </c>
      <c r="Y590" s="4" t="s">
        <v>1510</v>
      </c>
      <c r="Z590" s="4" t="s">
        <v>1995</v>
      </c>
      <c r="AD590" s="3" t="s">
        <v>77</v>
      </c>
      <c r="AE590" s="3">
        <v>1000</v>
      </c>
      <c r="AI590" s="4" t="s">
        <v>1512</v>
      </c>
      <c r="AJ590" s="4" t="s">
        <v>1999</v>
      </c>
      <c r="AL590" s="4">
        <v>44468</v>
      </c>
      <c r="AM590" s="4">
        <v>825</v>
      </c>
      <c r="AN590" s="4" t="s">
        <v>124</v>
      </c>
    </row>
    <row r="591" spans="1:42" x14ac:dyDescent="0.25">
      <c r="A591" s="3">
        <v>4605066</v>
      </c>
      <c r="B591" s="3" t="s">
        <v>287</v>
      </c>
      <c r="C591" s="3" t="s">
        <v>1278</v>
      </c>
      <c r="D591" s="3">
        <v>10004910</v>
      </c>
      <c r="E591" s="4">
        <v>4534417</v>
      </c>
      <c r="F591" s="3" t="s">
        <v>49</v>
      </c>
      <c r="G591" s="4" t="s">
        <v>2063</v>
      </c>
      <c r="I591" s="5">
        <v>6275</v>
      </c>
      <c r="J591" s="3" t="s">
        <v>439</v>
      </c>
      <c r="K591" s="3" t="s">
        <v>77</v>
      </c>
      <c r="L591" s="3" t="s">
        <v>196</v>
      </c>
      <c r="M591" s="4" t="s">
        <v>2064</v>
      </c>
      <c r="N591" s="3" t="s">
        <v>25</v>
      </c>
      <c r="Y591" s="4" t="s">
        <v>1959</v>
      </c>
      <c r="Z591" s="4" t="s">
        <v>1959</v>
      </c>
      <c r="AD591" s="3" t="s">
        <v>287</v>
      </c>
      <c r="AE591" s="3">
        <v>5000</v>
      </c>
      <c r="AI591" s="4" t="s">
        <v>1960</v>
      </c>
      <c r="AJ591" s="4" t="s">
        <v>1960</v>
      </c>
      <c r="AL591" s="4">
        <v>141921</v>
      </c>
      <c r="AM591" s="5">
        <v>6275</v>
      </c>
      <c r="AN591" s="4" t="s">
        <v>31</v>
      </c>
    </row>
    <row r="592" spans="1:42" x14ac:dyDescent="0.25">
      <c r="A592" s="3">
        <v>4605067</v>
      </c>
      <c r="B592" s="3" t="s">
        <v>287</v>
      </c>
      <c r="C592" s="3" t="s">
        <v>1278</v>
      </c>
      <c r="D592" s="3">
        <v>10004923</v>
      </c>
      <c r="E592" s="4">
        <v>4534418</v>
      </c>
      <c r="F592" s="3" t="s">
        <v>49</v>
      </c>
      <c r="G592" s="4" t="s">
        <v>2065</v>
      </c>
      <c r="H592" s="4" t="s">
        <v>2066</v>
      </c>
      <c r="I592" s="5">
        <v>12705</v>
      </c>
      <c r="J592" s="3" t="s">
        <v>287</v>
      </c>
      <c r="K592" s="3" t="s">
        <v>287</v>
      </c>
      <c r="L592" s="3" t="s">
        <v>196</v>
      </c>
      <c r="M592" s="4" t="s">
        <v>2066</v>
      </c>
      <c r="N592" s="3" t="s">
        <v>25</v>
      </c>
      <c r="Y592" s="4" t="s">
        <v>267</v>
      </c>
      <c r="Z592" s="4" t="s">
        <v>267</v>
      </c>
      <c r="AD592" s="3" t="s">
        <v>287</v>
      </c>
      <c r="AE592" s="3">
        <v>1000</v>
      </c>
      <c r="AI592" s="4" t="s">
        <v>270</v>
      </c>
      <c r="AJ592" s="4" t="s">
        <v>270</v>
      </c>
      <c r="AL592" s="4">
        <v>140126</v>
      </c>
      <c r="AM592" s="5">
        <v>12705</v>
      </c>
      <c r="AN592" s="4" t="s">
        <v>124</v>
      </c>
      <c r="AO592" s="4">
        <v>99</v>
      </c>
      <c r="AP592" s="4">
        <v>80110000</v>
      </c>
    </row>
    <row r="593" spans="1:42" x14ac:dyDescent="0.25">
      <c r="A593" s="3">
        <v>4605070</v>
      </c>
      <c r="B593" s="3" t="s">
        <v>77</v>
      </c>
      <c r="C593" s="3" t="s">
        <v>1278</v>
      </c>
      <c r="D593" s="3">
        <v>10004928</v>
      </c>
      <c r="E593" s="4">
        <v>4534421</v>
      </c>
      <c r="F593" s="3" t="s">
        <v>49</v>
      </c>
      <c r="G593" s="4" t="s">
        <v>336</v>
      </c>
      <c r="H593" s="4" t="s">
        <v>2067</v>
      </c>
      <c r="I593" s="5">
        <v>19834.87</v>
      </c>
      <c r="J593" s="3" t="s">
        <v>77</v>
      </c>
      <c r="K593" s="3" t="s">
        <v>77</v>
      </c>
      <c r="L593" s="3" t="s">
        <v>119</v>
      </c>
      <c r="M593" s="4" t="s">
        <v>2067</v>
      </c>
      <c r="N593" s="3" t="s">
        <v>56</v>
      </c>
      <c r="Y593" s="4" t="s">
        <v>267</v>
      </c>
      <c r="Z593" s="4" t="s">
        <v>267</v>
      </c>
      <c r="AA593" s="4" t="s">
        <v>2068</v>
      </c>
      <c r="AB593" s="3" t="s">
        <v>2068</v>
      </c>
      <c r="AC593" s="3" t="s">
        <v>2069</v>
      </c>
      <c r="AD593" s="3" t="s">
        <v>77</v>
      </c>
      <c r="AE593" s="3">
        <v>1000</v>
      </c>
      <c r="AI593" s="4" t="s">
        <v>270</v>
      </c>
      <c r="AJ593" s="4" t="s">
        <v>270</v>
      </c>
      <c r="AL593" s="4">
        <v>141787</v>
      </c>
      <c r="AM593" s="5">
        <v>19834.87</v>
      </c>
      <c r="AN593" s="4" t="s">
        <v>124</v>
      </c>
      <c r="AO593" s="4">
        <v>99</v>
      </c>
      <c r="AP593" s="4">
        <v>82121505</v>
      </c>
    </row>
    <row r="594" spans="1:42" x14ac:dyDescent="0.25">
      <c r="A594" s="3">
        <v>4605073</v>
      </c>
      <c r="B594" s="3" t="s">
        <v>287</v>
      </c>
      <c r="C594" s="3" t="s">
        <v>1278</v>
      </c>
      <c r="D594" s="3">
        <v>10004932</v>
      </c>
      <c r="E594" s="4">
        <v>4534424</v>
      </c>
      <c r="F594" s="3" t="s">
        <v>49</v>
      </c>
      <c r="G594" s="4" t="s">
        <v>1245</v>
      </c>
      <c r="I594" s="5">
        <v>7502</v>
      </c>
      <c r="J594" s="3" t="s">
        <v>385</v>
      </c>
      <c r="K594" s="3" t="s">
        <v>77</v>
      </c>
      <c r="L594" s="3" t="s">
        <v>196</v>
      </c>
      <c r="M594" s="4" t="s">
        <v>2070</v>
      </c>
      <c r="N594" s="3" t="s">
        <v>25</v>
      </c>
      <c r="Y594" s="4" t="s">
        <v>1141</v>
      </c>
      <c r="Z594" s="4" t="s">
        <v>1090</v>
      </c>
      <c r="AD594" s="3" t="s">
        <v>77</v>
      </c>
      <c r="AE594" s="3">
        <v>1000</v>
      </c>
      <c r="AI594" s="4" t="s">
        <v>1144</v>
      </c>
      <c r="AJ594" s="4" t="s">
        <v>1091</v>
      </c>
      <c r="AL594" s="4">
        <v>140158</v>
      </c>
      <c r="AM594" s="5">
        <v>7502</v>
      </c>
      <c r="AN594" s="4" t="s">
        <v>124</v>
      </c>
    </row>
    <row r="595" spans="1:42" x14ac:dyDescent="0.25">
      <c r="A595" s="3">
        <v>4605074</v>
      </c>
      <c r="B595" s="3" t="s">
        <v>77</v>
      </c>
      <c r="C595" s="3" t="s">
        <v>1278</v>
      </c>
      <c r="D595" s="3">
        <v>10004913</v>
      </c>
      <c r="E595" s="4">
        <v>4534425</v>
      </c>
      <c r="F595" s="3" t="s">
        <v>49</v>
      </c>
      <c r="G595" s="4" t="s">
        <v>1471</v>
      </c>
      <c r="H595" s="4" t="s">
        <v>1899</v>
      </c>
      <c r="I595" s="5">
        <v>55927.3</v>
      </c>
      <c r="J595" s="3" t="s">
        <v>287</v>
      </c>
      <c r="K595" s="3" t="s">
        <v>1775</v>
      </c>
      <c r="L595" s="3" t="s">
        <v>119</v>
      </c>
      <c r="M595" s="4" t="s">
        <v>2071</v>
      </c>
      <c r="N595" s="3" t="s">
        <v>56</v>
      </c>
      <c r="Y595" s="4" t="s">
        <v>1056</v>
      </c>
      <c r="Z595" s="4" t="s">
        <v>1056</v>
      </c>
      <c r="AA595" s="4" t="s">
        <v>1474</v>
      </c>
      <c r="AB595" s="3" t="s">
        <v>1475</v>
      </c>
      <c r="AC595" s="3" t="s">
        <v>1476</v>
      </c>
      <c r="AD595" s="3" t="s">
        <v>2072</v>
      </c>
      <c r="AE595" s="3">
        <v>1000</v>
      </c>
      <c r="AI595" s="4" t="s">
        <v>1058</v>
      </c>
      <c r="AJ595" s="4" t="s">
        <v>1058</v>
      </c>
      <c r="AL595" s="4">
        <v>48891</v>
      </c>
      <c r="AM595" s="5">
        <v>55927.3</v>
      </c>
      <c r="AN595" s="4" t="s">
        <v>124</v>
      </c>
      <c r="AO595" s="4">
        <v>99</v>
      </c>
      <c r="AP595" s="4">
        <v>43210000</v>
      </c>
    </row>
    <row r="596" spans="1:42" x14ac:dyDescent="0.25">
      <c r="A596" s="3">
        <v>4604465</v>
      </c>
      <c r="B596" s="3" t="s">
        <v>202</v>
      </c>
      <c r="C596" s="3" t="s">
        <v>2073</v>
      </c>
      <c r="D596" s="3">
        <v>10004258</v>
      </c>
      <c r="E596" s="4">
        <v>4533816</v>
      </c>
      <c r="F596" s="3" t="s">
        <v>49</v>
      </c>
      <c r="G596" s="4" t="s">
        <v>174</v>
      </c>
      <c r="H596" s="4" t="s">
        <v>1317</v>
      </c>
      <c r="I596" s="5">
        <v>86153.7</v>
      </c>
      <c r="J596" s="3" t="s">
        <v>2074</v>
      </c>
      <c r="K596" s="3" t="s">
        <v>187</v>
      </c>
      <c r="L596" s="3" t="s">
        <v>119</v>
      </c>
      <c r="M596" s="4" t="s">
        <v>2075</v>
      </c>
      <c r="N596" s="3" t="s">
        <v>56</v>
      </c>
      <c r="Y596" s="4" t="s">
        <v>178</v>
      </c>
      <c r="Z596" s="4" t="s">
        <v>179</v>
      </c>
      <c r="AA596" s="4" t="s">
        <v>188</v>
      </c>
      <c r="AB596" s="3" t="s">
        <v>401</v>
      </c>
      <c r="AC596" s="3" t="s">
        <v>190</v>
      </c>
      <c r="AD596" s="3" t="s">
        <v>400</v>
      </c>
      <c r="AE596" s="3">
        <v>5000</v>
      </c>
      <c r="AI596" s="4" t="s">
        <v>181</v>
      </c>
      <c r="AJ596" s="4" t="s">
        <v>182</v>
      </c>
      <c r="AL596" s="4">
        <v>40476</v>
      </c>
      <c r="AM596" s="5">
        <v>86153.7</v>
      </c>
      <c r="AN596" s="4" t="s">
        <v>31</v>
      </c>
      <c r="AO596" s="4">
        <v>97</v>
      </c>
      <c r="AP596" s="4">
        <v>80111600</v>
      </c>
    </row>
    <row r="597" spans="1:42" x14ac:dyDescent="0.25">
      <c r="A597" s="3">
        <v>4604572</v>
      </c>
      <c r="B597" s="3" t="s">
        <v>200</v>
      </c>
      <c r="C597" s="3" t="s">
        <v>2073</v>
      </c>
      <c r="D597" s="3">
        <v>10004353</v>
      </c>
      <c r="E597" s="4">
        <v>4533923</v>
      </c>
      <c r="F597" s="3" t="s">
        <v>49</v>
      </c>
      <c r="G597" s="4" t="s">
        <v>1353</v>
      </c>
      <c r="H597" s="4" t="s">
        <v>2076</v>
      </c>
      <c r="I597" s="5">
        <v>58873.72</v>
      </c>
      <c r="J597" s="3" t="s">
        <v>76</v>
      </c>
      <c r="K597" s="3" t="s">
        <v>77</v>
      </c>
      <c r="L597" s="3" t="s">
        <v>119</v>
      </c>
      <c r="M597" s="4" t="s">
        <v>2076</v>
      </c>
      <c r="N597" s="3" t="s">
        <v>56</v>
      </c>
      <c r="Y597" s="4" t="s">
        <v>368</v>
      </c>
      <c r="Z597" s="4" t="s">
        <v>368</v>
      </c>
      <c r="AA597" s="4" t="s">
        <v>1324</v>
      </c>
      <c r="AB597" s="3" t="s">
        <v>1355</v>
      </c>
      <c r="AC597" s="3" t="s">
        <v>1326</v>
      </c>
      <c r="AD597" s="3" t="s">
        <v>1098</v>
      </c>
      <c r="AE597" s="3">
        <v>1000</v>
      </c>
      <c r="AI597" s="4" t="s">
        <v>370</v>
      </c>
      <c r="AJ597" s="4" t="s">
        <v>370</v>
      </c>
      <c r="AL597" s="4">
        <v>140449</v>
      </c>
      <c r="AM597" s="5">
        <v>58873.72</v>
      </c>
      <c r="AN597" s="4" t="s">
        <v>124</v>
      </c>
      <c r="AO597" s="4">
        <v>99</v>
      </c>
      <c r="AP597" s="4">
        <v>81112100</v>
      </c>
    </row>
    <row r="598" spans="1:42" x14ac:dyDescent="0.25">
      <c r="A598" s="3">
        <v>4604578</v>
      </c>
      <c r="B598" s="3" t="s">
        <v>77</v>
      </c>
      <c r="C598" s="3" t="s">
        <v>2073</v>
      </c>
      <c r="D598" s="3">
        <v>10004358</v>
      </c>
      <c r="E598" s="4">
        <v>4533929</v>
      </c>
      <c r="F598" s="3" t="s">
        <v>49</v>
      </c>
      <c r="G598" s="4" t="s">
        <v>1353</v>
      </c>
      <c r="I598" s="5">
        <v>5544</v>
      </c>
      <c r="J598" s="3" t="s">
        <v>76</v>
      </c>
      <c r="K598" s="3" t="s">
        <v>77</v>
      </c>
      <c r="L598" s="3" t="s">
        <v>119</v>
      </c>
      <c r="M598" s="4" t="s">
        <v>2077</v>
      </c>
      <c r="N598" s="3" t="s">
        <v>56</v>
      </c>
      <c r="Y598" s="4" t="s">
        <v>368</v>
      </c>
      <c r="Z598" s="4" t="s">
        <v>368</v>
      </c>
      <c r="AD598" s="3" t="s">
        <v>200</v>
      </c>
      <c r="AE598" s="3">
        <v>1000</v>
      </c>
      <c r="AI598" s="4" t="s">
        <v>370</v>
      </c>
      <c r="AJ598" s="4" t="s">
        <v>370</v>
      </c>
      <c r="AL598" s="4">
        <v>140449</v>
      </c>
      <c r="AM598" s="5">
        <v>5544</v>
      </c>
      <c r="AN598" s="4" t="s">
        <v>124</v>
      </c>
    </row>
    <row r="599" spans="1:42" x14ac:dyDescent="0.25">
      <c r="A599" s="3">
        <v>4604589</v>
      </c>
      <c r="B599" s="3" t="s">
        <v>76</v>
      </c>
      <c r="C599" s="3" t="s">
        <v>2073</v>
      </c>
      <c r="D599" s="3">
        <v>10004369</v>
      </c>
      <c r="E599" s="4">
        <v>4533940</v>
      </c>
      <c r="F599" s="3" t="s">
        <v>49</v>
      </c>
      <c r="G599" s="4" t="s">
        <v>1353</v>
      </c>
      <c r="H599" s="4" t="s">
        <v>2078</v>
      </c>
      <c r="I599" s="5">
        <v>50073.5</v>
      </c>
      <c r="J599" s="3" t="s">
        <v>76</v>
      </c>
      <c r="K599" s="3" t="s">
        <v>77</v>
      </c>
      <c r="L599" s="3" t="s">
        <v>119</v>
      </c>
      <c r="M599" s="4" t="s">
        <v>2078</v>
      </c>
      <c r="N599" s="3" t="s">
        <v>56</v>
      </c>
      <c r="Y599" s="4" t="s">
        <v>368</v>
      </c>
      <c r="Z599" s="4" t="s">
        <v>368</v>
      </c>
      <c r="AA599" s="4" t="s">
        <v>1324</v>
      </c>
      <c r="AB599" s="3" t="s">
        <v>1355</v>
      </c>
      <c r="AC599" s="3" t="s">
        <v>1326</v>
      </c>
      <c r="AD599" s="3" t="s">
        <v>1452</v>
      </c>
      <c r="AE599" s="3">
        <v>1000</v>
      </c>
      <c r="AI599" s="4" t="s">
        <v>370</v>
      </c>
      <c r="AJ599" s="4" t="s">
        <v>370</v>
      </c>
      <c r="AL599" s="4">
        <v>140449</v>
      </c>
      <c r="AM599" s="5">
        <v>50073.5</v>
      </c>
      <c r="AN599" s="4" t="s">
        <v>124</v>
      </c>
      <c r="AO599" s="4">
        <v>99</v>
      </c>
      <c r="AP599" s="4">
        <v>81112100</v>
      </c>
    </row>
    <row r="600" spans="1:42" x14ac:dyDescent="0.25">
      <c r="A600" s="3">
        <v>4604619</v>
      </c>
      <c r="B600" s="3" t="s">
        <v>1052</v>
      </c>
      <c r="C600" s="3" t="s">
        <v>2073</v>
      </c>
      <c r="D600" s="3">
        <v>10004363</v>
      </c>
      <c r="E600" s="4">
        <v>4533970</v>
      </c>
      <c r="F600" s="3" t="s">
        <v>49</v>
      </c>
      <c r="G600" s="4" t="s">
        <v>342</v>
      </c>
      <c r="H600" s="4" t="s">
        <v>2079</v>
      </c>
      <c r="I600" s="5">
        <v>32890</v>
      </c>
      <c r="J600" s="3" t="s">
        <v>76</v>
      </c>
      <c r="K600" s="3" t="s">
        <v>77</v>
      </c>
      <c r="L600" s="3" t="s">
        <v>119</v>
      </c>
      <c r="M600" s="4" t="s">
        <v>2080</v>
      </c>
      <c r="N600" s="3" t="s">
        <v>56</v>
      </c>
      <c r="Y600" s="4" t="s">
        <v>368</v>
      </c>
      <c r="Z600" s="4" t="s">
        <v>368</v>
      </c>
      <c r="AA600" s="4" t="s">
        <v>1324</v>
      </c>
      <c r="AB600" s="3" t="s">
        <v>2081</v>
      </c>
      <c r="AC600" s="3" t="s">
        <v>1326</v>
      </c>
      <c r="AD600" s="3" t="s">
        <v>223</v>
      </c>
      <c r="AE600" s="3">
        <v>5000</v>
      </c>
      <c r="AI600" s="4" t="s">
        <v>370</v>
      </c>
      <c r="AJ600" s="4" t="s">
        <v>370</v>
      </c>
      <c r="AL600" s="4">
        <v>140447</v>
      </c>
      <c r="AM600" s="5">
        <v>32890</v>
      </c>
      <c r="AN600" s="4" t="s">
        <v>31</v>
      </c>
      <c r="AO600" s="4">
        <v>99</v>
      </c>
      <c r="AP600" s="4">
        <v>81112200</v>
      </c>
    </row>
    <row r="601" spans="1:42" x14ac:dyDescent="0.25">
      <c r="A601" s="3">
        <v>4604752</v>
      </c>
      <c r="B601" s="3" t="s">
        <v>278</v>
      </c>
      <c r="C601" s="3" t="s">
        <v>2073</v>
      </c>
      <c r="D601" s="3">
        <v>10004476</v>
      </c>
      <c r="E601" s="4">
        <v>4534103</v>
      </c>
      <c r="F601" s="3" t="s">
        <v>49</v>
      </c>
      <c r="G601" s="4" t="s">
        <v>1353</v>
      </c>
      <c r="H601" s="4" t="s">
        <v>2082</v>
      </c>
      <c r="I601" s="5">
        <v>51590</v>
      </c>
      <c r="J601" s="3" t="s">
        <v>1039</v>
      </c>
      <c r="K601" s="3" t="s">
        <v>77</v>
      </c>
      <c r="L601" s="3" t="s">
        <v>196</v>
      </c>
      <c r="M601" s="4" t="s">
        <v>2082</v>
      </c>
      <c r="N601" s="3" t="s">
        <v>25</v>
      </c>
      <c r="Y601" s="4" t="s">
        <v>688</v>
      </c>
      <c r="Z601" s="4" t="s">
        <v>688</v>
      </c>
      <c r="AD601" s="3" t="s">
        <v>910</v>
      </c>
      <c r="AE601" s="3">
        <v>1000</v>
      </c>
      <c r="AI601" s="4" t="s">
        <v>689</v>
      </c>
      <c r="AJ601" s="4" t="s">
        <v>689</v>
      </c>
      <c r="AL601" s="4">
        <v>140449</v>
      </c>
      <c r="AM601" s="5">
        <v>51590</v>
      </c>
      <c r="AN601" s="4" t="s">
        <v>124</v>
      </c>
      <c r="AO601" s="4">
        <v>99</v>
      </c>
    </row>
    <row r="602" spans="1:42" x14ac:dyDescent="0.25">
      <c r="A602" s="3">
        <v>4604556</v>
      </c>
      <c r="B602" s="3" t="s">
        <v>1333</v>
      </c>
      <c r="C602" s="3" t="s">
        <v>2083</v>
      </c>
      <c r="D602" s="3">
        <v>10004340</v>
      </c>
      <c r="E602" s="4">
        <v>4533907</v>
      </c>
      <c r="F602" s="3" t="s">
        <v>49</v>
      </c>
      <c r="G602" s="4" t="s">
        <v>572</v>
      </c>
      <c r="H602" s="4" t="s">
        <v>2084</v>
      </c>
      <c r="I602" s="5">
        <v>79200</v>
      </c>
      <c r="J602" s="3" t="s">
        <v>1333</v>
      </c>
      <c r="K602" s="3" t="s">
        <v>187</v>
      </c>
      <c r="L602" s="3" t="s">
        <v>196</v>
      </c>
      <c r="M602" s="4" t="s">
        <v>2084</v>
      </c>
      <c r="N602" s="3" t="s">
        <v>25</v>
      </c>
      <c r="Y602" s="4" t="s">
        <v>1616</v>
      </c>
      <c r="Z602" s="4" t="s">
        <v>1616</v>
      </c>
      <c r="AD602" s="3" t="s">
        <v>577</v>
      </c>
      <c r="AE602" s="3">
        <v>1000</v>
      </c>
      <c r="AI602" s="4" t="s">
        <v>1617</v>
      </c>
      <c r="AJ602" s="4" t="s">
        <v>1617</v>
      </c>
      <c r="AL602" s="4">
        <v>45868</v>
      </c>
      <c r="AM602" s="5">
        <v>79200</v>
      </c>
      <c r="AN602" s="4" t="s">
        <v>124</v>
      </c>
      <c r="AO602" s="4">
        <v>99</v>
      </c>
      <c r="AP602" s="4">
        <v>80101706</v>
      </c>
    </row>
    <row r="603" spans="1:42" x14ac:dyDescent="0.25">
      <c r="A603" s="3">
        <v>4604620</v>
      </c>
      <c r="B603" s="3" t="s">
        <v>1052</v>
      </c>
      <c r="C603" s="3" t="s">
        <v>2083</v>
      </c>
      <c r="D603" s="3">
        <v>10004395</v>
      </c>
      <c r="E603" s="4">
        <v>4533971</v>
      </c>
      <c r="F603" s="3" t="s">
        <v>49</v>
      </c>
      <c r="G603" s="4" t="s">
        <v>2085</v>
      </c>
      <c r="H603" s="4" t="s">
        <v>2086</v>
      </c>
      <c r="I603" s="5">
        <v>24000</v>
      </c>
      <c r="J603" s="3" t="s">
        <v>1052</v>
      </c>
      <c r="K603" s="3" t="s">
        <v>77</v>
      </c>
      <c r="L603" s="3" t="s">
        <v>196</v>
      </c>
      <c r="M603" s="4" t="s">
        <v>2086</v>
      </c>
      <c r="N603" s="3" t="s">
        <v>25</v>
      </c>
      <c r="Y603" s="4" t="s">
        <v>1616</v>
      </c>
      <c r="Z603" s="4" t="s">
        <v>1616</v>
      </c>
      <c r="AD603" s="3" t="s">
        <v>1121</v>
      </c>
      <c r="AE603" s="3">
        <v>1000</v>
      </c>
      <c r="AI603" s="4" t="s">
        <v>1617</v>
      </c>
      <c r="AJ603" s="4" t="s">
        <v>1617</v>
      </c>
      <c r="AL603" s="4">
        <v>141774</v>
      </c>
      <c r="AM603" s="5">
        <v>24000</v>
      </c>
      <c r="AN603" s="4" t="s">
        <v>124</v>
      </c>
      <c r="AO603" s="4">
        <v>99</v>
      </c>
      <c r="AP603" s="4">
        <v>80101604</v>
      </c>
    </row>
    <row r="604" spans="1:42" x14ac:dyDescent="0.25">
      <c r="A604" s="3">
        <v>4604621</v>
      </c>
      <c r="B604" s="3" t="s">
        <v>1052</v>
      </c>
      <c r="C604" s="3" t="s">
        <v>2083</v>
      </c>
      <c r="D604" s="3">
        <v>10004401</v>
      </c>
      <c r="E604" s="4">
        <v>4533972</v>
      </c>
      <c r="F604" s="3" t="s">
        <v>49</v>
      </c>
      <c r="G604" s="4" t="s">
        <v>2087</v>
      </c>
      <c r="I604" s="5">
        <v>4000</v>
      </c>
      <c r="J604" s="3" t="s">
        <v>1052</v>
      </c>
      <c r="K604" s="3" t="s">
        <v>77</v>
      </c>
      <c r="L604" s="3" t="s">
        <v>196</v>
      </c>
      <c r="M604" s="4" t="s">
        <v>2088</v>
      </c>
      <c r="N604" s="3" t="s">
        <v>25</v>
      </c>
      <c r="Y604" s="4" t="s">
        <v>1616</v>
      </c>
      <c r="Z604" s="4" t="s">
        <v>1616</v>
      </c>
      <c r="AD604" s="3" t="s">
        <v>301</v>
      </c>
      <c r="AE604" s="3">
        <v>1000</v>
      </c>
      <c r="AI604" s="4" t="s">
        <v>1617</v>
      </c>
      <c r="AJ604" s="4" t="s">
        <v>1617</v>
      </c>
      <c r="AL604" s="4">
        <v>141661</v>
      </c>
      <c r="AM604" s="5">
        <v>4000</v>
      </c>
      <c r="AN604" s="4" t="s">
        <v>124</v>
      </c>
    </row>
    <row r="605" spans="1:42" x14ac:dyDescent="0.25">
      <c r="A605" s="3">
        <v>4604628</v>
      </c>
      <c r="B605" s="3" t="s">
        <v>2089</v>
      </c>
      <c r="C605" s="3" t="s">
        <v>2083</v>
      </c>
      <c r="D605" s="3">
        <v>10004421</v>
      </c>
      <c r="E605" s="4">
        <v>4533979</v>
      </c>
      <c r="F605" s="3" t="s">
        <v>49</v>
      </c>
      <c r="G605" s="4" t="s">
        <v>2090</v>
      </c>
      <c r="H605" s="4" t="s">
        <v>2091</v>
      </c>
      <c r="I605" s="5">
        <v>14850</v>
      </c>
      <c r="J605" s="3" t="s">
        <v>2089</v>
      </c>
      <c r="K605" s="3" t="s">
        <v>1568</v>
      </c>
      <c r="L605" s="3" t="s">
        <v>196</v>
      </c>
      <c r="M605" s="4" t="s">
        <v>2091</v>
      </c>
      <c r="N605" s="3" t="s">
        <v>25</v>
      </c>
      <c r="Y605" s="4" t="s">
        <v>1616</v>
      </c>
      <c r="Z605" s="4" t="s">
        <v>1616</v>
      </c>
      <c r="AD605" s="3" t="s">
        <v>258</v>
      </c>
      <c r="AE605" s="3">
        <v>1000</v>
      </c>
      <c r="AI605" s="4" t="s">
        <v>1617</v>
      </c>
      <c r="AJ605" s="4" t="s">
        <v>1617</v>
      </c>
      <c r="AL605" s="4">
        <v>141776</v>
      </c>
      <c r="AM605" s="5">
        <v>14850</v>
      </c>
      <c r="AN605" s="4" t="s">
        <v>124</v>
      </c>
      <c r="AO605" s="4">
        <v>99</v>
      </c>
      <c r="AP605" s="4">
        <v>80141609</v>
      </c>
    </row>
    <row r="606" spans="1:42" x14ac:dyDescent="0.25">
      <c r="A606" s="3">
        <v>4604679</v>
      </c>
      <c r="B606" s="3" t="s">
        <v>291</v>
      </c>
      <c r="C606" s="3" t="s">
        <v>2083</v>
      </c>
      <c r="D606" s="3">
        <v>10004469</v>
      </c>
      <c r="E606" s="4">
        <v>4534030</v>
      </c>
      <c r="F606" s="3" t="s">
        <v>49</v>
      </c>
      <c r="G606" s="4" t="s">
        <v>1378</v>
      </c>
      <c r="I606" s="5">
        <v>7392</v>
      </c>
      <c r="J606" s="3" t="s">
        <v>183</v>
      </c>
      <c r="K606" s="3" t="s">
        <v>291</v>
      </c>
      <c r="L606" s="3" t="s">
        <v>196</v>
      </c>
      <c r="M606" s="4" t="s">
        <v>2092</v>
      </c>
      <c r="N606" s="3" t="s">
        <v>56</v>
      </c>
      <c r="Y606" s="4" t="s">
        <v>1616</v>
      </c>
      <c r="Z606" s="4" t="s">
        <v>1616</v>
      </c>
      <c r="AD606" s="3" t="s">
        <v>1496</v>
      </c>
      <c r="AE606" s="3">
        <v>5000</v>
      </c>
      <c r="AI606" s="4" t="s">
        <v>1617</v>
      </c>
      <c r="AJ606" s="4" t="s">
        <v>1617</v>
      </c>
      <c r="AL606" s="4">
        <v>42337</v>
      </c>
      <c r="AM606" s="5">
        <v>7392</v>
      </c>
      <c r="AN606" s="4" t="s">
        <v>31</v>
      </c>
    </row>
    <row r="607" spans="1:42" x14ac:dyDescent="0.25">
      <c r="A607" s="3">
        <v>4604703</v>
      </c>
      <c r="B607" s="3" t="s">
        <v>1039</v>
      </c>
      <c r="C607" s="3" t="s">
        <v>2093</v>
      </c>
      <c r="D607" s="3">
        <v>10004493</v>
      </c>
      <c r="E607" s="4">
        <v>4534054</v>
      </c>
      <c r="F607" s="3" t="s">
        <v>49</v>
      </c>
      <c r="G607" s="4" t="s">
        <v>1884</v>
      </c>
      <c r="H607" s="4" t="s">
        <v>2094</v>
      </c>
      <c r="I607" s="5">
        <v>61600</v>
      </c>
      <c r="J607" s="3" t="s">
        <v>1039</v>
      </c>
      <c r="K607" s="3" t="s">
        <v>494</v>
      </c>
      <c r="L607" s="3" t="s">
        <v>119</v>
      </c>
      <c r="M607" s="4" t="s">
        <v>2094</v>
      </c>
      <c r="N607" s="3" t="s">
        <v>56</v>
      </c>
      <c r="Y607" s="4" t="s">
        <v>1616</v>
      </c>
      <c r="Z607" s="4" t="s">
        <v>1616</v>
      </c>
      <c r="AA607" s="4" t="s">
        <v>412</v>
      </c>
      <c r="AB607" s="3" t="s">
        <v>412</v>
      </c>
      <c r="AC607" s="3" t="s">
        <v>414</v>
      </c>
      <c r="AD607" s="3" t="s">
        <v>452</v>
      </c>
      <c r="AE607" s="3">
        <v>1000</v>
      </c>
      <c r="AI607" s="4" t="s">
        <v>1617</v>
      </c>
      <c r="AJ607" s="4" t="s">
        <v>1617</v>
      </c>
      <c r="AL607" s="4">
        <v>141801</v>
      </c>
      <c r="AM607" s="5">
        <v>61600</v>
      </c>
      <c r="AN607" s="4" t="s">
        <v>124</v>
      </c>
      <c r="AO607" s="4">
        <v>99</v>
      </c>
      <c r="AP607" s="4">
        <v>80101706</v>
      </c>
    </row>
    <row r="608" spans="1:42" x14ac:dyDescent="0.25">
      <c r="A608" s="3">
        <v>4604704</v>
      </c>
      <c r="B608" s="3" t="s">
        <v>292</v>
      </c>
      <c r="C608" s="3" t="s">
        <v>2093</v>
      </c>
      <c r="D608" s="3">
        <v>10004502</v>
      </c>
      <c r="E608" s="4">
        <v>4534055</v>
      </c>
      <c r="F608" s="3" t="s">
        <v>49</v>
      </c>
      <c r="G608" s="4" t="s">
        <v>2095</v>
      </c>
      <c r="H608" s="4" t="s">
        <v>2096</v>
      </c>
      <c r="I608" s="5">
        <v>78000</v>
      </c>
      <c r="J608" s="3" t="s">
        <v>2097</v>
      </c>
      <c r="K608" s="3" t="s">
        <v>2098</v>
      </c>
      <c r="L608" s="3" t="s">
        <v>196</v>
      </c>
      <c r="M608" s="4" t="s">
        <v>2096</v>
      </c>
      <c r="N608" s="3" t="s">
        <v>25</v>
      </c>
      <c r="Y608" s="4" t="s">
        <v>1616</v>
      </c>
      <c r="Z608" s="4" t="s">
        <v>1616</v>
      </c>
      <c r="AD608" s="3" t="s">
        <v>2099</v>
      </c>
      <c r="AE608" s="3">
        <v>1000</v>
      </c>
      <c r="AI608" s="4" t="s">
        <v>1617</v>
      </c>
      <c r="AJ608" s="4" t="s">
        <v>1617</v>
      </c>
      <c r="AL608" s="4">
        <v>141800</v>
      </c>
      <c r="AM608" s="5">
        <v>78000</v>
      </c>
      <c r="AN608" s="4" t="s">
        <v>124</v>
      </c>
      <c r="AO608" s="4">
        <v>99</v>
      </c>
      <c r="AP608" s="4">
        <v>80101706</v>
      </c>
    </row>
    <row r="609" spans="1:42" x14ac:dyDescent="0.25">
      <c r="A609" s="3">
        <v>4604708</v>
      </c>
      <c r="B609" s="3" t="s">
        <v>1675</v>
      </c>
      <c r="C609" s="3" t="s">
        <v>2093</v>
      </c>
      <c r="D609" s="3">
        <v>10004506</v>
      </c>
      <c r="E609" s="4">
        <v>4534059</v>
      </c>
      <c r="F609" s="3" t="s">
        <v>49</v>
      </c>
      <c r="G609" s="4" t="s">
        <v>318</v>
      </c>
      <c r="I609" s="5">
        <v>2572.56</v>
      </c>
      <c r="J609" s="3" t="s">
        <v>794</v>
      </c>
      <c r="K609" s="3" t="s">
        <v>829</v>
      </c>
      <c r="L609" s="3" t="s">
        <v>119</v>
      </c>
      <c r="M609" s="4" t="s">
        <v>2100</v>
      </c>
      <c r="N609" s="3" t="s">
        <v>56</v>
      </c>
      <c r="Y609" s="4" t="s">
        <v>178</v>
      </c>
      <c r="Z609" s="4" t="s">
        <v>178</v>
      </c>
      <c r="AD609" s="3" t="s">
        <v>1675</v>
      </c>
      <c r="AE609" s="3">
        <v>1000</v>
      </c>
      <c r="AI609" s="4" t="s">
        <v>181</v>
      </c>
      <c r="AJ609" s="4" t="s">
        <v>181</v>
      </c>
      <c r="AL609" s="4">
        <v>141551</v>
      </c>
      <c r="AM609" s="5">
        <v>2572.56</v>
      </c>
      <c r="AN609" s="4" t="s">
        <v>124</v>
      </c>
    </row>
    <row r="610" spans="1:42" x14ac:dyDescent="0.25">
      <c r="A610" s="3">
        <v>4604716</v>
      </c>
      <c r="B610" s="3" t="s">
        <v>480</v>
      </c>
      <c r="C610" s="3" t="s">
        <v>2093</v>
      </c>
      <c r="D610" s="3">
        <v>10004507</v>
      </c>
      <c r="E610" s="4">
        <v>4534067</v>
      </c>
      <c r="F610" s="3" t="s">
        <v>49</v>
      </c>
      <c r="G610" s="4" t="s">
        <v>572</v>
      </c>
      <c r="H610" s="4" t="s">
        <v>2101</v>
      </c>
      <c r="I610" s="5">
        <v>250000</v>
      </c>
      <c r="J610" s="3" t="s">
        <v>783</v>
      </c>
      <c r="K610" s="3" t="s">
        <v>480</v>
      </c>
      <c r="L610" s="3" t="s">
        <v>196</v>
      </c>
      <c r="M610" s="4" t="s">
        <v>2102</v>
      </c>
      <c r="N610" s="3" t="s">
        <v>25</v>
      </c>
      <c r="Y610" s="4" t="s">
        <v>1616</v>
      </c>
      <c r="Z610" s="4" t="s">
        <v>1616</v>
      </c>
      <c r="AD610" s="3" t="s">
        <v>2099</v>
      </c>
      <c r="AE610" s="3">
        <v>1000</v>
      </c>
      <c r="AI610" s="4" t="s">
        <v>1617</v>
      </c>
      <c r="AJ610" s="4" t="s">
        <v>1617</v>
      </c>
      <c r="AL610" s="4">
        <v>45868</v>
      </c>
      <c r="AM610" s="5">
        <v>250000</v>
      </c>
      <c r="AN610" s="4" t="s">
        <v>124</v>
      </c>
      <c r="AO610" s="4">
        <v>99</v>
      </c>
      <c r="AP610" s="4">
        <v>80101706</v>
      </c>
    </row>
    <row r="611" spans="1:42" x14ac:dyDescent="0.25">
      <c r="A611" s="3">
        <v>4604717</v>
      </c>
      <c r="B611" s="3" t="s">
        <v>1704</v>
      </c>
      <c r="C611" s="3" t="s">
        <v>2093</v>
      </c>
      <c r="D611" s="3">
        <v>10004514</v>
      </c>
      <c r="E611" s="4">
        <v>4534068</v>
      </c>
      <c r="F611" s="3" t="s">
        <v>49</v>
      </c>
      <c r="G611" s="4" t="s">
        <v>648</v>
      </c>
      <c r="H611" s="4" t="s">
        <v>2103</v>
      </c>
      <c r="I611" s="5">
        <v>80000</v>
      </c>
      <c r="J611" s="3" t="s">
        <v>832</v>
      </c>
      <c r="K611" s="3" t="s">
        <v>1704</v>
      </c>
      <c r="L611" s="3" t="s">
        <v>196</v>
      </c>
      <c r="M611" s="4" t="s">
        <v>2103</v>
      </c>
      <c r="N611" s="3" t="s">
        <v>25</v>
      </c>
      <c r="Y611" s="4" t="s">
        <v>1616</v>
      </c>
      <c r="Z611" s="4" t="s">
        <v>1616</v>
      </c>
      <c r="AD611" s="3" t="s">
        <v>2099</v>
      </c>
      <c r="AE611" s="3">
        <v>1000</v>
      </c>
      <c r="AI611" s="4" t="s">
        <v>1617</v>
      </c>
      <c r="AJ611" s="4" t="s">
        <v>1617</v>
      </c>
      <c r="AL611" s="4">
        <v>45889</v>
      </c>
      <c r="AM611" s="5">
        <v>80000</v>
      </c>
      <c r="AN611" s="4" t="s">
        <v>124</v>
      </c>
      <c r="AO611" s="4">
        <v>99</v>
      </c>
      <c r="AP611" s="4">
        <v>80101706</v>
      </c>
    </row>
    <row r="612" spans="1:42" x14ac:dyDescent="0.25">
      <c r="A612" s="3">
        <v>4604771</v>
      </c>
      <c r="B612" s="3" t="s">
        <v>77</v>
      </c>
      <c r="C612" s="3" t="s">
        <v>2093</v>
      </c>
      <c r="D612" s="3">
        <v>10004561</v>
      </c>
      <c r="E612" s="4">
        <v>4534122</v>
      </c>
      <c r="F612" s="3" t="s">
        <v>49</v>
      </c>
      <c r="G612" s="4" t="s">
        <v>2104</v>
      </c>
      <c r="H612" s="4" t="s">
        <v>2105</v>
      </c>
      <c r="I612" s="5">
        <v>23892</v>
      </c>
      <c r="J612" s="3" t="s">
        <v>1720</v>
      </c>
      <c r="K612" s="3" t="s">
        <v>77</v>
      </c>
      <c r="L612" s="3" t="s">
        <v>119</v>
      </c>
      <c r="M612" s="4" t="s">
        <v>2105</v>
      </c>
      <c r="N612" s="3" t="s">
        <v>56</v>
      </c>
      <c r="Y612" s="4" t="s">
        <v>1616</v>
      </c>
      <c r="Z612" s="4" t="s">
        <v>1616</v>
      </c>
      <c r="AA612" s="4" t="s">
        <v>1284</v>
      </c>
      <c r="AB612" s="3" t="s">
        <v>2106</v>
      </c>
      <c r="AC612" s="3" t="s">
        <v>1286</v>
      </c>
      <c r="AD612" s="3" t="s">
        <v>442</v>
      </c>
      <c r="AE612" s="3">
        <v>1000</v>
      </c>
      <c r="AI612" s="4" t="s">
        <v>1617</v>
      </c>
      <c r="AJ612" s="4" t="s">
        <v>1617</v>
      </c>
      <c r="AL612" s="4">
        <v>140131</v>
      </c>
      <c r="AM612" s="5">
        <v>23892</v>
      </c>
      <c r="AN612" s="4" t="s">
        <v>124</v>
      </c>
      <c r="AO612" s="4">
        <v>99</v>
      </c>
      <c r="AP612" s="4">
        <v>84111600</v>
      </c>
    </row>
    <row r="613" spans="1:42" x14ac:dyDescent="0.25">
      <c r="A613" s="3">
        <v>4604847</v>
      </c>
      <c r="B613" s="3" t="s">
        <v>457</v>
      </c>
      <c r="C613" s="3" t="s">
        <v>2093</v>
      </c>
      <c r="D613" s="3">
        <v>10004652</v>
      </c>
      <c r="E613" s="4">
        <v>4534198</v>
      </c>
      <c r="F613" s="3" t="s">
        <v>49</v>
      </c>
      <c r="G613" s="4" t="s">
        <v>2107</v>
      </c>
      <c r="H613" s="4" t="s">
        <v>2108</v>
      </c>
      <c r="I613" s="5">
        <v>11550</v>
      </c>
      <c r="J613" s="3" t="s">
        <v>457</v>
      </c>
      <c r="K613" s="3" t="s">
        <v>1835</v>
      </c>
      <c r="L613" s="3" t="s">
        <v>196</v>
      </c>
      <c r="M613" s="4" t="s">
        <v>2108</v>
      </c>
      <c r="N613" s="3" t="s">
        <v>25</v>
      </c>
      <c r="Y613" s="4" t="s">
        <v>1616</v>
      </c>
      <c r="Z613" s="4" t="s">
        <v>1616</v>
      </c>
      <c r="AD613" s="3" t="s">
        <v>959</v>
      </c>
      <c r="AE613" s="3">
        <v>1000</v>
      </c>
      <c r="AI613" s="4" t="s">
        <v>1617</v>
      </c>
      <c r="AJ613" s="4" t="s">
        <v>1617</v>
      </c>
      <c r="AL613" s="4">
        <v>141855</v>
      </c>
      <c r="AM613" s="5">
        <v>11550</v>
      </c>
      <c r="AN613" s="4" t="s">
        <v>124</v>
      </c>
      <c r="AO613" s="4">
        <v>99</v>
      </c>
      <c r="AP613" s="4">
        <v>80101706</v>
      </c>
    </row>
    <row r="614" spans="1:42" x14ac:dyDescent="0.25">
      <c r="A614" s="3">
        <v>4604849</v>
      </c>
      <c r="B614" s="3" t="s">
        <v>299</v>
      </c>
      <c r="C614" s="3" t="s">
        <v>2093</v>
      </c>
      <c r="D614" s="3">
        <v>10004654</v>
      </c>
      <c r="E614" s="4">
        <v>4534200</v>
      </c>
      <c r="F614" s="3" t="s">
        <v>49</v>
      </c>
      <c r="G614" s="4" t="s">
        <v>174</v>
      </c>
      <c r="I614" s="5">
        <v>7331.35</v>
      </c>
      <c r="J614" s="3" t="s">
        <v>469</v>
      </c>
      <c r="K614" s="3" t="s">
        <v>504</v>
      </c>
      <c r="L614" s="3" t="s">
        <v>119</v>
      </c>
      <c r="M614" s="4" t="s">
        <v>2109</v>
      </c>
      <c r="N614" s="3" t="s">
        <v>56</v>
      </c>
      <c r="Y614" s="4" t="s">
        <v>178</v>
      </c>
      <c r="Z614" s="4" t="s">
        <v>178</v>
      </c>
      <c r="AD614" s="3" t="s">
        <v>351</v>
      </c>
      <c r="AE614" s="3">
        <v>1000</v>
      </c>
      <c r="AI614" s="4" t="s">
        <v>181</v>
      </c>
      <c r="AJ614" s="4" t="s">
        <v>181</v>
      </c>
      <c r="AL614" s="4">
        <v>40476</v>
      </c>
      <c r="AM614" s="5">
        <v>7331.35</v>
      </c>
      <c r="AN614" s="4" t="s">
        <v>124</v>
      </c>
    </row>
    <row r="615" spans="1:42" x14ac:dyDescent="0.25">
      <c r="A615" s="3">
        <v>4604871</v>
      </c>
      <c r="B615" s="3" t="s">
        <v>1835</v>
      </c>
      <c r="C615" s="3" t="s">
        <v>2093</v>
      </c>
      <c r="D615" s="3">
        <v>10004685</v>
      </c>
      <c r="E615" s="4">
        <v>4534222</v>
      </c>
      <c r="F615" s="3" t="s">
        <v>49</v>
      </c>
      <c r="G615" s="4" t="s">
        <v>2110</v>
      </c>
      <c r="H615" s="4" t="s">
        <v>2111</v>
      </c>
      <c r="I615" s="5">
        <v>68640</v>
      </c>
      <c r="J615" s="3" t="s">
        <v>1835</v>
      </c>
      <c r="K615" s="3" t="s">
        <v>77</v>
      </c>
      <c r="L615" s="3" t="s">
        <v>119</v>
      </c>
      <c r="M615" s="4" t="s">
        <v>2112</v>
      </c>
      <c r="N615" s="3" t="s">
        <v>56</v>
      </c>
      <c r="Y615" s="4" t="s">
        <v>2113</v>
      </c>
      <c r="Z615" s="4" t="s">
        <v>2114</v>
      </c>
      <c r="AA615" s="4" t="s">
        <v>1740</v>
      </c>
      <c r="AB615" s="3" t="s">
        <v>2115</v>
      </c>
      <c r="AC615" s="3" t="s">
        <v>1742</v>
      </c>
      <c r="AD615" s="3" t="s">
        <v>486</v>
      </c>
      <c r="AE615" s="3">
        <v>1000</v>
      </c>
      <c r="AI615" s="4" t="s">
        <v>2116</v>
      </c>
      <c r="AJ615" s="4" t="s">
        <v>2117</v>
      </c>
      <c r="AL615" s="4">
        <v>47866</v>
      </c>
      <c r="AM615" s="5">
        <v>68640</v>
      </c>
      <c r="AN615" s="4" t="s">
        <v>124</v>
      </c>
      <c r="AO615" s="4">
        <v>99</v>
      </c>
      <c r="AP615" s="4">
        <v>80101507</v>
      </c>
    </row>
    <row r="616" spans="1:42" x14ac:dyDescent="0.25">
      <c r="A616" s="3">
        <v>4604894</v>
      </c>
      <c r="B616" s="3" t="s">
        <v>1887</v>
      </c>
      <c r="C616" s="3" t="s">
        <v>2093</v>
      </c>
      <c r="D616" s="3">
        <v>10004709</v>
      </c>
      <c r="E616" s="4">
        <v>4534245</v>
      </c>
      <c r="F616" s="3" t="s">
        <v>49</v>
      </c>
      <c r="G616" s="4" t="s">
        <v>174</v>
      </c>
      <c r="I616" s="5">
        <v>5496</v>
      </c>
      <c r="J616" s="3" t="s">
        <v>1887</v>
      </c>
      <c r="K616" s="3" t="s">
        <v>504</v>
      </c>
      <c r="L616" s="3" t="s">
        <v>119</v>
      </c>
      <c r="M616" s="4" t="s">
        <v>2118</v>
      </c>
      <c r="N616" s="3" t="s">
        <v>56</v>
      </c>
      <c r="Y616" s="4" t="s">
        <v>178</v>
      </c>
      <c r="Z616" s="4" t="s">
        <v>178</v>
      </c>
      <c r="AD616" s="3" t="s">
        <v>351</v>
      </c>
      <c r="AE616" s="3">
        <v>1000</v>
      </c>
      <c r="AI616" s="4" t="s">
        <v>181</v>
      </c>
      <c r="AJ616" s="4" t="s">
        <v>181</v>
      </c>
      <c r="AL616" s="4">
        <v>40476</v>
      </c>
      <c r="AM616" s="5">
        <v>5496</v>
      </c>
      <c r="AN616" s="4" t="s">
        <v>124</v>
      </c>
    </row>
    <row r="617" spans="1:42" x14ac:dyDescent="0.25">
      <c r="A617" s="3">
        <v>4604896</v>
      </c>
      <c r="B617" s="3" t="s">
        <v>475</v>
      </c>
      <c r="C617" s="3" t="s">
        <v>2093</v>
      </c>
      <c r="D617" s="3">
        <v>10004680</v>
      </c>
      <c r="E617" s="4">
        <v>4534247</v>
      </c>
      <c r="F617" s="3" t="s">
        <v>49</v>
      </c>
      <c r="G617" s="4" t="s">
        <v>2119</v>
      </c>
      <c r="H617" s="4" t="s">
        <v>2120</v>
      </c>
      <c r="I617" s="5">
        <v>130680</v>
      </c>
      <c r="J617" s="3" t="s">
        <v>1479</v>
      </c>
      <c r="K617" s="3" t="s">
        <v>1227</v>
      </c>
      <c r="L617" s="3" t="s">
        <v>119</v>
      </c>
      <c r="M617" s="4" t="s">
        <v>2120</v>
      </c>
      <c r="N617" s="3" t="s">
        <v>56</v>
      </c>
      <c r="O617" s="3" t="s">
        <v>139</v>
      </c>
      <c r="P617" s="4" t="s">
        <v>282</v>
      </c>
      <c r="Y617" s="4" t="s">
        <v>747</v>
      </c>
      <c r="Z617" s="4" t="s">
        <v>747</v>
      </c>
      <c r="AA617" s="4" t="s">
        <v>356</v>
      </c>
      <c r="AB617" s="3" t="s">
        <v>2121</v>
      </c>
      <c r="AC617" s="3" t="s">
        <v>358</v>
      </c>
      <c r="AD617" s="3" t="s">
        <v>371</v>
      </c>
      <c r="AE617" s="3">
        <v>1000</v>
      </c>
      <c r="AI617" s="4" t="s">
        <v>749</v>
      </c>
      <c r="AJ617" s="4" t="s">
        <v>749</v>
      </c>
      <c r="AK617" s="3" t="s">
        <v>286</v>
      </c>
      <c r="AL617" s="4">
        <v>46130</v>
      </c>
      <c r="AM617" s="5">
        <v>130680</v>
      </c>
      <c r="AN617" s="4" t="s">
        <v>124</v>
      </c>
      <c r="AO617" s="4">
        <v>99</v>
      </c>
      <c r="AP617" s="4">
        <v>80101507</v>
      </c>
    </row>
    <row r="618" spans="1:42" x14ac:dyDescent="0.25">
      <c r="A618" s="3">
        <v>4604933</v>
      </c>
      <c r="B618" s="3" t="s">
        <v>504</v>
      </c>
      <c r="C618" s="3" t="s">
        <v>2093</v>
      </c>
      <c r="D618" s="3">
        <v>10004733</v>
      </c>
      <c r="E618" s="4">
        <v>4534284</v>
      </c>
      <c r="F618" s="3" t="s">
        <v>49</v>
      </c>
      <c r="G618" s="4" t="s">
        <v>2122</v>
      </c>
      <c r="H618" s="4" t="s">
        <v>2123</v>
      </c>
      <c r="I618" s="5">
        <v>130792.74</v>
      </c>
      <c r="J618" s="3" t="s">
        <v>502</v>
      </c>
      <c r="K618" s="3" t="s">
        <v>504</v>
      </c>
      <c r="L618" s="3" t="s">
        <v>119</v>
      </c>
      <c r="M618" s="4" t="s">
        <v>2123</v>
      </c>
      <c r="N618" s="3" t="s">
        <v>25</v>
      </c>
      <c r="Y618" s="4" t="s">
        <v>1616</v>
      </c>
      <c r="Z618" s="4" t="s">
        <v>1616</v>
      </c>
      <c r="AA618" s="4" t="s">
        <v>2124</v>
      </c>
      <c r="AD618" s="3" t="s">
        <v>351</v>
      </c>
      <c r="AE618" s="3">
        <v>1000</v>
      </c>
      <c r="AI618" s="4" t="s">
        <v>1617</v>
      </c>
      <c r="AJ618" s="4" t="s">
        <v>1617</v>
      </c>
      <c r="AL618" s="4">
        <v>141886</v>
      </c>
      <c r="AM618" s="5">
        <v>130792.74</v>
      </c>
      <c r="AN618" s="4" t="s">
        <v>124</v>
      </c>
      <c r="AO618" s="4">
        <v>99</v>
      </c>
      <c r="AP618" s="4">
        <v>80101706</v>
      </c>
    </row>
    <row r="619" spans="1:42" x14ac:dyDescent="0.25">
      <c r="A619" s="3">
        <v>4604934</v>
      </c>
      <c r="B619" s="3" t="s">
        <v>1727</v>
      </c>
      <c r="C619" s="3" t="s">
        <v>2093</v>
      </c>
      <c r="D619" s="3">
        <v>10004757</v>
      </c>
      <c r="E619" s="4">
        <v>4534285</v>
      </c>
      <c r="F619" s="3" t="s">
        <v>49</v>
      </c>
      <c r="G619" s="4" t="s">
        <v>572</v>
      </c>
      <c r="H619" s="4" t="s">
        <v>2125</v>
      </c>
      <c r="I619" s="5">
        <v>140000</v>
      </c>
      <c r="J619" s="3" t="s">
        <v>500</v>
      </c>
      <c r="K619" s="3" t="s">
        <v>1727</v>
      </c>
      <c r="L619" s="3" t="s">
        <v>196</v>
      </c>
      <c r="M619" s="4" t="s">
        <v>2125</v>
      </c>
      <c r="N619" s="3" t="s">
        <v>25</v>
      </c>
      <c r="Y619" s="4" t="s">
        <v>1616</v>
      </c>
      <c r="Z619" s="4" t="s">
        <v>1616</v>
      </c>
      <c r="AA619" s="4" t="s">
        <v>2124</v>
      </c>
      <c r="AD619" s="3" t="s">
        <v>472</v>
      </c>
      <c r="AE619" s="3">
        <v>1000</v>
      </c>
      <c r="AI619" s="4" t="s">
        <v>1617</v>
      </c>
      <c r="AJ619" s="4" t="s">
        <v>1617</v>
      </c>
      <c r="AL619" s="4">
        <v>45868</v>
      </c>
      <c r="AM619" s="5">
        <v>140000</v>
      </c>
      <c r="AN619" s="4" t="s">
        <v>124</v>
      </c>
      <c r="AO619" s="4">
        <v>99</v>
      </c>
      <c r="AP619" s="4">
        <v>80101706</v>
      </c>
    </row>
    <row r="620" spans="1:42" x14ac:dyDescent="0.25">
      <c r="A620" s="3">
        <v>4604935</v>
      </c>
      <c r="B620" s="3" t="s">
        <v>1903</v>
      </c>
      <c r="C620" s="3" t="s">
        <v>2093</v>
      </c>
      <c r="D620" s="3">
        <v>10004741</v>
      </c>
      <c r="E620" s="4">
        <v>4534286</v>
      </c>
      <c r="F620" s="3" t="s">
        <v>49</v>
      </c>
      <c r="G620" s="4" t="s">
        <v>2126</v>
      </c>
      <c r="H620" s="4" t="s">
        <v>2127</v>
      </c>
      <c r="I620" s="5">
        <v>117000</v>
      </c>
      <c r="J620" s="3" t="s">
        <v>1136</v>
      </c>
      <c r="K620" s="3" t="s">
        <v>2128</v>
      </c>
      <c r="L620" s="3" t="s">
        <v>196</v>
      </c>
      <c r="M620" s="4" t="s">
        <v>2127</v>
      </c>
      <c r="N620" s="3" t="s">
        <v>25</v>
      </c>
      <c r="Y620" s="4" t="s">
        <v>2129</v>
      </c>
      <c r="Z620" s="4" t="s">
        <v>112</v>
      </c>
      <c r="AA620" s="4" t="s">
        <v>2130</v>
      </c>
      <c r="AD620" s="3" t="s">
        <v>2131</v>
      </c>
      <c r="AE620" s="3">
        <v>1000</v>
      </c>
      <c r="AI620" s="4" t="s">
        <v>2132</v>
      </c>
      <c r="AJ620" s="4" t="s">
        <v>115</v>
      </c>
      <c r="AL620" s="4">
        <v>141617</v>
      </c>
      <c r="AM620" s="5">
        <v>117000</v>
      </c>
      <c r="AN620" s="4" t="s">
        <v>124</v>
      </c>
      <c r="AO620" s="4">
        <v>99</v>
      </c>
      <c r="AP620" s="4">
        <v>80110000</v>
      </c>
    </row>
    <row r="621" spans="1:42" x14ac:dyDescent="0.25">
      <c r="A621" s="3">
        <v>4604941</v>
      </c>
      <c r="B621" s="3" t="s">
        <v>472</v>
      </c>
      <c r="C621" s="3" t="s">
        <v>2093</v>
      </c>
      <c r="D621" s="3">
        <v>10004729</v>
      </c>
      <c r="E621" s="4">
        <v>4534292</v>
      </c>
      <c r="F621" s="3" t="s">
        <v>49</v>
      </c>
      <c r="G621" s="4" t="s">
        <v>572</v>
      </c>
      <c r="H621" s="4" t="s">
        <v>2133</v>
      </c>
      <c r="I621" s="5">
        <v>36000</v>
      </c>
      <c r="J621" s="3" t="s">
        <v>513</v>
      </c>
      <c r="K621" s="3" t="s">
        <v>516</v>
      </c>
      <c r="L621" s="3" t="s">
        <v>196</v>
      </c>
      <c r="M621" s="4" t="s">
        <v>2133</v>
      </c>
      <c r="N621" s="3" t="s">
        <v>25</v>
      </c>
      <c r="Y621" s="4" t="s">
        <v>933</v>
      </c>
      <c r="Z621" s="4" t="s">
        <v>933</v>
      </c>
      <c r="AD621" s="3" t="s">
        <v>2134</v>
      </c>
      <c r="AE621" s="3">
        <v>1000</v>
      </c>
      <c r="AI621" s="4" t="s">
        <v>934</v>
      </c>
      <c r="AJ621" s="4" t="s">
        <v>934</v>
      </c>
      <c r="AL621" s="4">
        <v>45868</v>
      </c>
      <c r="AM621" s="5">
        <v>36000</v>
      </c>
      <c r="AN621" s="4" t="s">
        <v>124</v>
      </c>
      <c r="AO621" s="4">
        <v>99</v>
      </c>
      <c r="AP621" s="4">
        <v>80101507</v>
      </c>
    </row>
    <row r="622" spans="1:42" x14ac:dyDescent="0.25">
      <c r="A622" s="3">
        <v>4604943</v>
      </c>
      <c r="B622" s="3" t="s">
        <v>439</v>
      </c>
      <c r="C622" s="3" t="s">
        <v>2093</v>
      </c>
      <c r="D622" s="3">
        <v>10004762</v>
      </c>
      <c r="E622" s="4">
        <v>4534294</v>
      </c>
      <c r="F622" s="3" t="s">
        <v>49</v>
      </c>
      <c r="G622" s="4" t="s">
        <v>2135</v>
      </c>
      <c r="H622" s="4" t="s">
        <v>2136</v>
      </c>
      <c r="I622" s="5">
        <v>18700</v>
      </c>
      <c r="J622" s="3" t="s">
        <v>441</v>
      </c>
      <c r="K622" s="3" t="s">
        <v>439</v>
      </c>
      <c r="L622" s="3" t="s">
        <v>196</v>
      </c>
      <c r="M622" s="4" t="s">
        <v>2137</v>
      </c>
      <c r="N622" s="3" t="s">
        <v>25</v>
      </c>
      <c r="Y622" s="4" t="s">
        <v>1616</v>
      </c>
      <c r="Z622" s="4" t="s">
        <v>1616</v>
      </c>
      <c r="AA622" s="4" t="s">
        <v>1647</v>
      </c>
      <c r="AD622" s="3" t="s">
        <v>2138</v>
      </c>
      <c r="AE622" s="3">
        <v>1000</v>
      </c>
      <c r="AI622" s="4" t="s">
        <v>1617</v>
      </c>
      <c r="AJ622" s="4" t="s">
        <v>1617</v>
      </c>
      <c r="AL622" s="4">
        <v>141819</v>
      </c>
      <c r="AM622" s="5">
        <v>18700</v>
      </c>
      <c r="AN622" s="4" t="s">
        <v>124</v>
      </c>
      <c r="AO622" s="4">
        <v>99</v>
      </c>
      <c r="AP622" s="4">
        <v>80101706</v>
      </c>
    </row>
    <row r="623" spans="1:42" x14ac:dyDescent="0.25">
      <c r="A623" s="3">
        <v>4605033</v>
      </c>
      <c r="B623" s="3" t="s">
        <v>385</v>
      </c>
      <c r="C623" s="3" t="s">
        <v>2093</v>
      </c>
      <c r="D623" s="3">
        <v>10004864</v>
      </c>
      <c r="E623" s="4">
        <v>4534384</v>
      </c>
      <c r="F623" s="3" t="s">
        <v>49</v>
      </c>
      <c r="G623" s="4" t="s">
        <v>572</v>
      </c>
      <c r="H623" s="4" t="s">
        <v>2139</v>
      </c>
      <c r="I623" s="5">
        <v>11000</v>
      </c>
      <c r="J623" s="3" t="s">
        <v>485</v>
      </c>
      <c r="K623" s="3" t="s">
        <v>2140</v>
      </c>
      <c r="L623" s="3" t="s">
        <v>196</v>
      </c>
      <c r="M623" s="4" t="s">
        <v>2139</v>
      </c>
      <c r="N623" s="3" t="s">
        <v>25</v>
      </c>
      <c r="Y623" s="4" t="s">
        <v>112</v>
      </c>
      <c r="Z623" s="4" t="s">
        <v>112</v>
      </c>
      <c r="AD623" s="3" t="s">
        <v>369</v>
      </c>
      <c r="AE623" s="3">
        <v>1000</v>
      </c>
      <c r="AI623" s="4" t="s">
        <v>115</v>
      </c>
      <c r="AJ623" s="4" t="s">
        <v>115</v>
      </c>
      <c r="AL623" s="4">
        <v>45868</v>
      </c>
      <c r="AM623" s="5">
        <v>11000</v>
      </c>
      <c r="AN623" s="4" t="s">
        <v>124</v>
      </c>
      <c r="AO623" s="4">
        <v>99</v>
      </c>
      <c r="AP623" s="4">
        <v>80101505</v>
      </c>
    </row>
    <row r="624" spans="1:42" x14ac:dyDescent="0.25">
      <c r="A624" s="3">
        <v>4605036</v>
      </c>
      <c r="B624" s="3" t="s">
        <v>77</v>
      </c>
      <c r="C624" s="3" t="s">
        <v>2093</v>
      </c>
      <c r="D624" s="3">
        <v>10004890</v>
      </c>
      <c r="E624" s="4">
        <v>4534387</v>
      </c>
      <c r="F624" s="3" t="s">
        <v>49</v>
      </c>
      <c r="G624" s="4" t="s">
        <v>2141</v>
      </c>
      <c r="H624" s="4" t="s">
        <v>2142</v>
      </c>
      <c r="I624" s="5">
        <v>20000</v>
      </c>
      <c r="J624" s="3" t="s">
        <v>485</v>
      </c>
      <c r="K624" s="3" t="s">
        <v>77</v>
      </c>
      <c r="L624" s="3" t="s">
        <v>196</v>
      </c>
      <c r="M624" s="4" t="s">
        <v>2142</v>
      </c>
      <c r="N624" s="3" t="s">
        <v>25</v>
      </c>
      <c r="Y624" s="4" t="s">
        <v>1616</v>
      </c>
      <c r="Z624" s="4" t="s">
        <v>1616</v>
      </c>
      <c r="AA624" s="4" t="s">
        <v>2143</v>
      </c>
      <c r="AD624" s="3" t="s">
        <v>351</v>
      </c>
      <c r="AE624" s="3">
        <v>1000</v>
      </c>
      <c r="AI624" s="4" t="s">
        <v>1617</v>
      </c>
      <c r="AJ624" s="4" t="s">
        <v>1617</v>
      </c>
      <c r="AL624" s="4">
        <v>30218</v>
      </c>
      <c r="AM624" s="5">
        <v>20000</v>
      </c>
      <c r="AN624" s="4" t="s">
        <v>124</v>
      </c>
      <c r="AO624" s="4">
        <v>99</v>
      </c>
      <c r="AP624" s="4">
        <v>80101706</v>
      </c>
    </row>
    <row r="625" spans="1:42" x14ac:dyDescent="0.25">
      <c r="A625" s="3">
        <v>4604584</v>
      </c>
      <c r="B625" s="3" t="s">
        <v>2144</v>
      </c>
      <c r="C625" s="3" t="s">
        <v>2145</v>
      </c>
      <c r="D625" s="3">
        <v>10004368</v>
      </c>
      <c r="E625" s="4">
        <v>4533935</v>
      </c>
      <c r="F625" s="3" t="s">
        <v>49</v>
      </c>
      <c r="G625" s="4" t="s">
        <v>453</v>
      </c>
      <c r="H625" s="4" t="s">
        <v>2146</v>
      </c>
      <c r="I625" s="5">
        <v>16500</v>
      </c>
      <c r="J625" s="3" t="s">
        <v>416</v>
      </c>
      <c r="K625" s="3" t="s">
        <v>2147</v>
      </c>
      <c r="L625" s="3" t="s">
        <v>196</v>
      </c>
      <c r="M625" s="4" t="s">
        <v>2146</v>
      </c>
      <c r="N625" s="3" t="s">
        <v>25</v>
      </c>
      <c r="Y625" s="4" t="s">
        <v>2148</v>
      </c>
      <c r="Z625" s="4" t="s">
        <v>2148</v>
      </c>
      <c r="AD625" s="3" t="s">
        <v>627</v>
      </c>
      <c r="AE625" s="3">
        <v>1000</v>
      </c>
      <c r="AI625" s="4" t="s">
        <v>2149</v>
      </c>
      <c r="AJ625" s="4" t="s">
        <v>2149</v>
      </c>
      <c r="AL625" s="4">
        <v>47630</v>
      </c>
      <c r="AM625" s="5">
        <v>16500</v>
      </c>
      <c r="AN625" s="4" t="s">
        <v>124</v>
      </c>
      <c r="AO625" s="4">
        <v>99</v>
      </c>
      <c r="AP625" s="4">
        <v>86000000</v>
      </c>
    </row>
    <row r="626" spans="1:42" x14ac:dyDescent="0.25">
      <c r="A626" s="3">
        <v>4600204</v>
      </c>
      <c r="B626" s="3" t="s">
        <v>2150</v>
      </c>
      <c r="C626" s="3" t="s">
        <v>2151</v>
      </c>
      <c r="D626" s="3">
        <v>10000237</v>
      </c>
      <c r="E626" s="4">
        <v>4529554</v>
      </c>
      <c r="F626" s="3" t="s">
        <v>49</v>
      </c>
      <c r="G626" s="4" t="s">
        <v>2152</v>
      </c>
      <c r="H626" s="4" t="s">
        <v>2153</v>
      </c>
      <c r="I626" s="5">
        <v>274637000</v>
      </c>
      <c r="J626" s="3" t="s">
        <v>2150</v>
      </c>
      <c r="K626" s="3" t="s">
        <v>2154</v>
      </c>
      <c r="L626" s="3" t="s">
        <v>54</v>
      </c>
      <c r="M626" s="4" t="s">
        <v>2153</v>
      </c>
      <c r="N626" s="3" t="s">
        <v>25</v>
      </c>
      <c r="Y626" s="4" t="s">
        <v>2155</v>
      </c>
      <c r="Z626" s="4" t="s">
        <v>1048</v>
      </c>
      <c r="AD626" s="3" t="s">
        <v>2156</v>
      </c>
      <c r="AE626" s="3">
        <v>5000</v>
      </c>
      <c r="AF626" s="4">
        <v>29942429</v>
      </c>
      <c r="AG626" s="4">
        <v>244694571</v>
      </c>
      <c r="AH626" s="4">
        <v>4528763</v>
      </c>
      <c r="AI626" s="4" t="s">
        <v>2157</v>
      </c>
      <c r="AJ626" s="4" t="s">
        <v>1051</v>
      </c>
      <c r="AL626" s="4">
        <v>47956</v>
      </c>
      <c r="AM626" s="5">
        <v>274637000</v>
      </c>
      <c r="AN626" s="4" t="s">
        <v>31</v>
      </c>
      <c r="AO626" s="4">
        <v>99</v>
      </c>
    </row>
    <row r="627" spans="1:42" x14ac:dyDescent="0.25">
      <c r="A627" s="3">
        <v>4604319</v>
      </c>
      <c r="B627" s="3" t="s">
        <v>1052</v>
      </c>
      <c r="C627" s="3" t="s">
        <v>2158</v>
      </c>
      <c r="D627" s="3">
        <v>10004087</v>
      </c>
      <c r="E627" s="4">
        <v>4533670</v>
      </c>
      <c r="F627" s="3" t="s">
        <v>49</v>
      </c>
      <c r="G627" s="4" t="s">
        <v>2159</v>
      </c>
      <c r="H627" s="4" t="s">
        <v>2160</v>
      </c>
      <c r="I627" s="5">
        <v>5800000</v>
      </c>
      <c r="J627" s="3" t="s">
        <v>1282</v>
      </c>
      <c r="K627" s="3" t="s">
        <v>374</v>
      </c>
      <c r="L627" s="3" t="s">
        <v>119</v>
      </c>
      <c r="M627" s="4" t="s">
        <v>2161</v>
      </c>
      <c r="N627" s="3" t="s">
        <v>25</v>
      </c>
      <c r="O627" s="3" t="s">
        <v>139</v>
      </c>
      <c r="P627" s="4" t="s">
        <v>282</v>
      </c>
      <c r="U627" s="4" t="s">
        <v>139</v>
      </c>
      <c r="V627" s="4" t="s">
        <v>119</v>
      </c>
      <c r="W627" s="4" t="s">
        <v>217</v>
      </c>
      <c r="X627" s="4" t="s">
        <v>2162</v>
      </c>
      <c r="Y627" s="4" t="s">
        <v>2163</v>
      </c>
      <c r="Z627" s="4" t="s">
        <v>2164</v>
      </c>
      <c r="AA627" s="4" t="s">
        <v>2165</v>
      </c>
      <c r="AD627" s="3" t="s">
        <v>1052</v>
      </c>
      <c r="AE627" s="3">
        <v>1000</v>
      </c>
      <c r="AI627" s="4" t="s">
        <v>2166</v>
      </c>
      <c r="AJ627" s="4" t="s">
        <v>2167</v>
      </c>
      <c r="AK627" s="3" t="s">
        <v>286</v>
      </c>
      <c r="AL627" s="4">
        <v>141658</v>
      </c>
      <c r="AM627" s="5">
        <v>5800000</v>
      </c>
      <c r="AN627" s="4" t="s">
        <v>124</v>
      </c>
      <c r="AO627" s="4">
        <v>98</v>
      </c>
      <c r="AP627" s="4">
        <v>80101504</v>
      </c>
    </row>
    <row r="628" spans="1:42" x14ac:dyDescent="0.25">
      <c r="A628" s="3">
        <v>4604366</v>
      </c>
      <c r="B628" s="3" t="s">
        <v>2179</v>
      </c>
      <c r="C628" s="3" t="s">
        <v>2158</v>
      </c>
      <c r="D628" s="3">
        <v>10004151</v>
      </c>
      <c r="E628" s="4">
        <v>4533717</v>
      </c>
      <c r="F628" s="3" t="s">
        <v>49</v>
      </c>
      <c r="G628" s="4" t="s">
        <v>372</v>
      </c>
      <c r="H628" s="4" t="s">
        <v>2180</v>
      </c>
      <c r="I628" s="5">
        <v>783225</v>
      </c>
      <c r="J628" s="3" t="s">
        <v>2179</v>
      </c>
      <c r="K628" s="3" t="s">
        <v>2181</v>
      </c>
      <c r="L628" s="3" t="s">
        <v>119</v>
      </c>
      <c r="M628" s="4" t="s">
        <v>2182</v>
      </c>
      <c r="N628" s="3" t="s">
        <v>56</v>
      </c>
      <c r="O628" s="3" t="s">
        <v>139</v>
      </c>
      <c r="P628" s="4" t="s">
        <v>140</v>
      </c>
      <c r="Y628" s="4" t="s">
        <v>2183</v>
      </c>
      <c r="Z628" s="4" t="s">
        <v>1886</v>
      </c>
      <c r="AA628" s="4" t="s">
        <v>356</v>
      </c>
      <c r="AB628" s="3" t="s">
        <v>375</v>
      </c>
      <c r="AC628" s="3" t="s">
        <v>358</v>
      </c>
      <c r="AD628" s="3" t="s">
        <v>385</v>
      </c>
      <c r="AE628" s="3">
        <v>1000</v>
      </c>
      <c r="AI628" s="4" t="s">
        <v>2184</v>
      </c>
      <c r="AJ628" s="4" t="s">
        <v>1888</v>
      </c>
      <c r="AK628" s="3" t="s">
        <v>143</v>
      </c>
      <c r="AL628" s="4">
        <v>43825</v>
      </c>
      <c r="AM628" s="5">
        <v>783225</v>
      </c>
      <c r="AN628" s="4" t="s">
        <v>124</v>
      </c>
      <c r="AO628" s="4">
        <v>96</v>
      </c>
      <c r="AP628" s="4">
        <v>80100000</v>
      </c>
    </row>
    <row r="629" spans="1:42" x14ac:dyDescent="0.25">
      <c r="A629" s="3">
        <v>4604399</v>
      </c>
      <c r="B629" s="3" t="s">
        <v>2185</v>
      </c>
      <c r="C629" s="3" t="s">
        <v>2158</v>
      </c>
      <c r="D629" s="3">
        <v>10004183</v>
      </c>
      <c r="E629" s="4">
        <v>4533750</v>
      </c>
      <c r="F629" s="3" t="s">
        <v>49</v>
      </c>
      <c r="G629" s="4" t="s">
        <v>329</v>
      </c>
      <c r="H629" s="4" t="s">
        <v>2186</v>
      </c>
      <c r="I629" s="5">
        <v>265158.3</v>
      </c>
      <c r="J629" s="3" t="s">
        <v>2185</v>
      </c>
      <c r="K629" s="3" t="s">
        <v>1704</v>
      </c>
      <c r="L629" s="3" t="s">
        <v>196</v>
      </c>
      <c r="M629" s="4" t="s">
        <v>2186</v>
      </c>
      <c r="N629" s="3" t="s">
        <v>25</v>
      </c>
      <c r="Y629" s="4" t="s">
        <v>2187</v>
      </c>
      <c r="Z629" s="4" t="s">
        <v>2187</v>
      </c>
      <c r="AD629" s="3" t="s">
        <v>1318</v>
      </c>
      <c r="AE629" s="3">
        <v>1000</v>
      </c>
      <c r="AI629" s="4" t="s">
        <v>2188</v>
      </c>
      <c r="AJ629" s="4" t="s">
        <v>2188</v>
      </c>
      <c r="AL629" s="4">
        <v>42575</v>
      </c>
      <c r="AM629" s="5">
        <v>265158.3</v>
      </c>
      <c r="AN629" s="4" t="s">
        <v>124</v>
      </c>
      <c r="AO629" s="4">
        <v>99</v>
      </c>
      <c r="AP629" s="4">
        <v>81112200</v>
      </c>
    </row>
    <row r="630" spans="1:42" x14ac:dyDescent="0.25">
      <c r="A630" s="3">
        <v>4604435</v>
      </c>
      <c r="B630" s="3" t="s">
        <v>2195</v>
      </c>
      <c r="C630" s="3" t="s">
        <v>2158</v>
      </c>
      <c r="D630" s="3">
        <v>10004224</v>
      </c>
      <c r="E630" s="4">
        <v>4533786</v>
      </c>
      <c r="F630" s="3" t="s">
        <v>49</v>
      </c>
      <c r="G630" s="4" t="s">
        <v>2196</v>
      </c>
      <c r="H630" s="4" t="s">
        <v>2197</v>
      </c>
      <c r="I630" s="5">
        <v>15000</v>
      </c>
      <c r="J630" s="3" t="s">
        <v>2195</v>
      </c>
      <c r="K630" s="3" t="s">
        <v>223</v>
      </c>
      <c r="L630" s="3" t="s">
        <v>196</v>
      </c>
      <c r="M630" s="4" t="s">
        <v>2197</v>
      </c>
      <c r="N630" s="3" t="s">
        <v>25</v>
      </c>
      <c r="O630" s="3" t="s">
        <v>139</v>
      </c>
      <c r="P630" s="4" t="s">
        <v>140</v>
      </c>
      <c r="Y630" s="4" t="s">
        <v>307</v>
      </c>
      <c r="Z630" s="4" t="s">
        <v>307</v>
      </c>
      <c r="AD630" s="3" t="s">
        <v>1601</v>
      </c>
      <c r="AE630" s="3">
        <v>1000</v>
      </c>
      <c r="AI630" s="4" t="s">
        <v>309</v>
      </c>
      <c r="AJ630" s="4" t="s">
        <v>309</v>
      </c>
      <c r="AK630" s="3" t="s">
        <v>143</v>
      </c>
      <c r="AL630" s="4">
        <v>141718</v>
      </c>
      <c r="AM630" s="5">
        <v>15000</v>
      </c>
      <c r="AN630" s="4" t="s">
        <v>124</v>
      </c>
      <c r="AO630" s="4">
        <v>99</v>
      </c>
      <c r="AP630" s="4">
        <v>80100000</v>
      </c>
    </row>
    <row r="631" spans="1:42" x14ac:dyDescent="0.25">
      <c r="A631" s="3">
        <v>4604437</v>
      </c>
      <c r="B631" s="3" t="s">
        <v>2198</v>
      </c>
      <c r="C631" s="3" t="s">
        <v>2158</v>
      </c>
      <c r="D631" s="3">
        <v>10004226</v>
      </c>
      <c r="E631" s="4">
        <v>4533788</v>
      </c>
      <c r="F631" s="3" t="s">
        <v>49</v>
      </c>
      <c r="G631" s="4" t="s">
        <v>2199</v>
      </c>
      <c r="H631" s="4" t="s">
        <v>2200</v>
      </c>
      <c r="I631" s="5">
        <v>57250</v>
      </c>
      <c r="J631" s="3" t="s">
        <v>2198</v>
      </c>
      <c r="K631" s="3" t="s">
        <v>223</v>
      </c>
      <c r="L631" s="3" t="s">
        <v>196</v>
      </c>
      <c r="M631" s="4" t="s">
        <v>2201</v>
      </c>
      <c r="N631" s="3" t="s">
        <v>25</v>
      </c>
      <c r="O631" s="3" t="s">
        <v>139</v>
      </c>
      <c r="P631" s="4" t="s">
        <v>282</v>
      </c>
      <c r="Q631" s="3" t="s">
        <v>139</v>
      </c>
      <c r="R631" s="3" t="s">
        <v>427</v>
      </c>
      <c r="S631" s="4" t="s">
        <v>428</v>
      </c>
      <c r="U631" s="4" t="s">
        <v>139</v>
      </c>
      <c r="V631" s="4" t="s">
        <v>427</v>
      </c>
      <c r="W631" s="4" t="s">
        <v>428</v>
      </c>
      <c r="Y631" s="4" t="s">
        <v>307</v>
      </c>
      <c r="Z631" s="4" t="s">
        <v>307</v>
      </c>
      <c r="AD631" s="3" t="s">
        <v>1543</v>
      </c>
      <c r="AE631" s="3">
        <v>1000</v>
      </c>
      <c r="AI631" s="4" t="s">
        <v>309</v>
      </c>
      <c r="AJ631" s="4" t="s">
        <v>309</v>
      </c>
      <c r="AK631" s="3" t="s">
        <v>286</v>
      </c>
      <c r="AL631" s="4">
        <v>141720</v>
      </c>
      <c r="AM631" s="5">
        <v>57250</v>
      </c>
      <c r="AN631" s="4" t="s">
        <v>124</v>
      </c>
      <c r="AO631" s="4">
        <v>99</v>
      </c>
      <c r="AP631" s="4">
        <v>80100000</v>
      </c>
    </row>
    <row r="632" spans="1:42" x14ac:dyDescent="0.25">
      <c r="A632" s="3">
        <v>4604456</v>
      </c>
      <c r="B632" s="3" t="s">
        <v>200</v>
      </c>
      <c r="C632" s="3" t="s">
        <v>2158</v>
      </c>
      <c r="D632" s="3">
        <v>10004224</v>
      </c>
      <c r="E632" s="4">
        <v>4533807</v>
      </c>
      <c r="F632" s="3" t="s">
        <v>49</v>
      </c>
      <c r="G632" s="4" t="s">
        <v>2202</v>
      </c>
      <c r="H632" s="4" t="s">
        <v>2197</v>
      </c>
      <c r="I632" s="5">
        <v>22500</v>
      </c>
      <c r="J632" s="3" t="s">
        <v>2195</v>
      </c>
      <c r="K632" s="3" t="s">
        <v>223</v>
      </c>
      <c r="L632" s="3" t="s">
        <v>196</v>
      </c>
      <c r="M632" s="4" t="s">
        <v>2197</v>
      </c>
      <c r="N632" s="3" t="s">
        <v>25</v>
      </c>
      <c r="O632" s="3" t="s">
        <v>139</v>
      </c>
      <c r="P632" s="4" t="s">
        <v>140</v>
      </c>
      <c r="Y632" s="4" t="s">
        <v>307</v>
      </c>
      <c r="Z632" s="4" t="s">
        <v>307</v>
      </c>
      <c r="AD632" s="3" t="s">
        <v>1601</v>
      </c>
      <c r="AE632" s="3">
        <v>1000</v>
      </c>
      <c r="AI632" s="4" t="s">
        <v>309</v>
      </c>
      <c r="AJ632" s="4" t="s">
        <v>309</v>
      </c>
      <c r="AK632" s="3" t="s">
        <v>143</v>
      </c>
      <c r="AL632" s="4">
        <v>141726</v>
      </c>
      <c r="AM632" s="5">
        <v>22500</v>
      </c>
      <c r="AN632" s="4" t="s">
        <v>124</v>
      </c>
      <c r="AO632" s="4">
        <v>99</v>
      </c>
      <c r="AP632" s="4">
        <v>80100000</v>
      </c>
    </row>
    <row r="633" spans="1:42" x14ac:dyDescent="0.25">
      <c r="A633" s="3">
        <v>4604466</v>
      </c>
      <c r="B633" s="3" t="s">
        <v>200</v>
      </c>
      <c r="C633" s="3" t="s">
        <v>2158</v>
      </c>
      <c r="D633" s="3">
        <v>10004224</v>
      </c>
      <c r="E633" s="4">
        <v>4533817</v>
      </c>
      <c r="F633" s="3" t="s">
        <v>49</v>
      </c>
      <c r="G633" s="4" t="s">
        <v>2203</v>
      </c>
      <c r="H633" s="4" t="s">
        <v>2197</v>
      </c>
      <c r="I633" s="5">
        <v>22500</v>
      </c>
      <c r="J633" s="3" t="s">
        <v>2195</v>
      </c>
      <c r="K633" s="3" t="s">
        <v>223</v>
      </c>
      <c r="L633" s="3" t="s">
        <v>196</v>
      </c>
      <c r="M633" s="4" t="s">
        <v>2197</v>
      </c>
      <c r="N633" s="3" t="s">
        <v>25</v>
      </c>
      <c r="O633" s="3" t="s">
        <v>139</v>
      </c>
      <c r="P633" s="4" t="s">
        <v>140</v>
      </c>
      <c r="Y633" s="4" t="s">
        <v>307</v>
      </c>
      <c r="Z633" s="4" t="s">
        <v>307</v>
      </c>
      <c r="AD633" s="3" t="s">
        <v>1601</v>
      </c>
      <c r="AE633" s="3">
        <v>1000</v>
      </c>
      <c r="AI633" s="4" t="s">
        <v>309</v>
      </c>
      <c r="AJ633" s="4" t="s">
        <v>309</v>
      </c>
      <c r="AK633" s="3" t="s">
        <v>143</v>
      </c>
      <c r="AL633" s="4">
        <v>141732</v>
      </c>
      <c r="AM633" s="5">
        <v>22500</v>
      </c>
      <c r="AN633" s="4" t="s">
        <v>124</v>
      </c>
      <c r="AO633" s="4">
        <v>99</v>
      </c>
      <c r="AP633" s="4">
        <v>80100000</v>
      </c>
    </row>
    <row r="634" spans="1:42" x14ac:dyDescent="0.25">
      <c r="A634" s="3">
        <v>4604486</v>
      </c>
      <c r="B634" s="3" t="s">
        <v>1410</v>
      </c>
      <c r="C634" s="3" t="s">
        <v>2158</v>
      </c>
      <c r="D634" s="3">
        <v>10004278</v>
      </c>
      <c r="E634" s="4">
        <v>4533837</v>
      </c>
      <c r="F634" s="3" t="s">
        <v>49</v>
      </c>
      <c r="G634" s="4" t="s">
        <v>470</v>
      </c>
      <c r="H634" s="4" t="s">
        <v>2204</v>
      </c>
      <c r="I634" s="5">
        <v>100015</v>
      </c>
      <c r="J634" s="3" t="s">
        <v>1410</v>
      </c>
      <c r="K634" s="3" t="s">
        <v>997</v>
      </c>
      <c r="L634" s="3" t="s">
        <v>119</v>
      </c>
      <c r="M634" s="4" t="s">
        <v>2204</v>
      </c>
      <c r="N634" s="3" t="s">
        <v>56</v>
      </c>
      <c r="O634" s="3" t="s">
        <v>139</v>
      </c>
      <c r="P634" s="4" t="s">
        <v>282</v>
      </c>
      <c r="Y634" s="4" t="s">
        <v>307</v>
      </c>
      <c r="Z634" s="4" t="s">
        <v>307</v>
      </c>
      <c r="AA634" s="4" t="s">
        <v>356</v>
      </c>
      <c r="AB634" s="3" t="s">
        <v>473</v>
      </c>
      <c r="AC634" s="3" t="s">
        <v>358</v>
      </c>
      <c r="AD634" s="3" t="s">
        <v>385</v>
      </c>
      <c r="AE634" s="3">
        <v>1000</v>
      </c>
      <c r="AI634" s="4" t="s">
        <v>309</v>
      </c>
      <c r="AJ634" s="4" t="s">
        <v>309</v>
      </c>
      <c r="AK634" s="3" t="s">
        <v>286</v>
      </c>
      <c r="AL634" s="4">
        <v>41344</v>
      </c>
      <c r="AM634" s="5">
        <v>100015</v>
      </c>
      <c r="AN634" s="4" t="s">
        <v>124</v>
      </c>
      <c r="AO634" s="4">
        <v>98</v>
      </c>
      <c r="AP634" s="4">
        <v>80100000</v>
      </c>
    </row>
    <row r="635" spans="1:42" x14ac:dyDescent="0.25">
      <c r="A635" s="3">
        <v>4604593</v>
      </c>
      <c r="B635" s="3" t="s">
        <v>200</v>
      </c>
      <c r="C635" s="3" t="s">
        <v>2158</v>
      </c>
      <c r="D635" s="3">
        <v>10004373</v>
      </c>
      <c r="E635" s="4">
        <v>4533944</v>
      </c>
      <c r="F635" s="3" t="s">
        <v>49</v>
      </c>
      <c r="G635" s="4" t="s">
        <v>2205</v>
      </c>
      <c r="H635" s="4" t="s">
        <v>2206</v>
      </c>
      <c r="I635" s="5">
        <v>10000</v>
      </c>
      <c r="J635" s="3" t="s">
        <v>200</v>
      </c>
      <c r="K635" s="3" t="s">
        <v>1543</v>
      </c>
      <c r="L635" s="3" t="s">
        <v>196</v>
      </c>
      <c r="M635" s="4" t="s">
        <v>2206</v>
      </c>
      <c r="N635" s="3" t="s">
        <v>25</v>
      </c>
      <c r="O635" s="3" t="s">
        <v>139</v>
      </c>
      <c r="P635" s="4" t="s">
        <v>2207</v>
      </c>
      <c r="Y635" s="4" t="s">
        <v>2208</v>
      </c>
      <c r="Z635" s="4" t="s">
        <v>2208</v>
      </c>
      <c r="AD635" s="3" t="s">
        <v>223</v>
      </c>
      <c r="AE635" s="3">
        <v>1000</v>
      </c>
      <c r="AI635" s="4" t="s">
        <v>2209</v>
      </c>
      <c r="AJ635" s="4" t="s">
        <v>2209</v>
      </c>
      <c r="AK635" s="3" t="s">
        <v>2210</v>
      </c>
      <c r="AL635" s="4">
        <v>141765</v>
      </c>
      <c r="AM635" s="5">
        <v>10000</v>
      </c>
      <c r="AN635" s="4" t="s">
        <v>124</v>
      </c>
      <c r="AO635" s="4">
        <v>99</v>
      </c>
      <c r="AP635" s="4">
        <v>80101505</v>
      </c>
    </row>
    <row r="636" spans="1:42" x14ac:dyDescent="0.25">
      <c r="A636" s="3">
        <v>4604646</v>
      </c>
      <c r="B636" s="3" t="s">
        <v>259</v>
      </c>
      <c r="C636" s="3" t="s">
        <v>2158</v>
      </c>
      <c r="D636" s="3">
        <v>10004433</v>
      </c>
      <c r="E636" s="4">
        <v>4533997</v>
      </c>
      <c r="F636" s="3" t="s">
        <v>49</v>
      </c>
      <c r="G636" s="4" t="s">
        <v>2211</v>
      </c>
      <c r="H636" s="4" t="s">
        <v>2212</v>
      </c>
      <c r="I636" s="5">
        <v>75086.06</v>
      </c>
      <c r="J636" s="3" t="s">
        <v>259</v>
      </c>
      <c r="K636" s="3" t="s">
        <v>832</v>
      </c>
      <c r="L636" s="3" t="s">
        <v>196</v>
      </c>
      <c r="M636" s="4" t="s">
        <v>2213</v>
      </c>
      <c r="N636" s="3" t="s">
        <v>25</v>
      </c>
      <c r="O636" s="3" t="s">
        <v>139</v>
      </c>
      <c r="P636" s="4" t="s">
        <v>282</v>
      </c>
      <c r="U636" s="4" t="s">
        <v>139</v>
      </c>
      <c r="V636" s="4" t="s">
        <v>119</v>
      </c>
      <c r="W636" s="4" t="s">
        <v>217</v>
      </c>
      <c r="X636" s="4" t="s">
        <v>2214</v>
      </c>
      <c r="Y636" s="4" t="s">
        <v>2215</v>
      </c>
      <c r="Z636" s="4" t="s">
        <v>2215</v>
      </c>
      <c r="AD636" s="3" t="s">
        <v>1629</v>
      </c>
      <c r="AE636" s="3">
        <v>1000</v>
      </c>
      <c r="AI636" s="4" t="s">
        <v>2216</v>
      </c>
      <c r="AJ636" s="4" t="s">
        <v>2216</v>
      </c>
      <c r="AK636" s="3" t="s">
        <v>286</v>
      </c>
      <c r="AL636" s="4">
        <v>141778</v>
      </c>
      <c r="AM636" s="5">
        <v>75086.06</v>
      </c>
      <c r="AN636" s="4" t="s">
        <v>124</v>
      </c>
      <c r="AO636" s="4">
        <v>98</v>
      </c>
      <c r="AP636" s="4">
        <v>80100000</v>
      </c>
    </row>
    <row r="637" spans="1:42" x14ac:dyDescent="0.25">
      <c r="A637" s="3">
        <v>4604711</v>
      </c>
      <c r="B637" s="3" t="s">
        <v>301</v>
      </c>
      <c r="C637" s="3" t="s">
        <v>2158</v>
      </c>
      <c r="D637" s="3">
        <v>10004510</v>
      </c>
      <c r="E637" s="4">
        <v>4534062</v>
      </c>
      <c r="F637" s="3" t="s">
        <v>49</v>
      </c>
      <c r="G637" s="4" t="s">
        <v>174</v>
      </c>
      <c r="I637" s="5">
        <v>2200.0300000000002</v>
      </c>
      <c r="J637" s="3" t="s">
        <v>1675</v>
      </c>
      <c r="K637" s="3" t="s">
        <v>500</v>
      </c>
      <c r="L637" s="3" t="s">
        <v>119</v>
      </c>
      <c r="M637" s="4" t="s">
        <v>2217</v>
      </c>
      <c r="N637" s="3" t="s">
        <v>56</v>
      </c>
      <c r="Y637" s="4" t="s">
        <v>178</v>
      </c>
      <c r="Z637" s="4" t="s">
        <v>178</v>
      </c>
      <c r="AD637" s="3" t="s">
        <v>173</v>
      </c>
      <c r="AE637" s="3">
        <v>1000</v>
      </c>
      <c r="AI637" s="4" t="s">
        <v>181</v>
      </c>
      <c r="AJ637" s="4" t="s">
        <v>181</v>
      </c>
      <c r="AL637" s="4">
        <v>40476</v>
      </c>
      <c r="AM637" s="5">
        <v>2200.0300000000002</v>
      </c>
      <c r="AN637" s="4" t="s">
        <v>124</v>
      </c>
    </row>
    <row r="638" spans="1:42" x14ac:dyDescent="0.25">
      <c r="A638" s="3">
        <v>4604761</v>
      </c>
      <c r="B638" s="3" t="s">
        <v>1593</v>
      </c>
      <c r="C638" s="3" t="s">
        <v>2158</v>
      </c>
      <c r="D638" s="3">
        <v>10004474</v>
      </c>
      <c r="E638" s="4">
        <v>4534112</v>
      </c>
      <c r="F638" s="3" t="s">
        <v>49</v>
      </c>
      <c r="G638" s="4" t="s">
        <v>2218</v>
      </c>
      <c r="H638" s="4" t="s">
        <v>2219</v>
      </c>
      <c r="I638" s="5">
        <v>43415.59</v>
      </c>
      <c r="J638" s="3" t="s">
        <v>2220</v>
      </c>
      <c r="K638" s="3" t="s">
        <v>910</v>
      </c>
      <c r="L638" s="3" t="s">
        <v>196</v>
      </c>
      <c r="M638" s="4" t="s">
        <v>2221</v>
      </c>
      <c r="N638" s="3" t="s">
        <v>25</v>
      </c>
      <c r="O638" s="3" t="s">
        <v>139</v>
      </c>
      <c r="P638" s="4" t="s">
        <v>282</v>
      </c>
      <c r="U638" s="4" t="s">
        <v>139</v>
      </c>
      <c r="V638" s="4" t="s">
        <v>119</v>
      </c>
      <c r="W638" s="4" t="s">
        <v>217</v>
      </c>
      <c r="X638" s="4" t="s">
        <v>2222</v>
      </c>
      <c r="Y638" s="4" t="s">
        <v>2223</v>
      </c>
      <c r="Z638" s="4" t="s">
        <v>2223</v>
      </c>
      <c r="AD638" s="3" t="s">
        <v>910</v>
      </c>
      <c r="AE638" s="3">
        <v>1000</v>
      </c>
      <c r="AI638" s="4" t="s">
        <v>2224</v>
      </c>
      <c r="AJ638" s="4" t="s">
        <v>2224</v>
      </c>
      <c r="AK638" s="3" t="s">
        <v>286</v>
      </c>
      <c r="AL638" s="4">
        <v>141816</v>
      </c>
      <c r="AM638" s="5">
        <v>43415.59</v>
      </c>
      <c r="AN638" s="4" t="s">
        <v>124</v>
      </c>
      <c r="AO638" s="4">
        <v>99</v>
      </c>
    </row>
    <row r="639" spans="1:42" x14ac:dyDescent="0.25">
      <c r="A639" s="3">
        <v>4604762</v>
      </c>
      <c r="B639" s="3" t="s">
        <v>259</v>
      </c>
      <c r="C639" s="3" t="s">
        <v>2158</v>
      </c>
      <c r="D639" s="3">
        <v>10004433</v>
      </c>
      <c r="E639" s="4">
        <v>4534113</v>
      </c>
      <c r="F639" s="3" t="s">
        <v>49</v>
      </c>
      <c r="G639" s="4" t="s">
        <v>2225</v>
      </c>
      <c r="H639" s="4" t="s">
        <v>2219</v>
      </c>
      <c r="I639" s="5">
        <v>90599.34</v>
      </c>
      <c r="J639" s="3" t="s">
        <v>259</v>
      </c>
      <c r="K639" s="3" t="s">
        <v>910</v>
      </c>
      <c r="L639" s="3" t="s">
        <v>196</v>
      </c>
      <c r="M639" s="4" t="s">
        <v>2213</v>
      </c>
      <c r="N639" s="3" t="s">
        <v>25</v>
      </c>
      <c r="O639" s="3" t="s">
        <v>139</v>
      </c>
      <c r="P639" s="4" t="s">
        <v>282</v>
      </c>
      <c r="U639" s="4" t="s">
        <v>139</v>
      </c>
      <c r="V639" s="4" t="s">
        <v>119</v>
      </c>
      <c r="W639" s="4" t="s">
        <v>217</v>
      </c>
      <c r="X639" s="4" t="s">
        <v>2226</v>
      </c>
      <c r="Y639" s="4" t="s">
        <v>2223</v>
      </c>
      <c r="Z639" s="4" t="s">
        <v>2223</v>
      </c>
      <c r="AD639" s="3" t="s">
        <v>932</v>
      </c>
      <c r="AE639" s="3">
        <v>1000</v>
      </c>
      <c r="AI639" s="4" t="s">
        <v>2224</v>
      </c>
      <c r="AJ639" s="4" t="s">
        <v>2224</v>
      </c>
      <c r="AK639" s="3" t="s">
        <v>286</v>
      </c>
      <c r="AL639" s="4">
        <v>141815</v>
      </c>
      <c r="AM639" s="5">
        <v>90599.34</v>
      </c>
      <c r="AN639" s="4" t="s">
        <v>124</v>
      </c>
      <c r="AO639" s="4">
        <v>99</v>
      </c>
    </row>
    <row r="640" spans="1:42" x14ac:dyDescent="0.25">
      <c r="A640" s="3">
        <v>4604764</v>
      </c>
      <c r="B640" s="3" t="s">
        <v>395</v>
      </c>
      <c r="C640" s="3" t="s">
        <v>2158</v>
      </c>
      <c r="D640" s="3">
        <v>10004559</v>
      </c>
      <c r="E640" s="4">
        <v>4534115</v>
      </c>
      <c r="F640" s="3" t="s">
        <v>49</v>
      </c>
      <c r="G640" s="4" t="s">
        <v>393</v>
      </c>
      <c r="H640" s="4" t="s">
        <v>2227</v>
      </c>
      <c r="I640" s="5">
        <v>11000</v>
      </c>
      <c r="J640" s="3" t="s">
        <v>2228</v>
      </c>
      <c r="K640" s="3" t="s">
        <v>2228</v>
      </c>
      <c r="L640" s="3" t="s">
        <v>196</v>
      </c>
      <c r="M640" s="4" t="s">
        <v>2227</v>
      </c>
      <c r="N640" s="3" t="s">
        <v>25</v>
      </c>
      <c r="Y640" s="4" t="s">
        <v>396</v>
      </c>
      <c r="Z640" s="4" t="s">
        <v>396</v>
      </c>
      <c r="AD640" s="3" t="s">
        <v>395</v>
      </c>
      <c r="AE640" s="3">
        <v>1000</v>
      </c>
      <c r="AI640" s="4" t="s">
        <v>397</v>
      </c>
      <c r="AJ640" s="4" t="s">
        <v>397</v>
      </c>
      <c r="AL640" s="4">
        <v>51455</v>
      </c>
      <c r="AM640" s="5">
        <v>11000</v>
      </c>
      <c r="AN640" s="4" t="s">
        <v>124</v>
      </c>
      <c r="AO640" s="4">
        <v>99</v>
      </c>
      <c r="AP640" s="4">
        <v>86000000</v>
      </c>
    </row>
    <row r="641" spans="1:42" x14ac:dyDescent="0.25">
      <c r="A641" s="3">
        <v>4604796</v>
      </c>
      <c r="B641" s="3" t="s">
        <v>327</v>
      </c>
      <c r="C641" s="3" t="s">
        <v>2158</v>
      </c>
      <c r="D641" s="3">
        <v>10004547</v>
      </c>
      <c r="E641" s="4">
        <v>4534147</v>
      </c>
      <c r="F641" s="3" t="s">
        <v>49</v>
      </c>
      <c r="G641" s="4" t="s">
        <v>372</v>
      </c>
      <c r="H641" s="4" t="s">
        <v>2229</v>
      </c>
      <c r="I641" s="5">
        <v>220000</v>
      </c>
      <c r="J641" s="3" t="s">
        <v>292</v>
      </c>
      <c r="K641" s="3" t="s">
        <v>480</v>
      </c>
      <c r="L641" s="3" t="s">
        <v>119</v>
      </c>
      <c r="M641" s="4" t="s">
        <v>2230</v>
      </c>
      <c r="N641" s="3" t="s">
        <v>56</v>
      </c>
      <c r="O641" s="3" t="s">
        <v>139</v>
      </c>
      <c r="P641" s="4" t="s">
        <v>2207</v>
      </c>
      <c r="Y641" s="4" t="s">
        <v>556</v>
      </c>
      <c r="Z641" s="4" t="s">
        <v>2231</v>
      </c>
      <c r="AA641" s="4" t="s">
        <v>356</v>
      </c>
      <c r="AB641" s="3" t="s">
        <v>375</v>
      </c>
      <c r="AC641" s="3" t="s">
        <v>358</v>
      </c>
      <c r="AD641" s="3" t="s">
        <v>448</v>
      </c>
      <c r="AE641" s="3">
        <v>1000</v>
      </c>
      <c r="AI641" s="4" t="s">
        <v>558</v>
      </c>
      <c r="AJ641" s="4" t="s">
        <v>2232</v>
      </c>
      <c r="AK641" s="3" t="s">
        <v>2210</v>
      </c>
      <c r="AL641" s="4">
        <v>43825</v>
      </c>
      <c r="AM641" s="5">
        <v>220000</v>
      </c>
      <c r="AN641" s="4" t="s">
        <v>124</v>
      </c>
      <c r="AO641" s="4">
        <v>98</v>
      </c>
      <c r="AP641" s="4">
        <v>81121500</v>
      </c>
    </row>
    <row r="642" spans="1:42" x14ac:dyDescent="0.25">
      <c r="A642" s="3">
        <v>4604850</v>
      </c>
      <c r="B642" s="3" t="s">
        <v>2233</v>
      </c>
      <c r="C642" s="3" t="s">
        <v>2158</v>
      </c>
      <c r="D642" s="3">
        <v>10004655</v>
      </c>
      <c r="E642" s="4">
        <v>4534201</v>
      </c>
      <c r="F642" s="3" t="s">
        <v>49</v>
      </c>
      <c r="G642" s="4" t="s">
        <v>2211</v>
      </c>
      <c r="H642" s="4" t="s">
        <v>2234</v>
      </c>
      <c r="I642" s="5">
        <v>40000</v>
      </c>
      <c r="J642" s="3" t="s">
        <v>2233</v>
      </c>
      <c r="K642" s="3" t="s">
        <v>1877</v>
      </c>
      <c r="L642" s="3" t="s">
        <v>196</v>
      </c>
      <c r="M642" s="4" t="s">
        <v>2234</v>
      </c>
      <c r="N642" s="3" t="s">
        <v>25</v>
      </c>
      <c r="O642" s="3" t="s">
        <v>139</v>
      </c>
      <c r="P642" s="4" t="s">
        <v>140</v>
      </c>
      <c r="Y642" s="4" t="s">
        <v>2235</v>
      </c>
      <c r="Z642" s="4" t="s">
        <v>2235</v>
      </c>
      <c r="AD642" s="3" t="s">
        <v>467</v>
      </c>
      <c r="AE642" s="3">
        <v>1000</v>
      </c>
      <c r="AI642" s="4" t="s">
        <v>2236</v>
      </c>
      <c r="AJ642" s="4" t="s">
        <v>2236</v>
      </c>
      <c r="AK642" s="3" t="s">
        <v>143</v>
      </c>
      <c r="AL642" s="4">
        <v>141778</v>
      </c>
      <c r="AM642" s="5">
        <v>40000</v>
      </c>
      <c r="AN642" s="4" t="s">
        <v>124</v>
      </c>
      <c r="AO642" s="4">
        <v>99</v>
      </c>
      <c r="AP642" s="4">
        <v>80100000</v>
      </c>
    </row>
    <row r="643" spans="1:42" x14ac:dyDescent="0.25">
      <c r="A643" s="3">
        <v>4604854</v>
      </c>
      <c r="B643" s="3" t="s">
        <v>452</v>
      </c>
      <c r="C643" s="3" t="s">
        <v>2158</v>
      </c>
      <c r="D643" s="3">
        <v>10004650</v>
      </c>
      <c r="E643" s="4">
        <v>4534205</v>
      </c>
      <c r="F643" s="3" t="s">
        <v>49</v>
      </c>
      <c r="G643" s="4" t="s">
        <v>2237</v>
      </c>
      <c r="H643" s="4" t="s">
        <v>2238</v>
      </c>
      <c r="I643" s="5">
        <v>16500</v>
      </c>
      <c r="J643" s="3" t="s">
        <v>452</v>
      </c>
      <c r="K643" s="3" t="s">
        <v>480</v>
      </c>
      <c r="L643" s="3" t="s">
        <v>196</v>
      </c>
      <c r="M643" s="4" t="s">
        <v>2238</v>
      </c>
      <c r="N643" s="3" t="s">
        <v>25</v>
      </c>
      <c r="O643" s="3" t="s">
        <v>139</v>
      </c>
      <c r="P643" s="4" t="s">
        <v>2207</v>
      </c>
      <c r="Y643" s="4" t="s">
        <v>2231</v>
      </c>
      <c r="Z643" s="4" t="s">
        <v>2231</v>
      </c>
      <c r="AD643" s="3" t="s">
        <v>469</v>
      </c>
      <c r="AE643" s="3">
        <v>1000</v>
      </c>
      <c r="AI643" s="4" t="s">
        <v>2232</v>
      </c>
      <c r="AJ643" s="4" t="s">
        <v>2232</v>
      </c>
      <c r="AK643" s="3" t="s">
        <v>2210</v>
      </c>
      <c r="AL643" s="4">
        <v>141863</v>
      </c>
      <c r="AM643" s="5">
        <v>16500</v>
      </c>
      <c r="AN643" s="4" t="s">
        <v>124</v>
      </c>
      <c r="AO643" s="4">
        <v>99</v>
      </c>
      <c r="AP643" s="4">
        <v>80101505</v>
      </c>
    </row>
    <row r="644" spans="1:42" x14ac:dyDescent="0.25">
      <c r="A644" s="3">
        <v>4604867</v>
      </c>
      <c r="B644" s="3" t="s">
        <v>2239</v>
      </c>
      <c r="C644" s="3" t="s">
        <v>2158</v>
      </c>
      <c r="D644" s="3">
        <v>10004681</v>
      </c>
      <c r="E644" s="4">
        <v>4534218</v>
      </c>
      <c r="F644" s="3" t="s">
        <v>49</v>
      </c>
      <c r="G644" s="4" t="s">
        <v>2240</v>
      </c>
      <c r="H644" s="4" t="s">
        <v>2241</v>
      </c>
      <c r="I644" s="5">
        <v>275000</v>
      </c>
      <c r="J644" s="3" t="s">
        <v>2239</v>
      </c>
      <c r="K644" s="3" t="s">
        <v>77</v>
      </c>
      <c r="L644" s="3" t="s">
        <v>196</v>
      </c>
      <c r="M644" s="4" t="s">
        <v>2242</v>
      </c>
      <c r="N644" s="3" t="s">
        <v>25</v>
      </c>
      <c r="U644" s="4" t="s">
        <v>139</v>
      </c>
      <c r="V644" s="4" t="s">
        <v>119</v>
      </c>
      <c r="W644" s="4" t="s">
        <v>217</v>
      </c>
      <c r="X644" s="4" t="s">
        <v>2214</v>
      </c>
      <c r="Y644" s="4" t="s">
        <v>2223</v>
      </c>
      <c r="Z644" s="4" t="s">
        <v>2223</v>
      </c>
      <c r="AD644" s="3" t="s">
        <v>1635</v>
      </c>
      <c r="AE644" s="3">
        <v>1000</v>
      </c>
      <c r="AI644" s="4" t="s">
        <v>2224</v>
      </c>
      <c r="AJ644" s="4" t="s">
        <v>2224</v>
      </c>
      <c r="AL644" s="4">
        <v>141779</v>
      </c>
      <c r="AM644" s="5">
        <v>275000</v>
      </c>
      <c r="AN644" s="4" t="s">
        <v>124</v>
      </c>
      <c r="AO644" s="4">
        <v>99</v>
      </c>
      <c r="AP644" s="4">
        <v>80100000</v>
      </c>
    </row>
    <row r="645" spans="1:42" x14ac:dyDescent="0.25">
      <c r="A645" s="3">
        <v>4604890</v>
      </c>
      <c r="B645" s="3" t="s">
        <v>1877</v>
      </c>
      <c r="C645" s="3" t="s">
        <v>2158</v>
      </c>
      <c r="D645" s="3">
        <v>10004704</v>
      </c>
      <c r="E645" s="4">
        <v>4534241</v>
      </c>
      <c r="F645" s="3" t="s">
        <v>49</v>
      </c>
      <c r="G645" s="4" t="s">
        <v>174</v>
      </c>
      <c r="I645" s="4">
        <v>366.67</v>
      </c>
      <c r="J645" s="3" t="s">
        <v>1877</v>
      </c>
      <c r="K645" s="3" t="s">
        <v>524</v>
      </c>
      <c r="L645" s="3" t="s">
        <v>119</v>
      </c>
      <c r="M645" s="4" t="s">
        <v>2243</v>
      </c>
      <c r="N645" s="3" t="s">
        <v>56</v>
      </c>
      <c r="Y645" s="4" t="s">
        <v>178</v>
      </c>
      <c r="Z645" s="4" t="s">
        <v>178</v>
      </c>
      <c r="AD645" s="3" t="s">
        <v>1903</v>
      </c>
      <c r="AE645" s="3">
        <v>1000</v>
      </c>
      <c r="AI645" s="4" t="s">
        <v>181</v>
      </c>
      <c r="AJ645" s="4" t="s">
        <v>181</v>
      </c>
      <c r="AL645" s="4">
        <v>40476</v>
      </c>
      <c r="AM645" s="4">
        <v>366.67</v>
      </c>
      <c r="AN645" s="4" t="s">
        <v>124</v>
      </c>
    </row>
    <row r="646" spans="1:42" x14ac:dyDescent="0.25">
      <c r="A646" s="3">
        <v>4604900</v>
      </c>
      <c r="B646" s="3" t="s">
        <v>496</v>
      </c>
      <c r="C646" s="3" t="s">
        <v>2158</v>
      </c>
      <c r="D646" s="3">
        <v>10004712</v>
      </c>
      <c r="E646" s="4">
        <v>4534251</v>
      </c>
      <c r="F646" s="3" t="s">
        <v>49</v>
      </c>
      <c r="G646" s="4" t="s">
        <v>2218</v>
      </c>
      <c r="H646" s="4" t="s">
        <v>2244</v>
      </c>
      <c r="I646" s="5">
        <v>142807</v>
      </c>
      <c r="J646" s="3" t="s">
        <v>1136</v>
      </c>
      <c r="K646" s="3" t="s">
        <v>353</v>
      </c>
      <c r="L646" s="3" t="s">
        <v>119</v>
      </c>
      <c r="M646" s="4" t="s">
        <v>2245</v>
      </c>
      <c r="N646" s="3" t="s">
        <v>56</v>
      </c>
      <c r="Q646" s="3" t="s">
        <v>139</v>
      </c>
      <c r="R646" s="3" t="s">
        <v>215</v>
      </c>
      <c r="S646" s="4" t="s">
        <v>216</v>
      </c>
      <c r="U646" s="4" t="s">
        <v>139</v>
      </c>
      <c r="V646" s="4" t="s">
        <v>119</v>
      </c>
      <c r="W646" s="4" t="s">
        <v>217</v>
      </c>
      <c r="X646" s="4" t="s">
        <v>2246</v>
      </c>
      <c r="Y646" s="4" t="s">
        <v>2223</v>
      </c>
      <c r="Z646" s="4" t="s">
        <v>2223</v>
      </c>
      <c r="AA646" s="4" t="s">
        <v>1284</v>
      </c>
      <c r="AB646" s="3" t="s">
        <v>2247</v>
      </c>
      <c r="AC646" s="3" t="s">
        <v>1286</v>
      </c>
      <c r="AD646" s="3" t="s">
        <v>511</v>
      </c>
      <c r="AE646" s="3">
        <v>1000</v>
      </c>
      <c r="AI646" s="4" t="s">
        <v>2224</v>
      </c>
      <c r="AJ646" s="4" t="s">
        <v>2224</v>
      </c>
      <c r="AL646" s="4">
        <v>141816</v>
      </c>
      <c r="AM646" s="5">
        <v>142807</v>
      </c>
      <c r="AN646" s="4" t="s">
        <v>124</v>
      </c>
      <c r="AO646" s="4">
        <v>99</v>
      </c>
      <c r="AP646" s="4">
        <v>80100000</v>
      </c>
    </row>
    <row r="647" spans="1:42" x14ac:dyDescent="0.25">
      <c r="A647" s="3">
        <v>4604902</v>
      </c>
      <c r="B647" s="3" t="s">
        <v>1704</v>
      </c>
      <c r="C647" s="3" t="s">
        <v>2158</v>
      </c>
      <c r="D647" s="3">
        <v>10004710</v>
      </c>
      <c r="E647" s="4">
        <v>4534253</v>
      </c>
      <c r="F647" s="3" t="s">
        <v>49</v>
      </c>
      <c r="G647" s="4" t="s">
        <v>117</v>
      </c>
      <c r="H647" s="4" t="s">
        <v>2248</v>
      </c>
      <c r="I647" s="5">
        <v>72500</v>
      </c>
      <c r="J647" s="3" t="s">
        <v>496</v>
      </c>
      <c r="K647" s="3" t="s">
        <v>77</v>
      </c>
      <c r="L647" s="3" t="s">
        <v>119</v>
      </c>
      <c r="M647" s="4" t="s">
        <v>2249</v>
      </c>
      <c r="N647" s="3" t="s">
        <v>56</v>
      </c>
      <c r="O647" s="3" t="s">
        <v>139</v>
      </c>
      <c r="P647" s="4" t="s">
        <v>282</v>
      </c>
      <c r="Q647" s="3" t="s">
        <v>139</v>
      </c>
      <c r="R647" s="3" t="s">
        <v>427</v>
      </c>
      <c r="S647" s="4" t="s">
        <v>428</v>
      </c>
      <c r="U647" s="4" t="s">
        <v>139</v>
      </c>
      <c r="V647" s="4" t="s">
        <v>427</v>
      </c>
      <c r="W647" s="4" t="s">
        <v>428</v>
      </c>
      <c r="Y647" s="4" t="s">
        <v>738</v>
      </c>
      <c r="Z647" s="4" t="s">
        <v>738</v>
      </c>
      <c r="AA647" s="4" t="s">
        <v>1850</v>
      </c>
      <c r="AB647" s="3" t="s">
        <v>2250</v>
      </c>
      <c r="AC647" s="3" t="s">
        <v>1852</v>
      </c>
      <c r="AD647" s="3" t="s">
        <v>1159</v>
      </c>
      <c r="AE647" s="3">
        <v>1000</v>
      </c>
      <c r="AI647" s="4" t="s">
        <v>741</v>
      </c>
      <c r="AJ647" s="4" t="s">
        <v>741</v>
      </c>
      <c r="AK647" s="3" t="s">
        <v>286</v>
      </c>
      <c r="AL647" s="4">
        <v>44797</v>
      </c>
      <c r="AM647" s="5">
        <v>72500</v>
      </c>
      <c r="AN647" s="4" t="s">
        <v>124</v>
      </c>
      <c r="AO647" s="4">
        <v>98</v>
      </c>
      <c r="AP647" s="4">
        <v>80101603</v>
      </c>
    </row>
    <row r="648" spans="1:42" x14ac:dyDescent="0.25">
      <c r="A648" s="3">
        <v>4604905</v>
      </c>
      <c r="B648" s="3" t="s">
        <v>1136</v>
      </c>
      <c r="C648" s="3" t="s">
        <v>2158</v>
      </c>
      <c r="D648" s="3">
        <v>10004711</v>
      </c>
      <c r="E648" s="4">
        <v>4534256</v>
      </c>
      <c r="F648" s="3" t="s">
        <v>49</v>
      </c>
      <c r="G648" s="4" t="s">
        <v>2251</v>
      </c>
      <c r="H648" s="4" t="s">
        <v>2252</v>
      </c>
      <c r="I648" s="5">
        <v>112060</v>
      </c>
      <c r="J648" s="3" t="s">
        <v>496</v>
      </c>
      <c r="K648" s="3" t="s">
        <v>77</v>
      </c>
      <c r="L648" s="3" t="s">
        <v>119</v>
      </c>
      <c r="M648" s="4" t="s">
        <v>2253</v>
      </c>
      <c r="N648" s="3" t="s">
        <v>56</v>
      </c>
      <c r="O648" s="3" t="s">
        <v>139</v>
      </c>
      <c r="P648" s="4" t="s">
        <v>282</v>
      </c>
      <c r="Q648" s="3" t="s">
        <v>139</v>
      </c>
      <c r="R648" s="3" t="s">
        <v>427</v>
      </c>
      <c r="S648" s="4" t="s">
        <v>428</v>
      </c>
      <c r="U648" s="4" t="s">
        <v>139</v>
      </c>
      <c r="V648" s="4" t="s">
        <v>427</v>
      </c>
      <c r="W648" s="4" t="s">
        <v>428</v>
      </c>
      <c r="Y648" s="4" t="s">
        <v>738</v>
      </c>
      <c r="Z648" s="4" t="s">
        <v>2254</v>
      </c>
      <c r="AA648" s="4" t="s">
        <v>1850</v>
      </c>
      <c r="AB648" s="3" t="s">
        <v>2255</v>
      </c>
      <c r="AC648" s="3" t="s">
        <v>1852</v>
      </c>
      <c r="AD648" s="3" t="s">
        <v>1159</v>
      </c>
      <c r="AE648" s="3">
        <v>1000</v>
      </c>
      <c r="AI648" s="4" t="s">
        <v>741</v>
      </c>
      <c r="AJ648" s="4" t="s">
        <v>2256</v>
      </c>
      <c r="AK648" s="3" t="s">
        <v>286</v>
      </c>
      <c r="AL648" s="4">
        <v>141875</v>
      </c>
      <c r="AM648" s="5">
        <v>112060</v>
      </c>
      <c r="AN648" s="4" t="s">
        <v>124</v>
      </c>
      <c r="AO648" s="4">
        <v>98</v>
      </c>
      <c r="AP648" s="4">
        <v>80101507</v>
      </c>
    </row>
    <row r="649" spans="1:42" x14ac:dyDescent="0.25">
      <c r="A649" s="3">
        <v>4604907</v>
      </c>
      <c r="B649" s="3" t="s">
        <v>502</v>
      </c>
      <c r="C649" s="3" t="s">
        <v>2158</v>
      </c>
      <c r="D649" s="3">
        <v>10004724</v>
      </c>
      <c r="E649" s="4">
        <v>4534258</v>
      </c>
      <c r="F649" s="3" t="s">
        <v>49</v>
      </c>
      <c r="G649" s="4" t="s">
        <v>174</v>
      </c>
      <c r="H649" s="4" t="s">
        <v>2257</v>
      </c>
      <c r="I649" s="5">
        <v>25183</v>
      </c>
      <c r="J649" s="3" t="s">
        <v>502</v>
      </c>
      <c r="K649" s="3" t="s">
        <v>77</v>
      </c>
      <c r="L649" s="3" t="s">
        <v>119</v>
      </c>
      <c r="M649" s="4" t="s">
        <v>2257</v>
      </c>
      <c r="N649" s="3" t="s">
        <v>56</v>
      </c>
      <c r="Y649" s="4" t="s">
        <v>178</v>
      </c>
      <c r="Z649" s="4" t="s">
        <v>178</v>
      </c>
      <c r="AA649" s="4" t="s">
        <v>188</v>
      </c>
      <c r="AB649" s="3" t="s">
        <v>401</v>
      </c>
      <c r="AC649" s="3" t="s">
        <v>190</v>
      </c>
      <c r="AD649" s="3" t="s">
        <v>439</v>
      </c>
      <c r="AE649" s="3">
        <v>1000</v>
      </c>
      <c r="AI649" s="4" t="s">
        <v>181</v>
      </c>
      <c r="AJ649" s="4" t="s">
        <v>181</v>
      </c>
      <c r="AL649" s="4">
        <v>40476</v>
      </c>
      <c r="AM649" s="5">
        <v>25183</v>
      </c>
      <c r="AN649" s="4" t="s">
        <v>124</v>
      </c>
      <c r="AO649" s="4">
        <v>99</v>
      </c>
      <c r="AP649" s="4">
        <v>80111600</v>
      </c>
    </row>
    <row r="650" spans="1:42" x14ac:dyDescent="0.25">
      <c r="A650" s="3">
        <v>4604909</v>
      </c>
      <c r="B650" s="3" t="s">
        <v>444</v>
      </c>
      <c r="C650" s="3" t="s">
        <v>2158</v>
      </c>
      <c r="D650" s="3">
        <v>10004725</v>
      </c>
      <c r="E650" s="4">
        <v>4534260</v>
      </c>
      <c r="F650" s="3" t="s">
        <v>49</v>
      </c>
      <c r="G650" s="4" t="s">
        <v>174</v>
      </c>
      <c r="I650" s="5">
        <v>4583.3500000000004</v>
      </c>
      <c r="J650" s="3" t="s">
        <v>1898</v>
      </c>
      <c r="K650" s="3" t="s">
        <v>1775</v>
      </c>
      <c r="L650" s="3" t="s">
        <v>119</v>
      </c>
      <c r="M650" s="4" t="s">
        <v>2258</v>
      </c>
      <c r="N650" s="3" t="s">
        <v>56</v>
      </c>
      <c r="Y650" s="4" t="s">
        <v>178</v>
      </c>
      <c r="Z650" s="4" t="s">
        <v>178</v>
      </c>
      <c r="AD650" s="3" t="s">
        <v>543</v>
      </c>
      <c r="AE650" s="3">
        <v>1000</v>
      </c>
      <c r="AI650" s="4" t="s">
        <v>181</v>
      </c>
      <c r="AJ650" s="4" t="s">
        <v>181</v>
      </c>
      <c r="AL650" s="4">
        <v>40476</v>
      </c>
      <c r="AM650" s="5">
        <v>4583.3500000000004</v>
      </c>
      <c r="AN650" s="4" t="s">
        <v>124</v>
      </c>
    </row>
    <row r="651" spans="1:42" x14ac:dyDescent="0.25">
      <c r="A651" s="3">
        <v>4604930</v>
      </c>
      <c r="B651" s="3" t="s">
        <v>172</v>
      </c>
      <c r="C651" s="3" t="s">
        <v>2158</v>
      </c>
      <c r="D651" s="3">
        <v>10004754</v>
      </c>
      <c r="E651" s="4">
        <v>4534281</v>
      </c>
      <c r="F651" s="3" t="s">
        <v>49</v>
      </c>
      <c r="G651" s="4" t="s">
        <v>174</v>
      </c>
      <c r="I651" s="5">
        <v>1100.01</v>
      </c>
      <c r="J651" s="3" t="s">
        <v>513</v>
      </c>
      <c r="K651" s="3" t="s">
        <v>2259</v>
      </c>
      <c r="L651" s="3" t="s">
        <v>119</v>
      </c>
      <c r="M651" s="4" t="s">
        <v>2260</v>
      </c>
      <c r="N651" s="3" t="s">
        <v>56</v>
      </c>
      <c r="Y651" s="4" t="s">
        <v>178</v>
      </c>
      <c r="Z651" s="4" t="s">
        <v>178</v>
      </c>
      <c r="AD651" s="3" t="s">
        <v>360</v>
      </c>
      <c r="AE651" s="3">
        <v>1000</v>
      </c>
      <c r="AI651" s="4" t="s">
        <v>181</v>
      </c>
      <c r="AJ651" s="4" t="s">
        <v>181</v>
      </c>
      <c r="AL651" s="4">
        <v>40476</v>
      </c>
      <c r="AM651" s="5">
        <v>1100.01</v>
      </c>
      <c r="AN651" s="4" t="s">
        <v>124</v>
      </c>
    </row>
    <row r="652" spans="1:42" x14ac:dyDescent="0.25">
      <c r="A652" s="3">
        <v>4604955</v>
      </c>
      <c r="B652" s="3" t="s">
        <v>527</v>
      </c>
      <c r="C652" s="3" t="s">
        <v>2158</v>
      </c>
      <c r="D652" s="3">
        <v>10004775</v>
      </c>
      <c r="E652" s="4">
        <v>4534306</v>
      </c>
      <c r="F652" s="3" t="s">
        <v>49</v>
      </c>
      <c r="G652" s="4" t="s">
        <v>1588</v>
      </c>
      <c r="I652" s="5">
        <v>1330.34</v>
      </c>
      <c r="J652" s="3" t="s">
        <v>1266</v>
      </c>
      <c r="K652" s="3" t="s">
        <v>77</v>
      </c>
      <c r="L652" s="3" t="s">
        <v>119</v>
      </c>
      <c r="M652" s="4" t="s">
        <v>2261</v>
      </c>
      <c r="N652" s="3" t="s">
        <v>56</v>
      </c>
      <c r="Y652" s="4" t="s">
        <v>178</v>
      </c>
      <c r="Z652" s="4" t="s">
        <v>178</v>
      </c>
      <c r="AD652" s="3" t="s">
        <v>1943</v>
      </c>
      <c r="AE652" s="3">
        <v>1000</v>
      </c>
      <c r="AI652" s="4" t="s">
        <v>181</v>
      </c>
      <c r="AJ652" s="4" t="s">
        <v>181</v>
      </c>
      <c r="AL652" s="4">
        <v>41005</v>
      </c>
      <c r="AM652" s="5">
        <v>1330.34</v>
      </c>
      <c r="AN652" s="4" t="s">
        <v>124</v>
      </c>
    </row>
    <row r="653" spans="1:42" x14ac:dyDescent="0.25">
      <c r="A653" s="3">
        <v>4604973</v>
      </c>
      <c r="B653" s="3" t="s">
        <v>510</v>
      </c>
      <c r="C653" s="3" t="s">
        <v>2158</v>
      </c>
      <c r="D653" s="3">
        <v>10004803</v>
      </c>
      <c r="E653" s="4">
        <v>4534324</v>
      </c>
      <c r="F653" s="3" t="s">
        <v>49</v>
      </c>
      <c r="G653" s="4" t="s">
        <v>2262</v>
      </c>
      <c r="H653" s="4" t="s">
        <v>2263</v>
      </c>
      <c r="I653" s="5">
        <v>25000</v>
      </c>
      <c r="J653" s="3" t="s">
        <v>1136</v>
      </c>
      <c r="K653" s="3" t="s">
        <v>1813</v>
      </c>
      <c r="L653" s="3" t="s">
        <v>196</v>
      </c>
      <c r="M653" s="4" t="s">
        <v>2263</v>
      </c>
      <c r="N653" s="3" t="s">
        <v>25</v>
      </c>
      <c r="Y653" s="4" t="s">
        <v>2264</v>
      </c>
      <c r="Z653" s="4" t="s">
        <v>2265</v>
      </c>
      <c r="AD653" s="3" t="s">
        <v>1813</v>
      </c>
      <c r="AE653" s="3">
        <v>1000</v>
      </c>
      <c r="AI653" s="4" t="s">
        <v>2266</v>
      </c>
      <c r="AJ653" s="4" t="s">
        <v>2267</v>
      </c>
      <c r="AL653" s="4">
        <v>140697</v>
      </c>
      <c r="AM653" s="5">
        <v>25000</v>
      </c>
      <c r="AN653" s="4" t="s">
        <v>124</v>
      </c>
      <c r="AO653" s="4">
        <v>99</v>
      </c>
      <c r="AP653" s="4">
        <v>80101504</v>
      </c>
    </row>
    <row r="654" spans="1:42" x14ac:dyDescent="0.25">
      <c r="A654" s="3">
        <v>4605017</v>
      </c>
      <c r="B654" s="3" t="s">
        <v>485</v>
      </c>
      <c r="C654" s="3" t="s">
        <v>2158</v>
      </c>
      <c r="D654" s="3">
        <v>10004834</v>
      </c>
      <c r="E654" s="4">
        <v>4534368</v>
      </c>
      <c r="F654" s="3" t="s">
        <v>49</v>
      </c>
      <c r="G654" s="4" t="s">
        <v>2268</v>
      </c>
      <c r="H654" s="4" t="s">
        <v>2269</v>
      </c>
      <c r="I654" s="5">
        <v>52800</v>
      </c>
      <c r="J654" s="3" t="s">
        <v>377</v>
      </c>
      <c r="K654" s="3" t="s">
        <v>77</v>
      </c>
      <c r="L654" s="3" t="s">
        <v>196</v>
      </c>
      <c r="M654" s="4" t="s">
        <v>2270</v>
      </c>
      <c r="N654" s="3" t="s">
        <v>25</v>
      </c>
      <c r="O654" s="3" t="s">
        <v>139</v>
      </c>
      <c r="P654" s="4" t="s">
        <v>282</v>
      </c>
      <c r="Y654" s="4" t="s">
        <v>767</v>
      </c>
      <c r="Z654" s="4" t="s">
        <v>767</v>
      </c>
      <c r="AD654" s="3" t="s">
        <v>380</v>
      </c>
      <c r="AE654" s="3">
        <v>1000</v>
      </c>
      <c r="AI654" s="4" t="s">
        <v>769</v>
      </c>
      <c r="AJ654" s="4" t="s">
        <v>769</v>
      </c>
      <c r="AK654" s="3" t="s">
        <v>286</v>
      </c>
      <c r="AL654" s="4">
        <v>140501</v>
      </c>
      <c r="AM654" s="5">
        <v>52800</v>
      </c>
      <c r="AN654" s="4" t="s">
        <v>124</v>
      </c>
      <c r="AO654" s="4">
        <v>99</v>
      </c>
      <c r="AP654" s="4">
        <v>80101507</v>
      </c>
    </row>
    <row r="655" spans="1:42" x14ac:dyDescent="0.25">
      <c r="A655" s="3">
        <v>4605018</v>
      </c>
      <c r="B655" s="3" t="s">
        <v>485</v>
      </c>
      <c r="C655" s="3" t="s">
        <v>2158</v>
      </c>
      <c r="D655" s="3">
        <v>10004834</v>
      </c>
      <c r="E655" s="4">
        <v>4534369</v>
      </c>
      <c r="F655" s="3" t="s">
        <v>49</v>
      </c>
      <c r="G655" s="4" t="s">
        <v>2268</v>
      </c>
      <c r="H655" s="4" t="s">
        <v>2271</v>
      </c>
      <c r="I655" s="5">
        <v>44000</v>
      </c>
      <c r="J655" s="3" t="s">
        <v>377</v>
      </c>
      <c r="K655" s="3" t="s">
        <v>77</v>
      </c>
      <c r="L655" s="3" t="s">
        <v>196</v>
      </c>
      <c r="M655" s="4" t="s">
        <v>2270</v>
      </c>
      <c r="N655" s="3" t="s">
        <v>25</v>
      </c>
      <c r="O655" s="3" t="s">
        <v>139</v>
      </c>
      <c r="P655" s="4" t="s">
        <v>282</v>
      </c>
      <c r="Y655" s="4" t="s">
        <v>767</v>
      </c>
      <c r="Z655" s="4" t="s">
        <v>767</v>
      </c>
      <c r="AD655" s="3" t="s">
        <v>407</v>
      </c>
      <c r="AE655" s="3">
        <v>1000</v>
      </c>
      <c r="AI655" s="4" t="s">
        <v>769</v>
      </c>
      <c r="AJ655" s="4" t="s">
        <v>769</v>
      </c>
      <c r="AK655" s="3" t="s">
        <v>286</v>
      </c>
      <c r="AL655" s="4">
        <v>140501</v>
      </c>
      <c r="AM655" s="5">
        <v>44000</v>
      </c>
      <c r="AN655" s="4" t="s">
        <v>124</v>
      </c>
      <c r="AO655" s="4">
        <v>99</v>
      </c>
      <c r="AP655" s="4">
        <v>80101507</v>
      </c>
    </row>
    <row r="656" spans="1:42" x14ac:dyDescent="0.25">
      <c r="A656" s="3">
        <v>4600099</v>
      </c>
      <c r="B656" s="3" t="s">
        <v>2272</v>
      </c>
      <c r="C656" s="3" t="s">
        <v>2273</v>
      </c>
      <c r="D656" s="3">
        <v>10000115</v>
      </c>
      <c r="E656" s="4">
        <v>4529449</v>
      </c>
      <c r="F656" s="3" t="s">
        <v>49</v>
      </c>
      <c r="G656" s="4" t="s">
        <v>2274</v>
      </c>
      <c r="H656" s="4" t="s">
        <v>2275</v>
      </c>
      <c r="I656" s="5">
        <v>1254250</v>
      </c>
      <c r="J656" s="3" t="s">
        <v>2272</v>
      </c>
      <c r="K656" s="3" t="s">
        <v>77</v>
      </c>
      <c r="L656" s="3" t="s">
        <v>119</v>
      </c>
      <c r="M656" s="4" t="s">
        <v>2276</v>
      </c>
      <c r="N656" s="3" t="s">
        <v>56</v>
      </c>
      <c r="O656" s="3" t="s">
        <v>139</v>
      </c>
      <c r="P656" s="4" t="s">
        <v>282</v>
      </c>
      <c r="Y656" s="4" t="s">
        <v>2277</v>
      </c>
      <c r="Z656" s="4" t="s">
        <v>1048</v>
      </c>
      <c r="AA656" s="4" t="s">
        <v>2278</v>
      </c>
      <c r="AB656" s="3" t="s">
        <v>2279</v>
      </c>
      <c r="AC656" s="3" t="s">
        <v>2280</v>
      </c>
      <c r="AD656" s="3" t="s">
        <v>441</v>
      </c>
      <c r="AE656" s="3">
        <v>1000</v>
      </c>
      <c r="AF656" s="4">
        <v>14642</v>
      </c>
      <c r="AG656" s="4">
        <v>35358</v>
      </c>
      <c r="AH656" s="4">
        <v>4527640</v>
      </c>
      <c r="AI656" s="4" t="s">
        <v>2281</v>
      </c>
      <c r="AJ656" s="4" t="s">
        <v>1051</v>
      </c>
      <c r="AK656" s="3" t="s">
        <v>286</v>
      </c>
      <c r="AL656" s="4">
        <v>48301</v>
      </c>
      <c r="AM656" s="5">
        <v>1254250</v>
      </c>
      <c r="AN656" s="4" t="s">
        <v>2282</v>
      </c>
      <c r="AO656" s="4">
        <v>88</v>
      </c>
      <c r="AP656" s="4">
        <v>80120000</v>
      </c>
    </row>
    <row r="657" spans="1:42" x14ac:dyDescent="0.25">
      <c r="A657" s="3">
        <v>4600103</v>
      </c>
      <c r="B657" s="3" t="s">
        <v>2283</v>
      </c>
      <c r="C657" s="3" t="s">
        <v>2273</v>
      </c>
      <c r="D657" s="3">
        <v>10000121</v>
      </c>
      <c r="E657" s="4">
        <v>4529453</v>
      </c>
      <c r="F657" s="3" t="s">
        <v>49</v>
      </c>
      <c r="G657" s="4" t="s">
        <v>2284</v>
      </c>
      <c r="H657" s="4" t="s">
        <v>2285</v>
      </c>
      <c r="I657" s="5">
        <v>788000</v>
      </c>
      <c r="J657" s="3" t="s">
        <v>2283</v>
      </c>
      <c r="K657" s="3" t="s">
        <v>77</v>
      </c>
      <c r="L657" s="3" t="s">
        <v>119</v>
      </c>
      <c r="M657" s="4" t="s">
        <v>2285</v>
      </c>
      <c r="N657" s="3" t="s">
        <v>56</v>
      </c>
      <c r="O657" s="3" t="s">
        <v>139</v>
      </c>
      <c r="P657" s="4" t="s">
        <v>282</v>
      </c>
      <c r="Q657" s="3" t="s">
        <v>139</v>
      </c>
      <c r="R657" s="3" t="s">
        <v>215</v>
      </c>
      <c r="S657" s="4" t="s">
        <v>216</v>
      </c>
      <c r="Y657" s="4" t="s">
        <v>2286</v>
      </c>
      <c r="Z657" s="4" t="s">
        <v>1048</v>
      </c>
      <c r="AA657" s="4" t="s">
        <v>2278</v>
      </c>
      <c r="AB657" s="3" t="s">
        <v>2287</v>
      </c>
      <c r="AC657" s="3" t="s">
        <v>2280</v>
      </c>
      <c r="AD657" s="3" t="s">
        <v>774</v>
      </c>
      <c r="AE657" s="3">
        <v>1000</v>
      </c>
      <c r="AF657" s="4">
        <v>696052.38</v>
      </c>
      <c r="AG657" s="4">
        <v>3947.63</v>
      </c>
      <c r="AH657" s="4">
        <v>4528065</v>
      </c>
      <c r="AI657" s="4" t="s">
        <v>2288</v>
      </c>
      <c r="AJ657" s="4" t="s">
        <v>1051</v>
      </c>
      <c r="AK657" s="3" t="s">
        <v>286</v>
      </c>
      <c r="AL657" s="4">
        <v>47229</v>
      </c>
      <c r="AM657" s="5">
        <v>788000</v>
      </c>
      <c r="AN657" s="4" t="s">
        <v>2282</v>
      </c>
      <c r="AO657" s="4">
        <v>97</v>
      </c>
      <c r="AP657" s="4">
        <v>80120000</v>
      </c>
    </row>
    <row r="658" spans="1:42" x14ac:dyDescent="0.25">
      <c r="A658" s="3">
        <v>4601104</v>
      </c>
      <c r="B658" s="3" t="s">
        <v>2289</v>
      </c>
      <c r="C658" s="3" t="s">
        <v>2273</v>
      </c>
      <c r="D658" s="3">
        <v>10001176</v>
      </c>
      <c r="E658" s="4">
        <v>4530454</v>
      </c>
      <c r="F658" s="3" t="s">
        <v>49</v>
      </c>
      <c r="G658" s="4" t="s">
        <v>2290</v>
      </c>
      <c r="H658" s="4" t="s">
        <v>2291</v>
      </c>
      <c r="I658" s="5">
        <v>150000</v>
      </c>
      <c r="J658" s="3" t="s">
        <v>2289</v>
      </c>
      <c r="K658" s="3" t="s">
        <v>832</v>
      </c>
      <c r="L658" s="3" t="s">
        <v>54</v>
      </c>
      <c r="M658" s="4" t="s">
        <v>2291</v>
      </c>
      <c r="N658" s="3" t="s">
        <v>56</v>
      </c>
      <c r="O658" s="3" t="s">
        <v>139</v>
      </c>
      <c r="P658" s="4" t="s">
        <v>140</v>
      </c>
      <c r="Q658" s="3" t="s">
        <v>139</v>
      </c>
      <c r="R658" s="3" t="s">
        <v>215</v>
      </c>
      <c r="S658" s="4" t="s">
        <v>216</v>
      </c>
      <c r="Y658" s="4" t="s">
        <v>2292</v>
      </c>
      <c r="Z658" s="4" t="s">
        <v>2293</v>
      </c>
      <c r="AA658" s="4" t="s">
        <v>2294</v>
      </c>
      <c r="AB658" s="3" t="s">
        <v>2295</v>
      </c>
      <c r="AC658" s="3" t="s">
        <v>2296</v>
      </c>
      <c r="AD658" s="3" t="s">
        <v>2228</v>
      </c>
      <c r="AE658" s="3">
        <v>1000</v>
      </c>
      <c r="AI658" s="4" t="s">
        <v>2297</v>
      </c>
      <c r="AJ658" s="4" t="s">
        <v>2298</v>
      </c>
      <c r="AK658" s="3" t="s">
        <v>143</v>
      </c>
      <c r="AL658" s="4">
        <v>140444</v>
      </c>
      <c r="AM658" s="5">
        <v>150000</v>
      </c>
      <c r="AN658" s="4" t="s">
        <v>124</v>
      </c>
      <c r="AO658" s="4">
        <v>99</v>
      </c>
      <c r="AP658" s="4">
        <v>80120000</v>
      </c>
    </row>
    <row r="659" spans="1:42" x14ac:dyDescent="0.25">
      <c r="A659" s="3">
        <v>4602575</v>
      </c>
      <c r="B659" s="3" t="s">
        <v>2299</v>
      </c>
      <c r="C659" s="3" t="s">
        <v>2273</v>
      </c>
      <c r="D659" s="3">
        <v>10002521</v>
      </c>
      <c r="E659" s="4">
        <v>4531926</v>
      </c>
      <c r="F659" s="3" t="s">
        <v>49</v>
      </c>
      <c r="G659" s="4" t="s">
        <v>2300</v>
      </c>
      <c r="H659" s="4" t="s">
        <v>2301</v>
      </c>
      <c r="I659" s="5">
        <v>21890</v>
      </c>
      <c r="J659" s="3" t="s">
        <v>2299</v>
      </c>
      <c r="K659" s="3" t="s">
        <v>77</v>
      </c>
      <c r="L659" s="3" t="s">
        <v>119</v>
      </c>
      <c r="M659" s="4" t="s">
        <v>2302</v>
      </c>
      <c r="N659" s="3" t="s">
        <v>56</v>
      </c>
      <c r="O659" s="3" t="s">
        <v>139</v>
      </c>
      <c r="P659" s="4" t="s">
        <v>282</v>
      </c>
      <c r="Y659" s="4" t="s">
        <v>2277</v>
      </c>
      <c r="Z659" s="4" t="s">
        <v>2293</v>
      </c>
      <c r="AA659" s="4" t="s">
        <v>2294</v>
      </c>
      <c r="AB659" s="3" t="s">
        <v>2303</v>
      </c>
      <c r="AC659" s="3" t="s">
        <v>2296</v>
      </c>
      <c r="AD659" s="3" t="s">
        <v>53</v>
      </c>
      <c r="AE659" s="3">
        <v>1000</v>
      </c>
      <c r="AI659" s="4" t="s">
        <v>2281</v>
      </c>
      <c r="AJ659" s="4" t="s">
        <v>2298</v>
      </c>
      <c r="AK659" s="3" t="s">
        <v>286</v>
      </c>
      <c r="AL659" s="4">
        <v>30080</v>
      </c>
      <c r="AM659" s="5">
        <v>21890</v>
      </c>
      <c r="AN659" s="4" t="s">
        <v>2282</v>
      </c>
      <c r="AO659" s="4">
        <v>99</v>
      </c>
      <c r="AP659" s="4">
        <v>80120000</v>
      </c>
    </row>
    <row r="660" spans="1:42" x14ac:dyDescent="0.25">
      <c r="A660" s="3">
        <v>4603022</v>
      </c>
      <c r="B660" s="3" t="s">
        <v>2304</v>
      </c>
      <c r="C660" s="3" t="s">
        <v>2273</v>
      </c>
      <c r="D660" s="3">
        <v>10002854</v>
      </c>
      <c r="E660" s="4">
        <v>4532373</v>
      </c>
      <c r="F660" s="3" t="s">
        <v>49</v>
      </c>
      <c r="G660" s="4" t="s">
        <v>2300</v>
      </c>
      <c r="H660" s="4" t="s">
        <v>2305</v>
      </c>
      <c r="I660" s="5">
        <v>60258</v>
      </c>
      <c r="J660" s="3" t="s">
        <v>2304</v>
      </c>
      <c r="K660" s="3" t="s">
        <v>807</v>
      </c>
      <c r="L660" s="3" t="s">
        <v>196</v>
      </c>
      <c r="M660" s="4" t="s">
        <v>2306</v>
      </c>
      <c r="N660" s="3" t="s">
        <v>56</v>
      </c>
      <c r="O660" s="3" t="s">
        <v>139</v>
      </c>
      <c r="P660" s="4" t="s">
        <v>282</v>
      </c>
      <c r="U660" s="4" t="s">
        <v>139</v>
      </c>
      <c r="V660" s="4" t="s">
        <v>427</v>
      </c>
      <c r="W660" s="4" t="s">
        <v>428</v>
      </c>
      <c r="Y660" s="4" t="s">
        <v>2277</v>
      </c>
      <c r="Z660" s="4" t="s">
        <v>2293</v>
      </c>
      <c r="AA660" s="4" t="s">
        <v>2294</v>
      </c>
      <c r="AB660" s="3" t="s">
        <v>2303</v>
      </c>
      <c r="AC660" s="3" t="s">
        <v>2296</v>
      </c>
      <c r="AD660" s="3" t="s">
        <v>376</v>
      </c>
      <c r="AE660" s="3">
        <v>1000</v>
      </c>
      <c r="AI660" s="4" t="s">
        <v>2281</v>
      </c>
      <c r="AJ660" s="4" t="s">
        <v>2298</v>
      </c>
      <c r="AK660" s="3" t="s">
        <v>286</v>
      </c>
      <c r="AL660" s="4">
        <v>30080</v>
      </c>
      <c r="AM660" s="5">
        <v>60258</v>
      </c>
      <c r="AN660" s="4" t="s">
        <v>2282</v>
      </c>
      <c r="AO660" s="4">
        <v>96</v>
      </c>
      <c r="AP660" s="4">
        <v>80120000</v>
      </c>
    </row>
    <row r="661" spans="1:42" x14ac:dyDescent="0.25">
      <c r="A661" s="3">
        <v>4603031</v>
      </c>
      <c r="B661" s="3" t="s">
        <v>2307</v>
      </c>
      <c r="C661" s="3" t="s">
        <v>2273</v>
      </c>
      <c r="D661" s="3">
        <v>10002871</v>
      </c>
      <c r="E661" s="4">
        <v>4532382</v>
      </c>
      <c r="F661" s="3" t="s">
        <v>49</v>
      </c>
      <c r="G661" s="4" t="s">
        <v>2300</v>
      </c>
      <c r="H661" s="4" t="s">
        <v>2301</v>
      </c>
      <c r="I661" s="5">
        <v>16900</v>
      </c>
      <c r="J661" s="3" t="s">
        <v>2307</v>
      </c>
      <c r="K661" s="3" t="s">
        <v>807</v>
      </c>
      <c r="L661" s="3" t="s">
        <v>196</v>
      </c>
      <c r="M661" s="4" t="s">
        <v>2308</v>
      </c>
      <c r="N661" s="3" t="s">
        <v>56</v>
      </c>
      <c r="O661" s="3" t="s">
        <v>139</v>
      </c>
      <c r="P661" s="4" t="s">
        <v>282</v>
      </c>
      <c r="Q661" s="3" t="s">
        <v>139</v>
      </c>
      <c r="R661" s="3" t="s">
        <v>427</v>
      </c>
      <c r="S661" s="4" t="s">
        <v>428</v>
      </c>
      <c r="U661" s="4" t="s">
        <v>139</v>
      </c>
      <c r="V661" s="4" t="s">
        <v>427</v>
      </c>
      <c r="W661" s="4" t="s">
        <v>428</v>
      </c>
      <c r="Y661" s="4" t="s">
        <v>2292</v>
      </c>
      <c r="Z661" s="4" t="s">
        <v>2293</v>
      </c>
      <c r="AA661" s="4" t="s">
        <v>2294</v>
      </c>
      <c r="AB661" s="3" t="s">
        <v>2303</v>
      </c>
      <c r="AC661" s="3" t="s">
        <v>2296</v>
      </c>
      <c r="AD661" s="3" t="s">
        <v>1753</v>
      </c>
      <c r="AE661" s="3">
        <v>1000</v>
      </c>
      <c r="AI661" s="4" t="s">
        <v>2297</v>
      </c>
      <c r="AJ661" s="4" t="s">
        <v>2298</v>
      </c>
      <c r="AK661" s="3" t="s">
        <v>286</v>
      </c>
      <c r="AL661" s="4">
        <v>30080</v>
      </c>
      <c r="AM661" s="5">
        <v>16900</v>
      </c>
      <c r="AN661" s="4" t="s">
        <v>2282</v>
      </c>
      <c r="AO661" s="4">
        <v>99</v>
      </c>
      <c r="AP661" s="4">
        <v>80120000</v>
      </c>
    </row>
    <row r="662" spans="1:42" x14ac:dyDescent="0.25">
      <c r="A662" s="3">
        <v>4603050</v>
      </c>
      <c r="B662" s="3" t="s">
        <v>2309</v>
      </c>
      <c r="C662" s="3" t="s">
        <v>2273</v>
      </c>
      <c r="D662" s="3">
        <v>10002887</v>
      </c>
      <c r="E662" s="4">
        <v>4532401</v>
      </c>
      <c r="F662" s="3" t="s">
        <v>49</v>
      </c>
      <c r="G662" s="4" t="s">
        <v>2310</v>
      </c>
      <c r="H662" s="4" t="s">
        <v>2311</v>
      </c>
      <c r="I662" s="5">
        <v>54105</v>
      </c>
      <c r="J662" s="3" t="s">
        <v>2309</v>
      </c>
      <c r="K662" s="3" t="s">
        <v>832</v>
      </c>
      <c r="L662" s="3" t="s">
        <v>119</v>
      </c>
      <c r="M662" s="4" t="s">
        <v>2312</v>
      </c>
      <c r="N662" s="3" t="s">
        <v>56</v>
      </c>
      <c r="O662" s="3" t="s">
        <v>139</v>
      </c>
      <c r="P662" s="4" t="s">
        <v>2207</v>
      </c>
      <c r="U662" s="4" t="s">
        <v>139</v>
      </c>
      <c r="V662" s="4" t="s">
        <v>427</v>
      </c>
      <c r="W662" s="4" t="s">
        <v>428</v>
      </c>
      <c r="Y662" s="4" t="s">
        <v>2277</v>
      </c>
      <c r="Z662" s="4" t="s">
        <v>2293</v>
      </c>
      <c r="AA662" s="4" t="s">
        <v>2294</v>
      </c>
      <c r="AB662" s="3" t="s">
        <v>2313</v>
      </c>
      <c r="AC662" s="3" t="s">
        <v>2296</v>
      </c>
      <c r="AD662" s="3" t="s">
        <v>2228</v>
      </c>
      <c r="AE662" s="3">
        <v>1000</v>
      </c>
      <c r="AI662" s="4" t="s">
        <v>2281</v>
      </c>
      <c r="AJ662" s="4" t="s">
        <v>2298</v>
      </c>
      <c r="AK662" s="3" t="s">
        <v>2210</v>
      </c>
      <c r="AL662" s="4">
        <v>47820</v>
      </c>
      <c r="AM662" s="5">
        <v>54105</v>
      </c>
      <c r="AN662" s="4" t="s">
        <v>2282</v>
      </c>
      <c r="AO662" s="4">
        <v>96</v>
      </c>
      <c r="AP662" s="4">
        <v>80120000</v>
      </c>
    </row>
    <row r="663" spans="1:42" x14ac:dyDescent="0.25">
      <c r="A663" s="3">
        <v>4603163</v>
      </c>
      <c r="B663" s="3" t="s">
        <v>598</v>
      </c>
      <c r="C663" s="3" t="s">
        <v>2273</v>
      </c>
      <c r="D663" s="3">
        <v>10002992</v>
      </c>
      <c r="E663" s="4">
        <v>4532514</v>
      </c>
      <c r="F663" s="3" t="s">
        <v>49</v>
      </c>
      <c r="G663" s="4" t="s">
        <v>599</v>
      </c>
      <c r="H663" s="4" t="s">
        <v>1138</v>
      </c>
      <c r="I663" s="5">
        <v>33000</v>
      </c>
      <c r="J663" s="3" t="s">
        <v>98</v>
      </c>
      <c r="K663" s="3" t="s">
        <v>180</v>
      </c>
      <c r="L663" s="3" t="s">
        <v>54</v>
      </c>
      <c r="M663" s="4" t="s">
        <v>2314</v>
      </c>
      <c r="N663" s="3" t="s">
        <v>56</v>
      </c>
      <c r="Y663" s="4" t="s">
        <v>604</v>
      </c>
      <c r="Z663" s="4" t="s">
        <v>605</v>
      </c>
      <c r="AA663" s="4" t="s">
        <v>606</v>
      </c>
      <c r="AB663" s="3" t="s">
        <v>606</v>
      </c>
      <c r="AC663" s="3" t="s">
        <v>607</v>
      </c>
      <c r="AD663" s="3" t="s">
        <v>598</v>
      </c>
      <c r="AE663" s="3">
        <v>1000</v>
      </c>
      <c r="AI663" s="4" t="s">
        <v>608</v>
      </c>
      <c r="AJ663" s="4" t="s">
        <v>609</v>
      </c>
      <c r="AL663" s="4">
        <v>44723</v>
      </c>
      <c r="AM663" s="5">
        <v>33000</v>
      </c>
      <c r="AN663" s="4" t="s">
        <v>124</v>
      </c>
      <c r="AO663" s="4">
        <v>99</v>
      </c>
      <c r="AP663" s="4">
        <v>78111809</v>
      </c>
    </row>
    <row r="664" spans="1:42" x14ac:dyDescent="0.25">
      <c r="A664" s="3">
        <v>4603168</v>
      </c>
      <c r="B664" s="3" t="s">
        <v>1113</v>
      </c>
      <c r="C664" s="3" t="s">
        <v>2273</v>
      </c>
      <c r="D664" s="3">
        <v>10003017</v>
      </c>
      <c r="E664" s="4">
        <v>4532519</v>
      </c>
      <c r="F664" s="3" t="s">
        <v>49</v>
      </c>
      <c r="G664" s="4" t="s">
        <v>2300</v>
      </c>
      <c r="H664" s="4" t="s">
        <v>2315</v>
      </c>
      <c r="I664" s="5">
        <v>15000</v>
      </c>
      <c r="J664" s="3" t="s">
        <v>1113</v>
      </c>
      <c r="K664" s="3" t="s">
        <v>807</v>
      </c>
      <c r="L664" s="3" t="s">
        <v>54</v>
      </c>
      <c r="M664" s="4" t="s">
        <v>2316</v>
      </c>
      <c r="N664" s="3" t="s">
        <v>56</v>
      </c>
      <c r="O664" s="3" t="s">
        <v>139</v>
      </c>
      <c r="P664" s="4" t="s">
        <v>282</v>
      </c>
      <c r="Q664" s="3" t="s">
        <v>139</v>
      </c>
      <c r="R664" s="3" t="s">
        <v>427</v>
      </c>
      <c r="S664" s="4" t="s">
        <v>428</v>
      </c>
      <c r="U664" s="4" t="s">
        <v>139</v>
      </c>
      <c r="V664" s="4" t="s">
        <v>427</v>
      </c>
      <c r="W664" s="4" t="s">
        <v>428</v>
      </c>
      <c r="Y664" s="4" t="s">
        <v>2286</v>
      </c>
      <c r="Z664" s="4" t="s">
        <v>2293</v>
      </c>
      <c r="AA664" s="4" t="s">
        <v>2294</v>
      </c>
      <c r="AB664" s="3" t="s">
        <v>2303</v>
      </c>
      <c r="AC664" s="3" t="s">
        <v>2296</v>
      </c>
      <c r="AD664" s="3" t="s">
        <v>774</v>
      </c>
      <c r="AE664" s="3">
        <v>1000</v>
      </c>
      <c r="AI664" s="4" t="s">
        <v>2288</v>
      </c>
      <c r="AJ664" s="4" t="s">
        <v>2298</v>
      </c>
      <c r="AK664" s="3" t="s">
        <v>286</v>
      </c>
      <c r="AL664" s="4">
        <v>30080</v>
      </c>
      <c r="AM664" s="5">
        <v>15000</v>
      </c>
      <c r="AN664" s="4" t="s">
        <v>2282</v>
      </c>
      <c r="AO664" s="4">
        <v>99</v>
      </c>
      <c r="AP664" s="4">
        <v>80120000</v>
      </c>
    </row>
    <row r="665" spans="1:42" x14ac:dyDescent="0.25">
      <c r="A665" s="3">
        <v>4603770</v>
      </c>
      <c r="B665" s="3" t="s">
        <v>631</v>
      </c>
      <c r="C665" s="3" t="s">
        <v>2273</v>
      </c>
      <c r="D665" s="3">
        <v>10003614</v>
      </c>
      <c r="E665" s="4">
        <v>4533121</v>
      </c>
      <c r="F665" s="3" t="s">
        <v>49</v>
      </c>
      <c r="G665" s="4" t="s">
        <v>2317</v>
      </c>
      <c r="H665" s="4" t="s">
        <v>2318</v>
      </c>
      <c r="I665" s="5">
        <v>86900</v>
      </c>
      <c r="J665" s="3" t="s">
        <v>631</v>
      </c>
      <c r="K665" s="3" t="s">
        <v>77</v>
      </c>
      <c r="L665" s="3" t="s">
        <v>196</v>
      </c>
      <c r="M665" s="4" t="s">
        <v>2318</v>
      </c>
      <c r="N665" s="3" t="s">
        <v>25</v>
      </c>
      <c r="Y665" s="4" t="s">
        <v>2277</v>
      </c>
      <c r="Z665" s="4" t="s">
        <v>2293</v>
      </c>
      <c r="AD665" s="3" t="s">
        <v>2319</v>
      </c>
      <c r="AE665" s="3">
        <v>1000</v>
      </c>
      <c r="AI665" s="4" t="s">
        <v>2281</v>
      </c>
      <c r="AJ665" s="4" t="s">
        <v>2298</v>
      </c>
      <c r="AL665" s="4">
        <v>40714</v>
      </c>
      <c r="AM665" s="5">
        <v>86900</v>
      </c>
      <c r="AN665" s="4" t="s">
        <v>124</v>
      </c>
      <c r="AO665" s="4">
        <v>99</v>
      </c>
      <c r="AP665" s="4">
        <v>55110000</v>
      </c>
    </row>
    <row r="666" spans="1:42" x14ac:dyDescent="0.25">
      <c r="A666" s="3">
        <v>4603791</v>
      </c>
      <c r="B666" s="3" t="s">
        <v>652</v>
      </c>
      <c r="C666" s="3" t="s">
        <v>2273</v>
      </c>
      <c r="D666" s="3">
        <v>10003630</v>
      </c>
      <c r="E666" s="4">
        <v>4533142</v>
      </c>
      <c r="F666" s="3" t="s">
        <v>49</v>
      </c>
      <c r="G666" s="4" t="s">
        <v>1137</v>
      </c>
      <c r="H666" s="4" t="s">
        <v>1138</v>
      </c>
      <c r="I666" s="5">
        <v>40000</v>
      </c>
      <c r="J666" s="3" t="s">
        <v>2320</v>
      </c>
      <c r="K666" s="3" t="s">
        <v>439</v>
      </c>
      <c r="L666" s="3" t="s">
        <v>119</v>
      </c>
      <c r="M666" s="4" t="s">
        <v>2321</v>
      </c>
      <c r="N666" s="3" t="s">
        <v>56</v>
      </c>
      <c r="Y666" s="4" t="s">
        <v>1141</v>
      </c>
      <c r="Z666" s="4" t="s">
        <v>605</v>
      </c>
      <c r="AA666" s="4" t="s">
        <v>1181</v>
      </c>
      <c r="AB666" s="3" t="s">
        <v>1142</v>
      </c>
      <c r="AC666" s="3" t="s">
        <v>1143</v>
      </c>
      <c r="AD666" s="3" t="s">
        <v>2322</v>
      </c>
      <c r="AE666" s="3">
        <v>1000</v>
      </c>
      <c r="AI666" s="4" t="s">
        <v>1144</v>
      </c>
      <c r="AJ666" s="4" t="s">
        <v>609</v>
      </c>
      <c r="AL666" s="4">
        <v>141215</v>
      </c>
      <c r="AM666" s="5">
        <v>40000</v>
      </c>
      <c r="AN666" s="4" t="s">
        <v>124</v>
      </c>
      <c r="AO666" s="4">
        <v>99</v>
      </c>
      <c r="AP666" s="4">
        <v>78111809</v>
      </c>
    </row>
    <row r="667" spans="1:42" x14ac:dyDescent="0.25">
      <c r="A667" s="3">
        <v>4603975</v>
      </c>
      <c r="B667" s="3" t="s">
        <v>631</v>
      </c>
      <c r="C667" s="3" t="s">
        <v>2273</v>
      </c>
      <c r="D667" s="3">
        <v>10003731</v>
      </c>
      <c r="E667" s="4">
        <v>4533326</v>
      </c>
      <c r="F667" s="3" t="s">
        <v>49</v>
      </c>
      <c r="G667" s="4" t="s">
        <v>2323</v>
      </c>
      <c r="H667" s="4" t="s">
        <v>2324</v>
      </c>
      <c r="I667" s="5">
        <v>143160</v>
      </c>
      <c r="J667" s="3" t="s">
        <v>631</v>
      </c>
      <c r="K667" s="3" t="s">
        <v>77</v>
      </c>
      <c r="L667" s="3" t="s">
        <v>196</v>
      </c>
      <c r="M667" s="4" t="s">
        <v>2325</v>
      </c>
      <c r="N667" s="3" t="s">
        <v>25</v>
      </c>
      <c r="Y667" s="4" t="s">
        <v>2277</v>
      </c>
      <c r="Z667" s="4" t="s">
        <v>2293</v>
      </c>
      <c r="AD667" s="3" t="s">
        <v>2326</v>
      </c>
      <c r="AE667" s="3">
        <v>1000</v>
      </c>
      <c r="AI667" s="4" t="s">
        <v>2281</v>
      </c>
      <c r="AJ667" s="4" t="s">
        <v>2298</v>
      </c>
      <c r="AL667" s="4">
        <v>40306</v>
      </c>
      <c r="AM667" s="5">
        <v>143160</v>
      </c>
      <c r="AN667" s="4" t="s">
        <v>124</v>
      </c>
      <c r="AO667" s="4">
        <v>99</v>
      </c>
      <c r="AP667" s="4">
        <v>55101500</v>
      </c>
    </row>
    <row r="668" spans="1:42" x14ac:dyDescent="0.25">
      <c r="A668" s="3">
        <v>4604149</v>
      </c>
      <c r="B668" s="3" t="s">
        <v>1002</v>
      </c>
      <c r="C668" s="3" t="s">
        <v>2273</v>
      </c>
      <c r="D668" s="3">
        <v>10003918</v>
      </c>
      <c r="E668" s="4">
        <v>4533500</v>
      </c>
      <c r="F668" s="3" t="s">
        <v>49</v>
      </c>
      <c r="G668" s="4" t="s">
        <v>2323</v>
      </c>
      <c r="H668" s="4" t="s">
        <v>2327</v>
      </c>
      <c r="I668" s="5">
        <v>131139</v>
      </c>
      <c r="J668" s="3" t="s">
        <v>2328</v>
      </c>
      <c r="K668" s="3" t="s">
        <v>1775</v>
      </c>
      <c r="L668" s="3" t="s">
        <v>196</v>
      </c>
      <c r="M668" s="4" t="s">
        <v>2329</v>
      </c>
      <c r="N668" s="3" t="s">
        <v>25</v>
      </c>
      <c r="Y668" s="4" t="s">
        <v>2277</v>
      </c>
      <c r="Z668" s="4" t="s">
        <v>2293</v>
      </c>
      <c r="AD668" s="3" t="s">
        <v>2330</v>
      </c>
      <c r="AE668" s="3">
        <v>1000</v>
      </c>
      <c r="AI668" s="4" t="s">
        <v>2281</v>
      </c>
      <c r="AJ668" s="4" t="s">
        <v>2298</v>
      </c>
      <c r="AL668" s="4">
        <v>40306</v>
      </c>
      <c r="AM668" s="5">
        <v>131139</v>
      </c>
      <c r="AN668" s="4" t="s">
        <v>124</v>
      </c>
      <c r="AO668" s="4">
        <v>99</v>
      </c>
      <c r="AP668" s="4">
        <v>55110000</v>
      </c>
    </row>
    <row r="669" spans="1:42" x14ac:dyDescent="0.25">
      <c r="A669" s="3">
        <v>4604190</v>
      </c>
      <c r="B669" s="3" t="s">
        <v>2331</v>
      </c>
      <c r="C669" s="3" t="s">
        <v>2273</v>
      </c>
      <c r="D669" s="3">
        <v>10003943</v>
      </c>
      <c r="E669" s="4">
        <v>4533541</v>
      </c>
      <c r="F669" s="3" t="s">
        <v>49</v>
      </c>
      <c r="G669" s="4" t="s">
        <v>2300</v>
      </c>
      <c r="I669" s="5">
        <v>5500</v>
      </c>
      <c r="J669" s="3" t="s">
        <v>2331</v>
      </c>
      <c r="K669" s="3" t="s">
        <v>807</v>
      </c>
      <c r="L669" s="3" t="s">
        <v>1046</v>
      </c>
      <c r="M669" s="4" t="s">
        <v>2332</v>
      </c>
      <c r="N669" s="3" t="s">
        <v>25</v>
      </c>
      <c r="O669" s="3" t="s">
        <v>139</v>
      </c>
      <c r="P669" s="4" t="s">
        <v>2207</v>
      </c>
      <c r="Y669" s="4" t="s">
        <v>2277</v>
      </c>
      <c r="Z669" s="4" t="s">
        <v>2293</v>
      </c>
      <c r="AD669" s="3" t="s">
        <v>258</v>
      </c>
      <c r="AE669" s="3">
        <v>1000</v>
      </c>
      <c r="AI669" s="4" t="s">
        <v>2281</v>
      </c>
      <c r="AJ669" s="4" t="s">
        <v>2298</v>
      </c>
      <c r="AK669" s="3" t="s">
        <v>2210</v>
      </c>
      <c r="AL669" s="4">
        <v>30080</v>
      </c>
      <c r="AM669" s="5">
        <v>5500</v>
      </c>
      <c r="AN669" s="4" t="s">
        <v>2282</v>
      </c>
    </row>
    <row r="670" spans="1:42" x14ac:dyDescent="0.25">
      <c r="A670" s="3">
        <v>4604212</v>
      </c>
      <c r="B670" s="3" t="s">
        <v>718</v>
      </c>
      <c r="C670" s="3" t="s">
        <v>2273</v>
      </c>
      <c r="D670" s="3">
        <v>10003961</v>
      </c>
      <c r="E670" s="4">
        <v>4533563</v>
      </c>
      <c r="F670" s="3" t="s">
        <v>49</v>
      </c>
      <c r="G670" s="4" t="s">
        <v>2333</v>
      </c>
      <c r="H670" s="4" t="s">
        <v>2301</v>
      </c>
      <c r="I670" s="5">
        <v>3000000</v>
      </c>
      <c r="J670" s="3" t="s">
        <v>718</v>
      </c>
      <c r="K670" s="3" t="s">
        <v>77</v>
      </c>
      <c r="L670" s="3" t="s">
        <v>1046</v>
      </c>
      <c r="M670" s="4" t="s">
        <v>2334</v>
      </c>
      <c r="N670" s="3" t="s">
        <v>25</v>
      </c>
      <c r="O670" s="3" t="s">
        <v>139</v>
      </c>
      <c r="P670" s="4" t="s">
        <v>2207</v>
      </c>
      <c r="Q670" s="3" t="s">
        <v>139</v>
      </c>
      <c r="R670" s="3" t="s">
        <v>427</v>
      </c>
      <c r="S670" s="4" t="s">
        <v>428</v>
      </c>
      <c r="U670" s="4" t="s">
        <v>139</v>
      </c>
      <c r="V670" s="4" t="s">
        <v>427</v>
      </c>
      <c r="W670" s="4" t="s">
        <v>428</v>
      </c>
      <c r="Y670" s="4" t="s">
        <v>2277</v>
      </c>
      <c r="Z670" s="4" t="s">
        <v>2293</v>
      </c>
      <c r="AD670" s="3" t="s">
        <v>543</v>
      </c>
      <c r="AE670" s="3">
        <v>1000</v>
      </c>
      <c r="AI670" s="4" t="s">
        <v>2281</v>
      </c>
      <c r="AJ670" s="4" t="s">
        <v>2298</v>
      </c>
      <c r="AK670" s="3" t="s">
        <v>2210</v>
      </c>
      <c r="AL670" s="4">
        <v>141591</v>
      </c>
      <c r="AM670" s="5">
        <v>3000000</v>
      </c>
      <c r="AN670" s="4" t="s">
        <v>2282</v>
      </c>
      <c r="AO670" s="4">
        <v>94</v>
      </c>
      <c r="AP670" s="4">
        <v>80120000</v>
      </c>
    </row>
    <row r="671" spans="1:42" x14ac:dyDescent="0.25">
      <c r="A671" s="3">
        <v>4604247</v>
      </c>
      <c r="B671" s="3" t="s">
        <v>1247</v>
      </c>
      <c r="C671" s="3" t="s">
        <v>2273</v>
      </c>
      <c r="D671" s="3">
        <v>10004001</v>
      </c>
      <c r="E671" s="4">
        <v>4533598</v>
      </c>
      <c r="F671" s="3" t="s">
        <v>49</v>
      </c>
      <c r="G671" s="4" t="s">
        <v>2300</v>
      </c>
      <c r="H671" s="4" t="s">
        <v>2301</v>
      </c>
      <c r="I671" s="5">
        <v>49800</v>
      </c>
      <c r="J671" s="3" t="s">
        <v>1247</v>
      </c>
      <c r="K671" s="3" t="s">
        <v>77</v>
      </c>
      <c r="L671" s="3" t="s">
        <v>1046</v>
      </c>
      <c r="M671" s="4" t="s">
        <v>2335</v>
      </c>
      <c r="N671" s="3" t="s">
        <v>25</v>
      </c>
      <c r="O671" s="3" t="s">
        <v>139</v>
      </c>
      <c r="P671" s="4" t="s">
        <v>282</v>
      </c>
      <c r="U671" s="4" t="s">
        <v>139</v>
      </c>
      <c r="V671" s="4" t="s">
        <v>427</v>
      </c>
      <c r="W671" s="4" t="s">
        <v>428</v>
      </c>
      <c r="Y671" s="4" t="s">
        <v>2277</v>
      </c>
      <c r="Z671" s="4" t="s">
        <v>2293</v>
      </c>
      <c r="AD671" s="3" t="s">
        <v>535</v>
      </c>
      <c r="AE671" s="3">
        <v>1000</v>
      </c>
      <c r="AI671" s="4" t="s">
        <v>2281</v>
      </c>
      <c r="AJ671" s="4" t="s">
        <v>2298</v>
      </c>
      <c r="AK671" s="3" t="s">
        <v>286</v>
      </c>
      <c r="AL671" s="4">
        <v>30080</v>
      </c>
      <c r="AM671" s="5">
        <v>49800</v>
      </c>
      <c r="AN671" s="4" t="s">
        <v>2282</v>
      </c>
      <c r="AO671" s="4">
        <v>97</v>
      </c>
      <c r="AP671" s="4">
        <v>80120000</v>
      </c>
    </row>
    <row r="672" spans="1:42" x14ac:dyDescent="0.25">
      <c r="A672" s="3">
        <v>4604250</v>
      </c>
      <c r="B672" s="3" t="s">
        <v>2336</v>
      </c>
      <c r="C672" s="3" t="s">
        <v>2273</v>
      </c>
      <c r="D672" s="3">
        <v>10004011</v>
      </c>
      <c r="E672" s="4">
        <v>4533601</v>
      </c>
      <c r="F672" s="3" t="s">
        <v>49</v>
      </c>
      <c r="G672" s="4" t="s">
        <v>2300</v>
      </c>
      <c r="H672" s="4" t="s">
        <v>2337</v>
      </c>
      <c r="I672" s="5">
        <v>24700</v>
      </c>
      <c r="J672" s="3" t="s">
        <v>2336</v>
      </c>
      <c r="K672" s="3" t="s">
        <v>807</v>
      </c>
      <c r="L672" s="3" t="s">
        <v>1046</v>
      </c>
      <c r="M672" s="4" t="s">
        <v>2338</v>
      </c>
      <c r="N672" s="3" t="s">
        <v>25</v>
      </c>
      <c r="O672" s="3" t="s">
        <v>139</v>
      </c>
      <c r="P672" s="4" t="s">
        <v>282</v>
      </c>
      <c r="Q672" s="3" t="s">
        <v>139</v>
      </c>
      <c r="R672" s="3" t="s">
        <v>427</v>
      </c>
      <c r="S672" s="4" t="s">
        <v>428</v>
      </c>
      <c r="U672" s="4" t="s">
        <v>139</v>
      </c>
      <c r="V672" s="4" t="s">
        <v>427</v>
      </c>
      <c r="W672" s="4" t="s">
        <v>428</v>
      </c>
      <c r="Y672" s="4" t="s">
        <v>2293</v>
      </c>
      <c r="Z672" s="4" t="s">
        <v>2293</v>
      </c>
      <c r="AD672" s="3" t="s">
        <v>2228</v>
      </c>
      <c r="AE672" s="3">
        <v>1000</v>
      </c>
      <c r="AI672" s="4" t="s">
        <v>2298</v>
      </c>
      <c r="AJ672" s="4" t="s">
        <v>2298</v>
      </c>
      <c r="AK672" s="3" t="s">
        <v>286</v>
      </c>
      <c r="AL672" s="4">
        <v>30080</v>
      </c>
      <c r="AM672" s="5">
        <v>24700</v>
      </c>
      <c r="AN672" s="4" t="s">
        <v>2282</v>
      </c>
      <c r="AO672" s="4">
        <v>98</v>
      </c>
      <c r="AP672" s="4">
        <v>80120000</v>
      </c>
    </row>
    <row r="673" spans="1:42" x14ac:dyDescent="0.25">
      <c r="A673" s="3">
        <v>4604260</v>
      </c>
      <c r="B673" s="3" t="s">
        <v>2339</v>
      </c>
      <c r="C673" s="3" t="s">
        <v>2273</v>
      </c>
      <c r="D673" s="3">
        <v>10004021</v>
      </c>
      <c r="E673" s="4">
        <v>4533611</v>
      </c>
      <c r="F673" s="3" t="s">
        <v>49</v>
      </c>
      <c r="G673" s="4" t="s">
        <v>2300</v>
      </c>
      <c r="H673" s="4" t="s">
        <v>2337</v>
      </c>
      <c r="I673" s="5">
        <v>28550</v>
      </c>
      <c r="J673" s="3" t="s">
        <v>2339</v>
      </c>
      <c r="K673" s="3" t="s">
        <v>807</v>
      </c>
      <c r="L673" s="3" t="s">
        <v>1046</v>
      </c>
      <c r="M673" s="4" t="s">
        <v>2340</v>
      </c>
      <c r="N673" s="3" t="s">
        <v>25</v>
      </c>
      <c r="O673" s="3" t="s">
        <v>139</v>
      </c>
      <c r="P673" s="4" t="s">
        <v>282</v>
      </c>
      <c r="Q673" s="3" t="s">
        <v>139</v>
      </c>
      <c r="R673" s="3" t="s">
        <v>427</v>
      </c>
      <c r="S673" s="4" t="s">
        <v>428</v>
      </c>
      <c r="U673" s="4" t="s">
        <v>139</v>
      </c>
      <c r="V673" s="4" t="s">
        <v>427</v>
      </c>
      <c r="W673" s="4" t="s">
        <v>428</v>
      </c>
      <c r="Y673" s="4" t="s">
        <v>2293</v>
      </c>
      <c r="Z673" s="4" t="s">
        <v>2293</v>
      </c>
      <c r="AD673" s="3" t="s">
        <v>2228</v>
      </c>
      <c r="AE673" s="3">
        <v>1000</v>
      </c>
      <c r="AI673" s="4" t="s">
        <v>2298</v>
      </c>
      <c r="AJ673" s="4" t="s">
        <v>2298</v>
      </c>
      <c r="AK673" s="3" t="s">
        <v>286</v>
      </c>
      <c r="AL673" s="4">
        <v>30080</v>
      </c>
      <c r="AM673" s="5">
        <v>28550</v>
      </c>
      <c r="AN673" s="4" t="s">
        <v>2282</v>
      </c>
      <c r="AO673" s="4">
        <v>98</v>
      </c>
      <c r="AP673" s="4">
        <v>80120000</v>
      </c>
    </row>
    <row r="674" spans="1:42" x14ac:dyDescent="0.25">
      <c r="A674" s="3">
        <v>4604269</v>
      </c>
      <c r="B674" s="3" t="s">
        <v>2341</v>
      </c>
      <c r="C674" s="3" t="s">
        <v>2342</v>
      </c>
      <c r="D674" s="3">
        <v>10004026</v>
      </c>
      <c r="E674" s="4">
        <v>4533620</v>
      </c>
      <c r="F674" s="3" t="s">
        <v>49</v>
      </c>
      <c r="G674" s="4" t="s">
        <v>2300</v>
      </c>
      <c r="H674" s="4" t="s">
        <v>2301</v>
      </c>
      <c r="I674" s="5">
        <v>253000</v>
      </c>
      <c r="J674" s="3" t="s">
        <v>2341</v>
      </c>
      <c r="K674" s="3" t="s">
        <v>807</v>
      </c>
      <c r="L674" s="3" t="s">
        <v>1046</v>
      </c>
      <c r="M674" s="4" t="s">
        <v>2343</v>
      </c>
      <c r="N674" s="3" t="s">
        <v>25</v>
      </c>
      <c r="O674" s="3" t="s">
        <v>139</v>
      </c>
      <c r="P674" s="4" t="s">
        <v>282</v>
      </c>
      <c r="Q674" s="3" t="s">
        <v>139</v>
      </c>
      <c r="R674" s="3" t="s">
        <v>427</v>
      </c>
      <c r="S674" s="4" t="s">
        <v>428</v>
      </c>
      <c r="U674" s="4" t="s">
        <v>139</v>
      </c>
      <c r="V674" s="4" t="s">
        <v>427</v>
      </c>
      <c r="W674" s="4" t="s">
        <v>428</v>
      </c>
      <c r="Y674" s="4" t="s">
        <v>2277</v>
      </c>
      <c r="Z674" s="4" t="s">
        <v>2293</v>
      </c>
      <c r="AD674" s="3" t="s">
        <v>53</v>
      </c>
      <c r="AE674" s="3">
        <v>1000</v>
      </c>
      <c r="AI674" s="4" t="s">
        <v>2281</v>
      </c>
      <c r="AJ674" s="4" t="s">
        <v>2298</v>
      </c>
      <c r="AK674" s="3" t="s">
        <v>286</v>
      </c>
      <c r="AL674" s="4">
        <v>30080</v>
      </c>
      <c r="AM674" s="5">
        <v>253000</v>
      </c>
      <c r="AN674" s="4" t="s">
        <v>2282</v>
      </c>
      <c r="AO674" s="4">
        <v>94</v>
      </c>
      <c r="AP674" s="4">
        <v>80120000</v>
      </c>
    </row>
    <row r="675" spans="1:42" x14ac:dyDescent="0.25">
      <c r="A675" s="3">
        <v>4604273</v>
      </c>
      <c r="B675" s="3" t="s">
        <v>718</v>
      </c>
      <c r="C675" s="3" t="s">
        <v>2342</v>
      </c>
      <c r="D675" s="3">
        <v>10004032</v>
      </c>
      <c r="E675" s="4">
        <v>4533624</v>
      </c>
      <c r="F675" s="3" t="s">
        <v>49</v>
      </c>
      <c r="G675" s="4" t="s">
        <v>2333</v>
      </c>
      <c r="H675" s="4" t="s">
        <v>2305</v>
      </c>
      <c r="I675" s="5">
        <v>237000</v>
      </c>
      <c r="J675" s="3" t="s">
        <v>718</v>
      </c>
      <c r="K675" s="3" t="s">
        <v>77</v>
      </c>
      <c r="L675" s="3" t="s">
        <v>1046</v>
      </c>
      <c r="M675" s="4" t="s">
        <v>2344</v>
      </c>
      <c r="N675" s="3" t="s">
        <v>25</v>
      </c>
      <c r="O675" s="3" t="s">
        <v>139</v>
      </c>
      <c r="P675" s="4" t="s">
        <v>282</v>
      </c>
      <c r="Q675" s="3" t="s">
        <v>139</v>
      </c>
      <c r="R675" s="3" t="s">
        <v>427</v>
      </c>
      <c r="S675" s="4" t="s">
        <v>428</v>
      </c>
      <c r="U675" s="4" t="s">
        <v>139</v>
      </c>
      <c r="V675" s="4" t="s">
        <v>427</v>
      </c>
      <c r="W675" s="4" t="s">
        <v>428</v>
      </c>
      <c r="Y675" s="4" t="s">
        <v>2277</v>
      </c>
      <c r="Z675" s="4" t="s">
        <v>2293</v>
      </c>
      <c r="AD675" s="3" t="s">
        <v>1704</v>
      </c>
      <c r="AE675" s="3">
        <v>1000</v>
      </c>
      <c r="AI675" s="4" t="s">
        <v>2281</v>
      </c>
      <c r="AJ675" s="4" t="s">
        <v>2298</v>
      </c>
      <c r="AK675" s="3" t="s">
        <v>286</v>
      </c>
      <c r="AL675" s="4">
        <v>141591</v>
      </c>
      <c r="AM675" s="5">
        <v>237000</v>
      </c>
      <c r="AN675" s="4" t="s">
        <v>2282</v>
      </c>
      <c r="AO675" s="4">
        <v>96</v>
      </c>
      <c r="AP675" s="4">
        <v>80120000</v>
      </c>
    </row>
    <row r="676" spans="1:42" x14ac:dyDescent="0.25">
      <c r="A676" s="3">
        <v>4604362</v>
      </c>
      <c r="B676" s="3" t="s">
        <v>2345</v>
      </c>
      <c r="C676" s="3" t="s">
        <v>2342</v>
      </c>
      <c r="D676" s="3">
        <v>10004141</v>
      </c>
      <c r="E676" s="4">
        <v>4533713</v>
      </c>
      <c r="F676" s="3" t="s">
        <v>49</v>
      </c>
      <c r="G676" s="4" t="s">
        <v>2300</v>
      </c>
      <c r="H676" s="4" t="s">
        <v>2301</v>
      </c>
      <c r="I676" s="5">
        <v>45000</v>
      </c>
      <c r="J676" s="3" t="s">
        <v>2345</v>
      </c>
      <c r="K676" s="3" t="s">
        <v>832</v>
      </c>
      <c r="L676" s="3" t="s">
        <v>1046</v>
      </c>
      <c r="M676" s="4" t="s">
        <v>2346</v>
      </c>
      <c r="N676" s="3" t="s">
        <v>25</v>
      </c>
      <c r="O676" s="3" t="s">
        <v>139</v>
      </c>
      <c r="P676" s="4" t="s">
        <v>282</v>
      </c>
      <c r="Q676" s="3" t="s">
        <v>139</v>
      </c>
      <c r="R676" s="3" t="s">
        <v>427</v>
      </c>
      <c r="S676" s="4" t="s">
        <v>428</v>
      </c>
      <c r="U676" s="4" t="s">
        <v>139</v>
      </c>
      <c r="V676" s="4" t="s">
        <v>427</v>
      </c>
      <c r="W676" s="4" t="s">
        <v>428</v>
      </c>
      <c r="Y676" s="4" t="s">
        <v>2286</v>
      </c>
      <c r="Z676" s="4" t="s">
        <v>2293</v>
      </c>
      <c r="AD676" s="3" t="s">
        <v>2228</v>
      </c>
      <c r="AE676" s="3">
        <v>1000</v>
      </c>
      <c r="AI676" s="4" t="s">
        <v>2288</v>
      </c>
      <c r="AJ676" s="4" t="s">
        <v>2298</v>
      </c>
      <c r="AK676" s="3" t="s">
        <v>286</v>
      </c>
      <c r="AL676" s="4">
        <v>30080</v>
      </c>
      <c r="AM676" s="5">
        <v>45000</v>
      </c>
      <c r="AN676" s="4" t="s">
        <v>2282</v>
      </c>
      <c r="AO676" s="4">
        <v>99</v>
      </c>
      <c r="AP676" s="4">
        <v>80120000</v>
      </c>
    </row>
    <row r="677" spans="1:42" x14ac:dyDescent="0.25">
      <c r="A677" s="3">
        <v>4604367</v>
      </c>
      <c r="B677" s="3" t="s">
        <v>2347</v>
      </c>
      <c r="C677" s="3" t="s">
        <v>2342</v>
      </c>
      <c r="D677" s="3">
        <v>10004152</v>
      </c>
      <c r="E677" s="4">
        <v>4533718</v>
      </c>
      <c r="F677" s="3" t="s">
        <v>49</v>
      </c>
      <c r="G677" s="4" t="s">
        <v>2300</v>
      </c>
      <c r="H677" s="4" t="s">
        <v>2301</v>
      </c>
      <c r="I677" s="5">
        <v>20000</v>
      </c>
      <c r="J677" s="3" t="s">
        <v>2348</v>
      </c>
      <c r="K677" s="3" t="s">
        <v>807</v>
      </c>
      <c r="L677" s="3" t="s">
        <v>1046</v>
      </c>
      <c r="M677" s="4" t="s">
        <v>2349</v>
      </c>
      <c r="N677" s="3" t="s">
        <v>25</v>
      </c>
      <c r="O677" s="3" t="s">
        <v>139</v>
      </c>
      <c r="P677" s="4" t="s">
        <v>282</v>
      </c>
      <c r="Q677" s="3" t="s">
        <v>139</v>
      </c>
      <c r="R677" s="3" t="s">
        <v>427</v>
      </c>
      <c r="S677" s="4" t="s">
        <v>428</v>
      </c>
      <c r="U677" s="4" t="s">
        <v>139</v>
      </c>
      <c r="V677" s="4" t="s">
        <v>427</v>
      </c>
      <c r="W677" s="4" t="s">
        <v>428</v>
      </c>
      <c r="Y677" s="4" t="s">
        <v>2277</v>
      </c>
      <c r="Z677" s="4" t="s">
        <v>2293</v>
      </c>
      <c r="AD677" s="3" t="s">
        <v>768</v>
      </c>
      <c r="AE677" s="3">
        <v>1000</v>
      </c>
      <c r="AI677" s="4" t="s">
        <v>2281</v>
      </c>
      <c r="AJ677" s="4" t="s">
        <v>2298</v>
      </c>
      <c r="AK677" s="3" t="s">
        <v>286</v>
      </c>
      <c r="AL677" s="4">
        <v>30080</v>
      </c>
      <c r="AM677" s="5">
        <v>20000</v>
      </c>
      <c r="AN677" s="4" t="s">
        <v>2282</v>
      </c>
      <c r="AO677" s="4">
        <v>99</v>
      </c>
      <c r="AP677" s="4">
        <v>80120000</v>
      </c>
    </row>
    <row r="678" spans="1:42" x14ac:dyDescent="0.25">
      <c r="A678" s="3">
        <v>4604369</v>
      </c>
      <c r="B678" s="3" t="s">
        <v>928</v>
      </c>
      <c r="C678" s="3" t="s">
        <v>2342</v>
      </c>
      <c r="D678" s="3">
        <v>10004154</v>
      </c>
      <c r="E678" s="4">
        <v>4533720</v>
      </c>
      <c r="F678" s="3" t="s">
        <v>49</v>
      </c>
      <c r="G678" s="4" t="s">
        <v>2290</v>
      </c>
      <c r="H678" s="4" t="s">
        <v>2301</v>
      </c>
      <c r="I678" s="5">
        <v>16378</v>
      </c>
      <c r="J678" s="3" t="s">
        <v>928</v>
      </c>
      <c r="K678" s="3" t="s">
        <v>1194</v>
      </c>
      <c r="L678" s="3" t="s">
        <v>1046</v>
      </c>
      <c r="M678" s="4" t="s">
        <v>2350</v>
      </c>
      <c r="N678" s="3" t="s">
        <v>25</v>
      </c>
      <c r="O678" s="3" t="s">
        <v>139</v>
      </c>
      <c r="P678" s="4" t="s">
        <v>282</v>
      </c>
      <c r="Q678" s="3" t="s">
        <v>139</v>
      </c>
      <c r="R678" s="3" t="s">
        <v>215</v>
      </c>
      <c r="S678" s="4" t="s">
        <v>216</v>
      </c>
      <c r="U678" s="4" t="s">
        <v>139</v>
      </c>
      <c r="V678" s="4" t="s">
        <v>427</v>
      </c>
      <c r="W678" s="4" t="s">
        <v>428</v>
      </c>
      <c r="Y678" s="4" t="s">
        <v>2277</v>
      </c>
      <c r="Z678" s="4" t="s">
        <v>2293</v>
      </c>
      <c r="AD678" s="3" t="s">
        <v>1613</v>
      </c>
      <c r="AE678" s="3">
        <v>1000</v>
      </c>
      <c r="AI678" s="4" t="s">
        <v>2281</v>
      </c>
      <c r="AJ678" s="4" t="s">
        <v>2298</v>
      </c>
      <c r="AK678" s="3" t="s">
        <v>286</v>
      </c>
      <c r="AL678" s="4">
        <v>140444</v>
      </c>
      <c r="AM678" s="5">
        <v>16378</v>
      </c>
      <c r="AN678" s="4" t="s">
        <v>2282</v>
      </c>
      <c r="AO678" s="4">
        <v>99</v>
      </c>
      <c r="AP678" s="4">
        <v>80120000</v>
      </c>
    </row>
    <row r="679" spans="1:42" x14ac:dyDescent="0.25">
      <c r="A679" s="3">
        <v>4604413</v>
      </c>
      <c r="B679" s="3" t="s">
        <v>2351</v>
      </c>
      <c r="C679" s="3" t="s">
        <v>2342</v>
      </c>
      <c r="D679" s="3">
        <v>10004199</v>
      </c>
      <c r="E679" s="4">
        <v>4533764</v>
      </c>
      <c r="F679" s="3" t="s">
        <v>49</v>
      </c>
      <c r="G679" s="4" t="s">
        <v>2352</v>
      </c>
      <c r="H679" s="4" t="s">
        <v>2353</v>
      </c>
      <c r="I679" s="5">
        <v>55000</v>
      </c>
      <c r="J679" s="3" t="s">
        <v>2351</v>
      </c>
      <c r="K679" s="3" t="s">
        <v>832</v>
      </c>
      <c r="L679" s="3" t="s">
        <v>1046</v>
      </c>
      <c r="M679" s="4" t="s">
        <v>2354</v>
      </c>
      <c r="N679" s="3" t="s">
        <v>25</v>
      </c>
      <c r="O679" s="3" t="s">
        <v>139</v>
      </c>
      <c r="P679" s="4" t="s">
        <v>282</v>
      </c>
      <c r="Q679" s="3" t="s">
        <v>139</v>
      </c>
      <c r="R679" s="3" t="s">
        <v>427</v>
      </c>
      <c r="S679" s="4" t="s">
        <v>428</v>
      </c>
      <c r="U679" s="4" t="s">
        <v>139</v>
      </c>
      <c r="V679" s="4" t="s">
        <v>427</v>
      </c>
      <c r="W679" s="4" t="s">
        <v>428</v>
      </c>
      <c r="Y679" s="4" t="s">
        <v>2286</v>
      </c>
      <c r="Z679" s="4" t="s">
        <v>2293</v>
      </c>
      <c r="AD679" s="3" t="s">
        <v>2228</v>
      </c>
      <c r="AE679" s="3">
        <v>1000</v>
      </c>
      <c r="AI679" s="4" t="s">
        <v>2288</v>
      </c>
      <c r="AJ679" s="4" t="s">
        <v>2298</v>
      </c>
      <c r="AK679" s="3" t="s">
        <v>286</v>
      </c>
      <c r="AL679" s="4">
        <v>44024</v>
      </c>
      <c r="AM679" s="5">
        <v>55000</v>
      </c>
      <c r="AN679" s="4" t="s">
        <v>2282</v>
      </c>
      <c r="AO679" s="4">
        <v>99</v>
      </c>
      <c r="AP679" s="4">
        <v>80120000</v>
      </c>
    </row>
    <row r="680" spans="1:42" x14ac:dyDescent="0.25">
      <c r="A680" s="3">
        <v>4604429</v>
      </c>
      <c r="B680" s="3" t="s">
        <v>2355</v>
      </c>
      <c r="C680" s="3" t="s">
        <v>2342</v>
      </c>
      <c r="D680" s="3">
        <v>10004220</v>
      </c>
      <c r="E680" s="4">
        <v>4533780</v>
      </c>
      <c r="F680" s="3" t="s">
        <v>49</v>
      </c>
      <c r="G680" s="4" t="s">
        <v>1672</v>
      </c>
      <c r="I680" s="5">
        <v>7700</v>
      </c>
      <c r="J680" s="3" t="s">
        <v>2355</v>
      </c>
      <c r="K680" s="3" t="s">
        <v>77</v>
      </c>
      <c r="L680" s="3" t="s">
        <v>1046</v>
      </c>
      <c r="M680" s="4" t="s">
        <v>2356</v>
      </c>
      <c r="N680" s="3" t="s">
        <v>25</v>
      </c>
      <c r="O680" s="3" t="s">
        <v>139</v>
      </c>
      <c r="P680" s="4" t="s">
        <v>2207</v>
      </c>
      <c r="Y680" s="4" t="s">
        <v>2286</v>
      </c>
      <c r="Z680" s="4" t="s">
        <v>2293</v>
      </c>
      <c r="AD680" s="3" t="s">
        <v>774</v>
      </c>
      <c r="AE680" s="3">
        <v>1000</v>
      </c>
      <c r="AI680" s="4" t="s">
        <v>2288</v>
      </c>
      <c r="AJ680" s="4" t="s">
        <v>2298</v>
      </c>
      <c r="AK680" s="3" t="s">
        <v>2210</v>
      </c>
      <c r="AL680" s="4">
        <v>30068</v>
      </c>
      <c r="AM680" s="5">
        <v>7700</v>
      </c>
      <c r="AN680" s="4" t="s">
        <v>2282</v>
      </c>
    </row>
    <row r="681" spans="1:42" x14ac:dyDescent="0.25">
      <c r="A681" s="3">
        <v>4604436</v>
      </c>
      <c r="B681" s="3" t="s">
        <v>2357</v>
      </c>
      <c r="C681" s="3" t="s">
        <v>2342</v>
      </c>
      <c r="D681" s="3">
        <v>10004227</v>
      </c>
      <c r="E681" s="4">
        <v>4533787</v>
      </c>
      <c r="F681" s="3" t="s">
        <v>49</v>
      </c>
      <c r="G681" s="4" t="s">
        <v>2300</v>
      </c>
      <c r="I681" s="5">
        <v>9350</v>
      </c>
      <c r="J681" s="3" t="s">
        <v>2357</v>
      </c>
      <c r="K681" s="3" t="s">
        <v>807</v>
      </c>
      <c r="L681" s="3" t="s">
        <v>1046</v>
      </c>
      <c r="M681" s="4" t="s">
        <v>2358</v>
      </c>
      <c r="N681" s="3" t="s">
        <v>25</v>
      </c>
      <c r="O681" s="3" t="s">
        <v>139</v>
      </c>
      <c r="P681" s="4" t="s">
        <v>282</v>
      </c>
      <c r="Y681" s="4" t="s">
        <v>2292</v>
      </c>
      <c r="Z681" s="4" t="s">
        <v>2293</v>
      </c>
      <c r="AD681" s="3" t="s">
        <v>1691</v>
      </c>
      <c r="AE681" s="3">
        <v>1000</v>
      </c>
      <c r="AI681" s="4" t="s">
        <v>2297</v>
      </c>
      <c r="AJ681" s="4" t="s">
        <v>2298</v>
      </c>
      <c r="AK681" s="3" t="s">
        <v>286</v>
      </c>
      <c r="AL681" s="4">
        <v>30080</v>
      </c>
      <c r="AM681" s="5">
        <v>9350</v>
      </c>
      <c r="AN681" s="4" t="s">
        <v>2282</v>
      </c>
    </row>
    <row r="682" spans="1:42" x14ac:dyDescent="0.25">
      <c r="A682" s="3">
        <v>4604444</v>
      </c>
      <c r="B682" s="3" t="s">
        <v>2359</v>
      </c>
      <c r="C682" s="3" t="s">
        <v>2342</v>
      </c>
      <c r="D682" s="3">
        <v>10004239</v>
      </c>
      <c r="E682" s="4">
        <v>4533795</v>
      </c>
      <c r="F682" s="3" t="s">
        <v>49</v>
      </c>
      <c r="G682" s="4" t="s">
        <v>2300</v>
      </c>
      <c r="I682" s="5">
        <v>5500</v>
      </c>
      <c r="J682" s="3" t="s">
        <v>2359</v>
      </c>
      <c r="K682" s="3" t="s">
        <v>807</v>
      </c>
      <c r="L682" s="3" t="s">
        <v>1046</v>
      </c>
      <c r="M682" s="4" t="s">
        <v>2360</v>
      </c>
      <c r="N682" s="3" t="s">
        <v>25</v>
      </c>
      <c r="O682" s="3" t="s">
        <v>139</v>
      </c>
      <c r="P682" s="4" t="s">
        <v>2207</v>
      </c>
      <c r="Y682" s="4" t="s">
        <v>2292</v>
      </c>
      <c r="Z682" s="4" t="s">
        <v>2293</v>
      </c>
      <c r="AD682" s="3" t="s">
        <v>2228</v>
      </c>
      <c r="AE682" s="3">
        <v>1000</v>
      </c>
      <c r="AI682" s="4" t="s">
        <v>2297</v>
      </c>
      <c r="AJ682" s="4" t="s">
        <v>2298</v>
      </c>
      <c r="AK682" s="3" t="s">
        <v>2210</v>
      </c>
      <c r="AL682" s="4">
        <v>30080</v>
      </c>
      <c r="AM682" s="5">
        <v>5500</v>
      </c>
      <c r="AN682" s="4" t="s">
        <v>2282</v>
      </c>
    </row>
    <row r="683" spans="1:42" x14ac:dyDescent="0.25">
      <c r="A683" s="3">
        <v>4604490</v>
      </c>
      <c r="B683" s="3" t="s">
        <v>896</v>
      </c>
      <c r="C683" s="3" t="s">
        <v>2342</v>
      </c>
      <c r="D683" s="3">
        <v>10004279</v>
      </c>
      <c r="E683" s="4">
        <v>4533841</v>
      </c>
      <c r="F683" s="3" t="s">
        <v>49</v>
      </c>
      <c r="G683" s="4" t="s">
        <v>2300</v>
      </c>
      <c r="H683" s="4" t="s">
        <v>2301</v>
      </c>
      <c r="I683" s="5">
        <v>149050</v>
      </c>
      <c r="J683" s="3" t="s">
        <v>744</v>
      </c>
      <c r="K683" s="3" t="s">
        <v>832</v>
      </c>
      <c r="L683" s="3" t="s">
        <v>1046</v>
      </c>
      <c r="M683" s="4" t="s">
        <v>2361</v>
      </c>
      <c r="N683" s="3" t="s">
        <v>25</v>
      </c>
      <c r="Q683" s="3" t="s">
        <v>139</v>
      </c>
      <c r="R683" s="3" t="s">
        <v>215</v>
      </c>
      <c r="S683" s="4" t="s">
        <v>216</v>
      </c>
      <c r="U683" s="4" t="s">
        <v>139</v>
      </c>
      <c r="V683" s="4" t="s">
        <v>427</v>
      </c>
      <c r="W683" s="4" t="s">
        <v>428</v>
      </c>
      <c r="Y683" s="4" t="s">
        <v>2277</v>
      </c>
      <c r="Z683" s="4" t="s">
        <v>2293</v>
      </c>
      <c r="AD683" s="3" t="s">
        <v>2228</v>
      </c>
      <c r="AE683" s="3">
        <v>1000</v>
      </c>
      <c r="AI683" s="4" t="s">
        <v>2281</v>
      </c>
      <c r="AJ683" s="4" t="s">
        <v>2298</v>
      </c>
      <c r="AL683" s="4">
        <v>30080</v>
      </c>
      <c r="AM683" s="5">
        <v>149050</v>
      </c>
      <c r="AN683" s="4" t="s">
        <v>2282</v>
      </c>
      <c r="AO683" s="4">
        <v>98</v>
      </c>
      <c r="AP683" s="4">
        <v>80120000</v>
      </c>
    </row>
    <row r="684" spans="1:42" x14ac:dyDescent="0.25">
      <c r="A684" s="3">
        <v>4604492</v>
      </c>
      <c r="B684" s="3" t="s">
        <v>2362</v>
      </c>
      <c r="C684" s="3" t="s">
        <v>2342</v>
      </c>
      <c r="D684" s="3">
        <v>10004279</v>
      </c>
      <c r="E684" s="4">
        <v>4533843</v>
      </c>
      <c r="F684" s="3" t="s">
        <v>49</v>
      </c>
      <c r="G684" s="4" t="s">
        <v>2300</v>
      </c>
      <c r="H684" s="4" t="s">
        <v>2301</v>
      </c>
      <c r="I684" s="5">
        <v>53000</v>
      </c>
      <c r="J684" s="3" t="s">
        <v>1110</v>
      </c>
      <c r="K684" s="3" t="s">
        <v>214</v>
      </c>
      <c r="L684" s="3" t="s">
        <v>1046</v>
      </c>
      <c r="M684" s="4" t="s">
        <v>2363</v>
      </c>
      <c r="N684" s="3" t="s">
        <v>25</v>
      </c>
      <c r="Q684" s="3" t="s">
        <v>139</v>
      </c>
      <c r="R684" s="3" t="s">
        <v>215</v>
      </c>
      <c r="S684" s="4" t="s">
        <v>216</v>
      </c>
      <c r="U684" s="4" t="s">
        <v>139</v>
      </c>
      <c r="V684" s="4" t="s">
        <v>427</v>
      </c>
      <c r="W684" s="4" t="s">
        <v>428</v>
      </c>
      <c r="Y684" s="4" t="s">
        <v>2277</v>
      </c>
      <c r="Z684" s="4" t="s">
        <v>2293</v>
      </c>
      <c r="AD684" s="3" t="s">
        <v>774</v>
      </c>
      <c r="AE684" s="3">
        <v>1000</v>
      </c>
      <c r="AI684" s="4" t="s">
        <v>2281</v>
      </c>
      <c r="AJ684" s="4" t="s">
        <v>2298</v>
      </c>
      <c r="AL684" s="4">
        <v>30080</v>
      </c>
      <c r="AM684" s="5">
        <v>53000</v>
      </c>
      <c r="AN684" s="4" t="s">
        <v>2282</v>
      </c>
      <c r="AO684" s="4">
        <v>99</v>
      </c>
      <c r="AP684" s="4">
        <v>80120000</v>
      </c>
    </row>
    <row r="685" spans="1:42" x14ac:dyDescent="0.25">
      <c r="A685" s="3">
        <v>4604494</v>
      </c>
      <c r="B685" s="3" t="s">
        <v>2362</v>
      </c>
      <c r="C685" s="3" t="s">
        <v>2342</v>
      </c>
      <c r="D685" s="3">
        <v>10004286</v>
      </c>
      <c r="E685" s="4">
        <v>4533845</v>
      </c>
      <c r="F685" s="3" t="s">
        <v>49</v>
      </c>
      <c r="G685" s="4" t="s">
        <v>2364</v>
      </c>
      <c r="H685" s="4" t="s">
        <v>2365</v>
      </c>
      <c r="I685" s="5">
        <v>302579.42</v>
      </c>
      <c r="J685" s="3" t="s">
        <v>2362</v>
      </c>
      <c r="K685" s="3" t="s">
        <v>77</v>
      </c>
      <c r="L685" s="3" t="s">
        <v>1046</v>
      </c>
      <c r="M685" s="4" t="s">
        <v>2366</v>
      </c>
      <c r="N685" s="3" t="s">
        <v>25</v>
      </c>
      <c r="O685" s="3" t="s">
        <v>139</v>
      </c>
      <c r="P685" s="4" t="s">
        <v>282</v>
      </c>
      <c r="U685" s="4" t="s">
        <v>139</v>
      </c>
      <c r="V685" s="4" t="s">
        <v>427</v>
      </c>
      <c r="W685" s="4" t="s">
        <v>428</v>
      </c>
      <c r="Y685" s="4" t="s">
        <v>2286</v>
      </c>
      <c r="Z685" s="4" t="s">
        <v>2293</v>
      </c>
      <c r="AD685" s="3" t="s">
        <v>494</v>
      </c>
      <c r="AE685" s="3">
        <v>1000</v>
      </c>
      <c r="AI685" s="4" t="s">
        <v>2288</v>
      </c>
      <c r="AJ685" s="4" t="s">
        <v>2298</v>
      </c>
      <c r="AK685" s="3" t="s">
        <v>286</v>
      </c>
      <c r="AL685" s="4">
        <v>141746</v>
      </c>
      <c r="AM685" s="5">
        <v>302579.42</v>
      </c>
      <c r="AN685" s="4" t="s">
        <v>2282</v>
      </c>
      <c r="AO685" s="4">
        <v>97</v>
      </c>
      <c r="AP685" s="4">
        <v>80120000</v>
      </c>
    </row>
    <row r="686" spans="1:42" x14ac:dyDescent="0.25">
      <c r="A686" s="3">
        <v>4604502</v>
      </c>
      <c r="B686" s="3" t="s">
        <v>748</v>
      </c>
      <c r="C686" s="3" t="s">
        <v>2342</v>
      </c>
      <c r="D686" s="3">
        <v>10004294</v>
      </c>
      <c r="E686" s="4">
        <v>4533853</v>
      </c>
      <c r="F686" s="3" t="s">
        <v>49</v>
      </c>
      <c r="G686" s="4" t="s">
        <v>2367</v>
      </c>
      <c r="H686" s="4" t="s">
        <v>2301</v>
      </c>
      <c r="I686" s="5">
        <v>67648</v>
      </c>
      <c r="J686" s="3" t="s">
        <v>748</v>
      </c>
      <c r="K686" s="3" t="s">
        <v>77</v>
      </c>
      <c r="L686" s="3" t="s">
        <v>1046</v>
      </c>
      <c r="M686" s="4" t="s">
        <v>2368</v>
      </c>
      <c r="N686" s="3" t="s">
        <v>25</v>
      </c>
      <c r="O686" s="3" t="s">
        <v>139</v>
      </c>
      <c r="P686" s="4" t="s">
        <v>282</v>
      </c>
      <c r="U686" s="4" t="s">
        <v>139</v>
      </c>
      <c r="V686" s="4" t="s">
        <v>427</v>
      </c>
      <c r="W686" s="4" t="s">
        <v>428</v>
      </c>
      <c r="Y686" s="4" t="s">
        <v>2286</v>
      </c>
      <c r="Z686" s="4" t="s">
        <v>2293</v>
      </c>
      <c r="AD686" s="3" t="s">
        <v>486</v>
      </c>
      <c r="AE686" s="3">
        <v>1000</v>
      </c>
      <c r="AI686" s="4" t="s">
        <v>2288</v>
      </c>
      <c r="AJ686" s="4" t="s">
        <v>2298</v>
      </c>
      <c r="AK686" s="3" t="s">
        <v>286</v>
      </c>
      <c r="AL686" s="4">
        <v>49623</v>
      </c>
      <c r="AM686" s="5">
        <v>67648</v>
      </c>
      <c r="AN686" s="4" t="s">
        <v>2282</v>
      </c>
      <c r="AO686" s="4">
        <v>98</v>
      </c>
      <c r="AP686" s="4">
        <v>80120000</v>
      </c>
    </row>
    <row r="687" spans="1:42" x14ac:dyDescent="0.25">
      <c r="A687" s="3">
        <v>4604531</v>
      </c>
      <c r="B687" s="3" t="s">
        <v>896</v>
      </c>
      <c r="C687" s="3" t="s">
        <v>2342</v>
      </c>
      <c r="D687" s="3">
        <v>10004321</v>
      </c>
      <c r="E687" s="4">
        <v>4533882</v>
      </c>
      <c r="F687" s="3" t="s">
        <v>49</v>
      </c>
      <c r="G687" s="4" t="s">
        <v>2300</v>
      </c>
      <c r="H687" s="4" t="s">
        <v>2369</v>
      </c>
      <c r="I687" s="5">
        <v>75000</v>
      </c>
      <c r="J687" s="3" t="s">
        <v>896</v>
      </c>
      <c r="K687" s="3" t="s">
        <v>807</v>
      </c>
      <c r="L687" s="3" t="s">
        <v>1046</v>
      </c>
      <c r="M687" s="4" t="s">
        <v>2370</v>
      </c>
      <c r="N687" s="3" t="s">
        <v>25</v>
      </c>
      <c r="O687" s="3" t="s">
        <v>139</v>
      </c>
      <c r="P687" s="4" t="s">
        <v>282</v>
      </c>
      <c r="Q687" s="3" t="s">
        <v>139</v>
      </c>
      <c r="R687" s="3" t="s">
        <v>215</v>
      </c>
      <c r="S687" s="4" t="s">
        <v>216</v>
      </c>
      <c r="U687" s="4" t="s">
        <v>139</v>
      </c>
      <c r="V687" s="4" t="s">
        <v>427</v>
      </c>
      <c r="W687" s="4" t="s">
        <v>428</v>
      </c>
      <c r="Y687" s="4" t="s">
        <v>2277</v>
      </c>
      <c r="Z687" s="4" t="s">
        <v>2293</v>
      </c>
      <c r="AD687" s="3" t="s">
        <v>774</v>
      </c>
      <c r="AE687" s="3">
        <v>1000</v>
      </c>
      <c r="AI687" s="4" t="s">
        <v>2281</v>
      </c>
      <c r="AJ687" s="4" t="s">
        <v>2298</v>
      </c>
      <c r="AK687" s="3" t="s">
        <v>286</v>
      </c>
      <c r="AL687" s="4">
        <v>30080</v>
      </c>
      <c r="AM687" s="5">
        <v>75000</v>
      </c>
      <c r="AN687" s="4" t="s">
        <v>2282</v>
      </c>
      <c r="AO687" s="4">
        <v>99</v>
      </c>
      <c r="AP687" s="4">
        <v>80120000</v>
      </c>
    </row>
    <row r="688" spans="1:42" x14ac:dyDescent="0.25">
      <c r="A688" s="3">
        <v>4604577</v>
      </c>
      <c r="B688" s="3" t="s">
        <v>1110</v>
      </c>
      <c r="C688" s="3" t="s">
        <v>2342</v>
      </c>
      <c r="D688" s="3">
        <v>10004357</v>
      </c>
      <c r="E688" s="4">
        <v>4533928</v>
      </c>
      <c r="F688" s="3" t="s">
        <v>49</v>
      </c>
      <c r="G688" s="4" t="s">
        <v>2274</v>
      </c>
      <c r="H688" s="4" t="s">
        <v>2301</v>
      </c>
      <c r="I688" s="5">
        <v>195800</v>
      </c>
      <c r="J688" s="3" t="s">
        <v>1110</v>
      </c>
      <c r="K688" s="3" t="s">
        <v>807</v>
      </c>
      <c r="L688" s="3" t="s">
        <v>1046</v>
      </c>
      <c r="M688" s="4" t="s">
        <v>2371</v>
      </c>
      <c r="N688" s="3" t="s">
        <v>25</v>
      </c>
      <c r="O688" s="3" t="s">
        <v>139</v>
      </c>
      <c r="P688" s="4" t="s">
        <v>2207</v>
      </c>
      <c r="Q688" s="3" t="s">
        <v>139</v>
      </c>
      <c r="R688" s="3" t="s">
        <v>215</v>
      </c>
      <c r="S688" s="4" t="s">
        <v>216</v>
      </c>
      <c r="U688" s="4" t="s">
        <v>139</v>
      </c>
      <c r="V688" s="4" t="s">
        <v>427</v>
      </c>
      <c r="W688" s="4" t="s">
        <v>428</v>
      </c>
      <c r="Y688" s="4" t="s">
        <v>2293</v>
      </c>
      <c r="Z688" s="4" t="s">
        <v>2293</v>
      </c>
      <c r="AD688" s="3" t="s">
        <v>200</v>
      </c>
      <c r="AE688" s="3">
        <v>1000</v>
      </c>
      <c r="AI688" s="4" t="s">
        <v>2298</v>
      </c>
      <c r="AJ688" s="4" t="s">
        <v>2298</v>
      </c>
      <c r="AK688" s="3" t="s">
        <v>2210</v>
      </c>
      <c r="AL688" s="4">
        <v>48301</v>
      </c>
      <c r="AM688" s="5">
        <v>195800</v>
      </c>
      <c r="AN688" s="4" t="s">
        <v>2282</v>
      </c>
      <c r="AO688" s="4">
        <v>99</v>
      </c>
      <c r="AP688" s="4">
        <v>80120000</v>
      </c>
    </row>
    <row r="689" spans="1:42" x14ac:dyDescent="0.25">
      <c r="A689" s="3">
        <v>4604611</v>
      </c>
      <c r="B689" s="3" t="s">
        <v>76</v>
      </c>
      <c r="C689" s="3" t="s">
        <v>2342</v>
      </c>
      <c r="D689" s="3">
        <v>10004391</v>
      </c>
      <c r="E689" s="4">
        <v>4533962</v>
      </c>
      <c r="F689" s="3" t="s">
        <v>49</v>
      </c>
      <c r="G689" s="4" t="s">
        <v>2372</v>
      </c>
      <c r="H689" s="4" t="s">
        <v>2373</v>
      </c>
      <c r="I689" s="5">
        <v>82953</v>
      </c>
      <c r="J689" s="3" t="s">
        <v>76</v>
      </c>
      <c r="K689" s="3" t="s">
        <v>77</v>
      </c>
      <c r="L689" s="3" t="s">
        <v>196</v>
      </c>
      <c r="M689" s="4" t="s">
        <v>2374</v>
      </c>
      <c r="N689" s="3" t="s">
        <v>25</v>
      </c>
      <c r="Y689" s="4" t="s">
        <v>2293</v>
      </c>
      <c r="Z689" s="4" t="s">
        <v>2293</v>
      </c>
      <c r="AD689" s="3" t="s">
        <v>211</v>
      </c>
      <c r="AE689" s="3">
        <v>1000</v>
      </c>
      <c r="AI689" s="4" t="s">
        <v>2298</v>
      </c>
      <c r="AJ689" s="4" t="s">
        <v>2298</v>
      </c>
      <c r="AL689" s="4">
        <v>30353</v>
      </c>
      <c r="AM689" s="5">
        <v>82953</v>
      </c>
      <c r="AN689" s="4" t="s">
        <v>124</v>
      </c>
      <c r="AO689" s="4">
        <v>99</v>
      </c>
      <c r="AP689" s="4">
        <v>55110000</v>
      </c>
    </row>
    <row r="690" spans="1:42" x14ac:dyDescent="0.25">
      <c r="A690" s="3">
        <v>4604653</v>
      </c>
      <c r="B690" s="3" t="s">
        <v>214</v>
      </c>
      <c r="C690" s="3" t="s">
        <v>2342</v>
      </c>
      <c r="D690" s="3">
        <v>10004448</v>
      </c>
      <c r="E690" s="4">
        <v>4534004</v>
      </c>
      <c r="F690" s="3" t="s">
        <v>49</v>
      </c>
      <c r="G690" s="4" t="s">
        <v>2300</v>
      </c>
      <c r="I690" s="5">
        <v>5000</v>
      </c>
      <c r="J690" s="3" t="s">
        <v>214</v>
      </c>
      <c r="K690" s="3" t="s">
        <v>807</v>
      </c>
      <c r="L690" s="3" t="s">
        <v>1046</v>
      </c>
      <c r="M690" s="4" t="s">
        <v>2375</v>
      </c>
      <c r="N690" s="3" t="s">
        <v>25</v>
      </c>
      <c r="O690" s="3" t="s">
        <v>139</v>
      </c>
      <c r="P690" s="4" t="s">
        <v>282</v>
      </c>
      <c r="Y690" s="4" t="s">
        <v>2277</v>
      </c>
      <c r="Z690" s="4" t="s">
        <v>2293</v>
      </c>
      <c r="AD690" s="3" t="s">
        <v>2376</v>
      </c>
      <c r="AE690" s="3">
        <v>1000</v>
      </c>
      <c r="AI690" s="4" t="s">
        <v>2281</v>
      </c>
      <c r="AJ690" s="4" t="s">
        <v>2298</v>
      </c>
      <c r="AK690" s="3" t="s">
        <v>286</v>
      </c>
      <c r="AL690" s="4">
        <v>30080</v>
      </c>
      <c r="AM690" s="5">
        <v>5000</v>
      </c>
      <c r="AN690" s="4" t="s">
        <v>2282</v>
      </c>
    </row>
    <row r="691" spans="1:42" x14ac:dyDescent="0.25">
      <c r="A691" s="3">
        <v>4604654</v>
      </c>
      <c r="B691" s="3" t="s">
        <v>214</v>
      </c>
      <c r="C691" s="3" t="s">
        <v>2342</v>
      </c>
      <c r="D691" s="3">
        <v>10004449</v>
      </c>
      <c r="E691" s="4">
        <v>4534005</v>
      </c>
      <c r="F691" s="3" t="s">
        <v>49</v>
      </c>
      <c r="G691" s="4" t="s">
        <v>2300</v>
      </c>
      <c r="I691" s="5">
        <v>9000</v>
      </c>
      <c r="J691" s="3" t="s">
        <v>214</v>
      </c>
      <c r="K691" s="3" t="s">
        <v>807</v>
      </c>
      <c r="L691" s="3" t="s">
        <v>1046</v>
      </c>
      <c r="M691" s="4" t="s">
        <v>2377</v>
      </c>
      <c r="N691" s="3" t="s">
        <v>25</v>
      </c>
      <c r="O691" s="3" t="s">
        <v>139</v>
      </c>
      <c r="P691" s="4" t="s">
        <v>282</v>
      </c>
      <c r="Y691" s="4" t="s">
        <v>2277</v>
      </c>
      <c r="Z691" s="4" t="s">
        <v>2293</v>
      </c>
      <c r="AD691" s="3" t="s">
        <v>2378</v>
      </c>
      <c r="AE691" s="3">
        <v>1000</v>
      </c>
      <c r="AI691" s="4" t="s">
        <v>2281</v>
      </c>
      <c r="AJ691" s="4" t="s">
        <v>2298</v>
      </c>
      <c r="AK691" s="3" t="s">
        <v>286</v>
      </c>
      <c r="AL691" s="4">
        <v>30080</v>
      </c>
      <c r="AM691" s="5">
        <v>9000</v>
      </c>
      <c r="AN691" s="4" t="s">
        <v>2282</v>
      </c>
    </row>
    <row r="692" spans="1:42" x14ac:dyDescent="0.25">
      <c r="A692" s="3">
        <v>4604655</v>
      </c>
      <c r="B692" s="3" t="s">
        <v>2379</v>
      </c>
      <c r="C692" s="3" t="s">
        <v>2342</v>
      </c>
      <c r="D692" s="3">
        <v>10004450</v>
      </c>
      <c r="E692" s="4">
        <v>4534006</v>
      </c>
      <c r="F692" s="3" t="s">
        <v>49</v>
      </c>
      <c r="G692" s="4" t="s">
        <v>2300</v>
      </c>
      <c r="H692" s="4" t="s">
        <v>2380</v>
      </c>
      <c r="I692" s="5">
        <v>25824.2</v>
      </c>
      <c r="J692" s="3" t="s">
        <v>2379</v>
      </c>
      <c r="K692" s="3" t="s">
        <v>807</v>
      </c>
      <c r="L692" s="3" t="s">
        <v>1046</v>
      </c>
      <c r="M692" s="4" t="s">
        <v>2381</v>
      </c>
      <c r="N692" s="3" t="s">
        <v>25</v>
      </c>
      <c r="O692" s="3" t="s">
        <v>139</v>
      </c>
      <c r="P692" s="4" t="s">
        <v>282</v>
      </c>
      <c r="Q692" s="3" t="s">
        <v>139</v>
      </c>
      <c r="R692" s="3" t="s">
        <v>215</v>
      </c>
      <c r="S692" s="4" t="s">
        <v>216</v>
      </c>
      <c r="U692" s="4" t="s">
        <v>139</v>
      </c>
      <c r="V692" s="4" t="s">
        <v>427</v>
      </c>
      <c r="W692" s="4" t="s">
        <v>428</v>
      </c>
      <c r="Y692" s="4" t="s">
        <v>2277</v>
      </c>
      <c r="Z692" s="4" t="s">
        <v>2293</v>
      </c>
      <c r="AD692" s="3" t="s">
        <v>2097</v>
      </c>
      <c r="AE692" s="3">
        <v>1000</v>
      </c>
      <c r="AI692" s="4" t="s">
        <v>2281</v>
      </c>
      <c r="AJ692" s="4" t="s">
        <v>2298</v>
      </c>
      <c r="AK692" s="3" t="s">
        <v>286</v>
      </c>
      <c r="AL692" s="4">
        <v>30080</v>
      </c>
      <c r="AM692" s="5">
        <v>25824.2</v>
      </c>
      <c r="AN692" s="4" t="s">
        <v>2282</v>
      </c>
      <c r="AO692" s="4">
        <v>98</v>
      </c>
      <c r="AP692" s="4">
        <v>80120000</v>
      </c>
    </row>
    <row r="693" spans="1:42" x14ac:dyDescent="0.25">
      <c r="A693" s="3">
        <v>4604672</v>
      </c>
      <c r="B693" s="3" t="s">
        <v>1601</v>
      </c>
      <c r="C693" s="3" t="s">
        <v>2342</v>
      </c>
      <c r="D693" s="3">
        <v>10004462</v>
      </c>
      <c r="E693" s="4">
        <v>4534023</v>
      </c>
      <c r="F693" s="3" t="s">
        <v>49</v>
      </c>
      <c r="G693" s="4" t="s">
        <v>2372</v>
      </c>
      <c r="H693" s="4" t="s">
        <v>2382</v>
      </c>
      <c r="I693" s="5">
        <v>13500</v>
      </c>
      <c r="J693" s="3" t="s">
        <v>1601</v>
      </c>
      <c r="K693" s="3" t="s">
        <v>1608</v>
      </c>
      <c r="L693" s="3" t="s">
        <v>196</v>
      </c>
      <c r="M693" s="4" t="s">
        <v>2382</v>
      </c>
      <c r="N693" s="3" t="s">
        <v>25</v>
      </c>
      <c r="O693" s="3" t="s">
        <v>139</v>
      </c>
      <c r="P693" s="4" t="s">
        <v>282</v>
      </c>
      <c r="Y693" s="4" t="s">
        <v>2277</v>
      </c>
      <c r="Z693" s="4" t="s">
        <v>2293</v>
      </c>
      <c r="AD693" s="3" t="s">
        <v>1822</v>
      </c>
      <c r="AE693" s="3">
        <v>1000</v>
      </c>
      <c r="AI693" s="4" t="s">
        <v>2281</v>
      </c>
      <c r="AJ693" s="4" t="s">
        <v>2298</v>
      </c>
      <c r="AK693" s="3" t="s">
        <v>286</v>
      </c>
      <c r="AL693" s="4">
        <v>30353</v>
      </c>
      <c r="AM693" s="5">
        <v>13500</v>
      </c>
      <c r="AN693" s="4" t="s">
        <v>124</v>
      </c>
      <c r="AO693" s="4">
        <v>99</v>
      </c>
      <c r="AP693" s="4">
        <v>86000000</v>
      </c>
    </row>
    <row r="694" spans="1:42" x14ac:dyDescent="0.25">
      <c r="A694" s="3">
        <v>4604674</v>
      </c>
      <c r="B694" s="3" t="s">
        <v>191</v>
      </c>
      <c r="C694" s="3" t="s">
        <v>2342</v>
      </c>
      <c r="D694" s="3">
        <v>10004470</v>
      </c>
      <c r="E694" s="4">
        <v>4534025</v>
      </c>
      <c r="F694" s="3" t="s">
        <v>49</v>
      </c>
      <c r="G694" s="4" t="s">
        <v>2300</v>
      </c>
      <c r="I694" s="5">
        <v>8000</v>
      </c>
      <c r="J694" s="3" t="s">
        <v>191</v>
      </c>
      <c r="K694" s="3" t="s">
        <v>807</v>
      </c>
      <c r="L694" s="3" t="s">
        <v>1046</v>
      </c>
      <c r="M694" s="4" t="s">
        <v>2383</v>
      </c>
      <c r="N694" s="3" t="s">
        <v>25</v>
      </c>
      <c r="O694" s="3" t="s">
        <v>139</v>
      </c>
      <c r="P694" s="4" t="s">
        <v>282</v>
      </c>
      <c r="Y694" s="4" t="s">
        <v>2293</v>
      </c>
      <c r="Z694" s="4" t="s">
        <v>2293</v>
      </c>
      <c r="AD694" s="3" t="s">
        <v>1608</v>
      </c>
      <c r="AE694" s="3">
        <v>1000</v>
      </c>
      <c r="AI694" s="4" t="s">
        <v>2298</v>
      </c>
      <c r="AJ694" s="4" t="s">
        <v>2298</v>
      </c>
      <c r="AK694" s="3" t="s">
        <v>286</v>
      </c>
      <c r="AL694" s="4">
        <v>30080</v>
      </c>
      <c r="AM694" s="5">
        <v>8000</v>
      </c>
      <c r="AN694" s="4" t="s">
        <v>2282</v>
      </c>
    </row>
    <row r="695" spans="1:42" x14ac:dyDescent="0.25">
      <c r="A695" s="3">
        <v>4604676</v>
      </c>
      <c r="B695" s="3" t="s">
        <v>191</v>
      </c>
      <c r="C695" s="3" t="s">
        <v>2342</v>
      </c>
      <c r="D695" s="3">
        <v>10004473</v>
      </c>
      <c r="E695" s="4">
        <v>4534027</v>
      </c>
      <c r="F695" s="3" t="s">
        <v>49</v>
      </c>
      <c r="G695" s="4" t="s">
        <v>2300</v>
      </c>
      <c r="H695" s="4" t="s">
        <v>2301</v>
      </c>
      <c r="I695" s="5">
        <v>15000</v>
      </c>
      <c r="J695" s="3" t="s">
        <v>191</v>
      </c>
      <c r="K695" s="3" t="s">
        <v>807</v>
      </c>
      <c r="L695" s="3" t="s">
        <v>1046</v>
      </c>
      <c r="M695" s="4" t="s">
        <v>2384</v>
      </c>
      <c r="N695" s="3" t="s">
        <v>25</v>
      </c>
      <c r="O695" s="3" t="s">
        <v>139</v>
      </c>
      <c r="P695" s="4" t="s">
        <v>282</v>
      </c>
      <c r="Q695" s="3" t="s">
        <v>139</v>
      </c>
      <c r="R695" s="3" t="s">
        <v>215</v>
      </c>
      <c r="S695" s="4" t="s">
        <v>216</v>
      </c>
      <c r="U695" s="4" t="s">
        <v>139</v>
      </c>
      <c r="V695" s="4" t="s">
        <v>427</v>
      </c>
      <c r="W695" s="4" t="s">
        <v>428</v>
      </c>
      <c r="Y695" s="4" t="s">
        <v>2293</v>
      </c>
      <c r="Z695" s="4" t="s">
        <v>2293</v>
      </c>
      <c r="AD695" s="3" t="s">
        <v>1608</v>
      </c>
      <c r="AE695" s="3">
        <v>1000</v>
      </c>
      <c r="AI695" s="4" t="s">
        <v>2298</v>
      </c>
      <c r="AJ695" s="4" t="s">
        <v>2298</v>
      </c>
      <c r="AK695" s="3" t="s">
        <v>286</v>
      </c>
      <c r="AL695" s="4">
        <v>30080</v>
      </c>
      <c r="AM695" s="5">
        <v>15000</v>
      </c>
      <c r="AN695" s="4" t="s">
        <v>2282</v>
      </c>
      <c r="AO695" s="4">
        <v>99</v>
      </c>
      <c r="AP695" s="4">
        <v>80120000</v>
      </c>
    </row>
    <row r="696" spans="1:42" x14ac:dyDescent="0.25">
      <c r="A696" s="3">
        <v>4604698</v>
      </c>
      <c r="B696" s="3" t="s">
        <v>1587</v>
      </c>
      <c r="C696" s="3" t="s">
        <v>2342</v>
      </c>
      <c r="D696" s="3">
        <v>10004279</v>
      </c>
      <c r="E696" s="4">
        <v>4534049</v>
      </c>
      <c r="F696" s="3" t="s">
        <v>49</v>
      </c>
      <c r="G696" s="4" t="s">
        <v>2300</v>
      </c>
      <c r="H696" s="4" t="s">
        <v>2301</v>
      </c>
      <c r="I696" s="5">
        <v>65200</v>
      </c>
      <c r="J696" s="3" t="s">
        <v>1587</v>
      </c>
      <c r="K696" s="3" t="s">
        <v>395</v>
      </c>
      <c r="L696" s="3" t="s">
        <v>1046</v>
      </c>
      <c r="M696" s="4" t="s">
        <v>2385</v>
      </c>
      <c r="N696" s="3" t="s">
        <v>25</v>
      </c>
      <c r="Q696" s="3" t="s">
        <v>139</v>
      </c>
      <c r="R696" s="3" t="s">
        <v>215</v>
      </c>
      <c r="S696" s="4" t="s">
        <v>216</v>
      </c>
      <c r="U696" s="4" t="s">
        <v>139</v>
      </c>
      <c r="V696" s="4" t="s">
        <v>427</v>
      </c>
      <c r="W696" s="4" t="s">
        <v>428</v>
      </c>
      <c r="Y696" s="4" t="s">
        <v>2277</v>
      </c>
      <c r="Z696" s="4" t="s">
        <v>2386</v>
      </c>
      <c r="AD696" s="3" t="s">
        <v>291</v>
      </c>
      <c r="AE696" s="3">
        <v>1000</v>
      </c>
      <c r="AI696" s="4" t="s">
        <v>2281</v>
      </c>
      <c r="AJ696" s="4" t="s">
        <v>2387</v>
      </c>
      <c r="AL696" s="4">
        <v>30080</v>
      </c>
      <c r="AM696" s="5">
        <v>65200</v>
      </c>
      <c r="AN696" s="4" t="s">
        <v>2282</v>
      </c>
      <c r="AO696" s="4">
        <v>99</v>
      </c>
      <c r="AP696" s="4">
        <v>80120000</v>
      </c>
    </row>
    <row r="697" spans="1:42" x14ac:dyDescent="0.25">
      <c r="A697" s="3">
        <v>4604713</v>
      </c>
      <c r="B697" s="3" t="s">
        <v>1538</v>
      </c>
      <c r="C697" s="3" t="s">
        <v>2342</v>
      </c>
      <c r="D697" s="3">
        <v>10004509</v>
      </c>
      <c r="E697" s="4">
        <v>4534064</v>
      </c>
      <c r="F697" s="3" t="s">
        <v>49</v>
      </c>
      <c r="G697" s="4" t="s">
        <v>2300</v>
      </c>
      <c r="I697" s="5">
        <v>8000</v>
      </c>
      <c r="J697" s="3" t="s">
        <v>301</v>
      </c>
      <c r="K697" s="3" t="s">
        <v>404</v>
      </c>
      <c r="L697" s="3" t="s">
        <v>119</v>
      </c>
      <c r="M697" s="4" t="s">
        <v>2388</v>
      </c>
      <c r="N697" s="3" t="s">
        <v>56</v>
      </c>
      <c r="O697" s="3" t="s">
        <v>139</v>
      </c>
      <c r="P697" s="4" t="s">
        <v>282</v>
      </c>
      <c r="Y697" s="4" t="s">
        <v>2286</v>
      </c>
      <c r="Z697" s="4" t="s">
        <v>2286</v>
      </c>
      <c r="AD697" s="3" t="s">
        <v>301</v>
      </c>
      <c r="AE697" s="3">
        <v>1000</v>
      </c>
      <c r="AI697" s="4" t="s">
        <v>2288</v>
      </c>
      <c r="AJ697" s="4" t="s">
        <v>2288</v>
      </c>
      <c r="AK697" s="3" t="s">
        <v>286</v>
      </c>
      <c r="AL697" s="4">
        <v>30080</v>
      </c>
      <c r="AM697" s="5">
        <v>8000</v>
      </c>
      <c r="AN697" s="4" t="s">
        <v>2282</v>
      </c>
    </row>
    <row r="698" spans="1:42" x14ac:dyDescent="0.25">
      <c r="A698" s="3">
        <v>4604723</v>
      </c>
      <c r="B698" s="3" t="s">
        <v>1623</v>
      </c>
      <c r="C698" s="3" t="s">
        <v>2342</v>
      </c>
      <c r="D698" s="3">
        <v>10004515</v>
      </c>
      <c r="E698" s="4">
        <v>4534074</v>
      </c>
      <c r="F698" s="3" t="s">
        <v>49</v>
      </c>
      <c r="G698" s="4" t="s">
        <v>2389</v>
      </c>
      <c r="I698" s="5">
        <v>4000</v>
      </c>
      <c r="J698" s="3" t="s">
        <v>1623</v>
      </c>
      <c r="K698" s="3" t="s">
        <v>301</v>
      </c>
      <c r="L698" s="3" t="s">
        <v>1046</v>
      </c>
      <c r="M698" s="4" t="s">
        <v>2390</v>
      </c>
      <c r="N698" s="3" t="s">
        <v>25</v>
      </c>
      <c r="O698" s="3" t="s">
        <v>139</v>
      </c>
      <c r="P698" s="4" t="s">
        <v>282</v>
      </c>
      <c r="Y698" s="4" t="s">
        <v>2386</v>
      </c>
      <c r="Z698" s="4" t="s">
        <v>2386</v>
      </c>
      <c r="AD698" s="3" t="s">
        <v>324</v>
      </c>
      <c r="AE698" s="3">
        <v>1000</v>
      </c>
      <c r="AI698" s="4" t="s">
        <v>2387</v>
      </c>
      <c r="AJ698" s="4" t="s">
        <v>2387</v>
      </c>
      <c r="AK698" s="3" t="s">
        <v>286</v>
      </c>
      <c r="AL698" s="4">
        <v>141806</v>
      </c>
      <c r="AM698" s="5">
        <v>4000</v>
      </c>
      <c r="AN698" s="4" t="s">
        <v>2282</v>
      </c>
    </row>
    <row r="699" spans="1:42" x14ac:dyDescent="0.25">
      <c r="A699" s="3">
        <v>4604782</v>
      </c>
      <c r="B699" s="3" t="s">
        <v>391</v>
      </c>
      <c r="C699" s="3" t="s">
        <v>2342</v>
      </c>
      <c r="D699" s="3">
        <v>10004581</v>
      </c>
      <c r="E699" s="4">
        <v>4534133</v>
      </c>
      <c r="F699" s="3" t="s">
        <v>49</v>
      </c>
      <c r="G699" s="4" t="s">
        <v>2391</v>
      </c>
      <c r="H699" s="4" t="s">
        <v>2301</v>
      </c>
      <c r="I699" s="5">
        <v>100000</v>
      </c>
      <c r="J699" s="3" t="s">
        <v>832</v>
      </c>
      <c r="K699" s="3" t="s">
        <v>77</v>
      </c>
      <c r="L699" s="3" t="s">
        <v>1046</v>
      </c>
      <c r="M699" s="4" t="s">
        <v>2392</v>
      </c>
      <c r="N699" s="3" t="s">
        <v>25</v>
      </c>
      <c r="O699" s="3" t="s">
        <v>139</v>
      </c>
      <c r="P699" s="4" t="s">
        <v>282</v>
      </c>
      <c r="Q699" s="3" t="s">
        <v>139</v>
      </c>
      <c r="R699" s="3" t="s">
        <v>427</v>
      </c>
      <c r="S699" s="4" t="s">
        <v>428</v>
      </c>
      <c r="U699" s="4" t="s">
        <v>139</v>
      </c>
      <c r="V699" s="4" t="s">
        <v>427</v>
      </c>
      <c r="W699" s="4" t="s">
        <v>428</v>
      </c>
      <c r="Y699" s="4" t="s">
        <v>2386</v>
      </c>
      <c r="Z699" s="4" t="s">
        <v>2386</v>
      </c>
      <c r="AD699" s="3" t="s">
        <v>2378</v>
      </c>
      <c r="AE699" s="3">
        <v>1000</v>
      </c>
      <c r="AI699" s="4" t="s">
        <v>2387</v>
      </c>
      <c r="AJ699" s="4" t="s">
        <v>2387</v>
      </c>
      <c r="AK699" s="3" t="s">
        <v>286</v>
      </c>
      <c r="AL699" s="4">
        <v>49172</v>
      </c>
      <c r="AM699" s="5">
        <v>100000</v>
      </c>
      <c r="AN699" s="4" t="s">
        <v>2282</v>
      </c>
      <c r="AO699" s="4">
        <v>99</v>
      </c>
      <c r="AP699" s="4">
        <v>80120000</v>
      </c>
    </row>
    <row r="700" spans="1:42" x14ac:dyDescent="0.25">
      <c r="A700" s="3">
        <v>4604809</v>
      </c>
      <c r="B700" s="3" t="s">
        <v>1134</v>
      </c>
      <c r="C700" s="3" t="s">
        <v>2342</v>
      </c>
      <c r="D700" s="3">
        <v>10004609</v>
      </c>
      <c r="E700" s="4">
        <v>4534160</v>
      </c>
      <c r="F700" s="3" t="s">
        <v>49</v>
      </c>
      <c r="G700" s="4" t="s">
        <v>2300</v>
      </c>
      <c r="I700" s="5">
        <v>5634.75</v>
      </c>
      <c r="J700" s="3" t="s">
        <v>1134</v>
      </c>
      <c r="K700" s="3" t="s">
        <v>2378</v>
      </c>
      <c r="L700" s="3" t="s">
        <v>1046</v>
      </c>
      <c r="M700" s="4" t="s">
        <v>2393</v>
      </c>
      <c r="N700" s="3" t="s">
        <v>56</v>
      </c>
      <c r="O700" s="3" t="s">
        <v>139</v>
      </c>
      <c r="P700" s="4" t="s">
        <v>282</v>
      </c>
      <c r="Y700" s="4" t="s">
        <v>2394</v>
      </c>
      <c r="Z700" s="4" t="s">
        <v>2394</v>
      </c>
      <c r="AD700" s="3" t="s">
        <v>1964</v>
      </c>
      <c r="AE700" s="3">
        <v>1000</v>
      </c>
      <c r="AI700" s="4" t="s">
        <v>2395</v>
      </c>
      <c r="AJ700" s="4" t="s">
        <v>2395</v>
      </c>
      <c r="AK700" s="3" t="s">
        <v>286</v>
      </c>
      <c r="AL700" s="4">
        <v>30080</v>
      </c>
      <c r="AM700" s="5">
        <v>5634.75</v>
      </c>
      <c r="AN700" s="4" t="s">
        <v>2282</v>
      </c>
    </row>
    <row r="701" spans="1:42" x14ac:dyDescent="0.25">
      <c r="A701" s="3">
        <v>4604829</v>
      </c>
      <c r="B701" s="3" t="s">
        <v>287</v>
      </c>
      <c r="C701" s="3" t="s">
        <v>2342</v>
      </c>
      <c r="D701" s="3">
        <v>10004627</v>
      </c>
      <c r="E701" s="4">
        <v>4534180</v>
      </c>
      <c r="F701" s="3" t="s">
        <v>49</v>
      </c>
      <c r="G701" s="4" t="s">
        <v>481</v>
      </c>
      <c r="H701" s="4" t="s">
        <v>1317</v>
      </c>
      <c r="I701" s="5">
        <v>8529.6200000000008</v>
      </c>
      <c r="J701" s="3" t="s">
        <v>1130</v>
      </c>
      <c r="K701" s="3" t="s">
        <v>2396</v>
      </c>
      <c r="L701" s="3" t="s">
        <v>119</v>
      </c>
      <c r="M701" s="4" t="s">
        <v>1317</v>
      </c>
      <c r="N701" s="3" t="s">
        <v>56</v>
      </c>
      <c r="Y701" s="4" t="s">
        <v>2386</v>
      </c>
      <c r="Z701" s="4" t="s">
        <v>267</v>
      </c>
      <c r="AA701" s="4" t="s">
        <v>188</v>
      </c>
      <c r="AB701" s="3" t="s">
        <v>2397</v>
      </c>
      <c r="AC701" s="3" t="s">
        <v>190</v>
      </c>
      <c r="AD701" s="3" t="s">
        <v>77</v>
      </c>
      <c r="AE701" s="3">
        <v>1000</v>
      </c>
      <c r="AI701" s="4" t="s">
        <v>2387</v>
      </c>
      <c r="AJ701" s="4" t="s">
        <v>270</v>
      </c>
      <c r="AL701" s="4">
        <v>40741</v>
      </c>
      <c r="AM701" s="5">
        <v>8529.6200000000008</v>
      </c>
      <c r="AN701" s="4" t="s">
        <v>124</v>
      </c>
      <c r="AO701" s="4">
        <v>99</v>
      </c>
      <c r="AP701" s="4">
        <v>80111700</v>
      </c>
    </row>
    <row r="702" spans="1:42" x14ac:dyDescent="0.25">
      <c r="A702" s="3">
        <v>4604872</v>
      </c>
      <c r="B702" s="3" t="s">
        <v>1788</v>
      </c>
      <c r="C702" s="3" t="s">
        <v>2342</v>
      </c>
      <c r="D702" s="3">
        <v>10004691</v>
      </c>
      <c r="E702" s="4">
        <v>4534223</v>
      </c>
      <c r="F702" s="3" t="s">
        <v>49</v>
      </c>
      <c r="G702" s="4" t="s">
        <v>2398</v>
      </c>
      <c r="I702" s="5">
        <v>6600</v>
      </c>
      <c r="J702" s="3" t="s">
        <v>1788</v>
      </c>
      <c r="K702" s="3" t="s">
        <v>299</v>
      </c>
      <c r="L702" s="3" t="s">
        <v>1046</v>
      </c>
      <c r="M702" s="4" t="s">
        <v>2399</v>
      </c>
      <c r="N702" s="3" t="s">
        <v>25</v>
      </c>
      <c r="O702" s="3" t="s">
        <v>139</v>
      </c>
      <c r="P702" s="4" t="s">
        <v>282</v>
      </c>
      <c r="Y702" s="4" t="s">
        <v>2386</v>
      </c>
      <c r="Z702" s="4" t="s">
        <v>2386</v>
      </c>
      <c r="AD702" s="3" t="s">
        <v>486</v>
      </c>
      <c r="AE702" s="3">
        <v>1000</v>
      </c>
      <c r="AI702" s="4" t="s">
        <v>2387</v>
      </c>
      <c r="AJ702" s="4" t="s">
        <v>2387</v>
      </c>
      <c r="AK702" s="3" t="s">
        <v>286</v>
      </c>
      <c r="AL702" s="4">
        <v>47274</v>
      </c>
      <c r="AM702" s="5">
        <v>6600</v>
      </c>
      <c r="AN702" s="4" t="s">
        <v>2282</v>
      </c>
    </row>
    <row r="703" spans="1:42" x14ac:dyDescent="0.25">
      <c r="A703" s="3">
        <v>4604891</v>
      </c>
      <c r="B703" s="3" t="s">
        <v>455</v>
      </c>
      <c r="C703" s="3" t="s">
        <v>2342</v>
      </c>
      <c r="D703" s="3">
        <v>10004705</v>
      </c>
      <c r="E703" s="4">
        <v>4534242</v>
      </c>
      <c r="F703" s="3" t="s">
        <v>49</v>
      </c>
      <c r="G703" s="4" t="s">
        <v>2300</v>
      </c>
      <c r="H703" s="4" t="s">
        <v>2301</v>
      </c>
      <c r="I703" s="5">
        <v>7748.3</v>
      </c>
      <c r="J703" s="3" t="s">
        <v>455</v>
      </c>
      <c r="K703" s="3" t="s">
        <v>77</v>
      </c>
      <c r="L703" s="3" t="s">
        <v>1046</v>
      </c>
      <c r="M703" s="4" t="s">
        <v>2400</v>
      </c>
      <c r="N703" s="3" t="s">
        <v>25</v>
      </c>
      <c r="O703" s="3" t="s">
        <v>139</v>
      </c>
      <c r="P703" s="4" t="s">
        <v>282</v>
      </c>
      <c r="Q703" s="3" t="s">
        <v>139</v>
      </c>
      <c r="R703" s="3" t="s">
        <v>427</v>
      </c>
      <c r="S703" s="4" t="s">
        <v>428</v>
      </c>
      <c r="U703" s="4" t="s">
        <v>139</v>
      </c>
      <c r="V703" s="4" t="s">
        <v>427</v>
      </c>
      <c r="W703" s="4" t="s">
        <v>428</v>
      </c>
      <c r="Y703" s="4" t="s">
        <v>2277</v>
      </c>
      <c r="Z703" s="4" t="s">
        <v>2386</v>
      </c>
      <c r="AD703" s="3" t="s">
        <v>535</v>
      </c>
      <c r="AE703" s="3">
        <v>1000</v>
      </c>
      <c r="AI703" s="4" t="s">
        <v>2281</v>
      </c>
      <c r="AJ703" s="4" t="s">
        <v>2387</v>
      </c>
      <c r="AK703" s="3" t="s">
        <v>286</v>
      </c>
      <c r="AL703" s="4">
        <v>30080</v>
      </c>
      <c r="AM703" s="5">
        <v>7748.3</v>
      </c>
      <c r="AN703" s="4" t="s">
        <v>2282</v>
      </c>
      <c r="AO703" s="4">
        <v>99</v>
      </c>
      <c r="AP703" s="4">
        <v>80120000</v>
      </c>
    </row>
    <row r="704" spans="1:42" x14ac:dyDescent="0.25">
      <c r="A704" s="3">
        <v>4604901</v>
      </c>
      <c r="B704" s="3" t="s">
        <v>486</v>
      </c>
      <c r="C704" s="3" t="s">
        <v>2342</v>
      </c>
      <c r="D704" s="3">
        <v>10004720</v>
      </c>
      <c r="E704" s="4">
        <v>4534252</v>
      </c>
      <c r="F704" s="3" t="s">
        <v>49</v>
      </c>
      <c r="G704" s="4" t="s">
        <v>2364</v>
      </c>
      <c r="H704" s="4" t="s">
        <v>2301</v>
      </c>
      <c r="I704" s="5">
        <v>101000</v>
      </c>
      <c r="J704" s="3" t="s">
        <v>486</v>
      </c>
      <c r="K704" s="3" t="s">
        <v>77</v>
      </c>
      <c r="L704" s="3" t="s">
        <v>1046</v>
      </c>
      <c r="M704" s="4" t="s">
        <v>2401</v>
      </c>
      <c r="N704" s="3" t="s">
        <v>25</v>
      </c>
      <c r="O704" s="3" t="s">
        <v>139</v>
      </c>
      <c r="P704" s="4" t="s">
        <v>282</v>
      </c>
      <c r="Q704" s="3" t="s">
        <v>139</v>
      </c>
      <c r="R704" s="3" t="s">
        <v>427</v>
      </c>
      <c r="S704" s="4" t="s">
        <v>428</v>
      </c>
      <c r="U704" s="4" t="s">
        <v>139</v>
      </c>
      <c r="V704" s="4" t="s">
        <v>427</v>
      </c>
      <c r="W704" s="4" t="s">
        <v>428</v>
      </c>
      <c r="Y704" s="4" t="s">
        <v>2402</v>
      </c>
      <c r="Z704" s="4" t="s">
        <v>2386</v>
      </c>
      <c r="AD704" s="3" t="s">
        <v>534</v>
      </c>
      <c r="AE704" s="3">
        <v>1000</v>
      </c>
      <c r="AI704" s="4" t="s">
        <v>2403</v>
      </c>
      <c r="AJ704" s="4" t="s">
        <v>2387</v>
      </c>
      <c r="AK704" s="3" t="s">
        <v>286</v>
      </c>
      <c r="AL704" s="4">
        <v>141746</v>
      </c>
      <c r="AM704" s="5">
        <v>101000</v>
      </c>
      <c r="AN704" s="4" t="s">
        <v>2282</v>
      </c>
      <c r="AO704" s="4">
        <v>99</v>
      </c>
      <c r="AP704" s="4">
        <v>80120000</v>
      </c>
    </row>
    <row r="705" spans="1:42" x14ac:dyDescent="0.25">
      <c r="A705" s="3">
        <v>4604926</v>
      </c>
      <c r="B705" s="3" t="s">
        <v>510</v>
      </c>
      <c r="C705" s="3" t="s">
        <v>2342</v>
      </c>
      <c r="D705" s="3">
        <v>10004746</v>
      </c>
      <c r="E705" s="4">
        <v>4534277</v>
      </c>
      <c r="F705" s="3" t="s">
        <v>49</v>
      </c>
      <c r="G705" s="4" t="s">
        <v>2300</v>
      </c>
      <c r="H705" s="4" t="s">
        <v>2404</v>
      </c>
      <c r="I705" s="5">
        <v>15400</v>
      </c>
      <c r="J705" s="3" t="s">
        <v>510</v>
      </c>
      <c r="K705" s="3" t="s">
        <v>439</v>
      </c>
      <c r="L705" s="3" t="s">
        <v>119</v>
      </c>
      <c r="M705" s="4" t="s">
        <v>2405</v>
      </c>
      <c r="N705" s="3" t="s">
        <v>56</v>
      </c>
      <c r="O705" s="3" t="s">
        <v>139</v>
      </c>
      <c r="P705" s="4" t="s">
        <v>282</v>
      </c>
      <c r="Q705" s="3" t="s">
        <v>139</v>
      </c>
      <c r="R705" s="3" t="s">
        <v>215</v>
      </c>
      <c r="S705" s="4" t="s">
        <v>216</v>
      </c>
      <c r="U705" s="4" t="s">
        <v>139</v>
      </c>
      <c r="V705" s="4" t="s">
        <v>427</v>
      </c>
      <c r="W705" s="4" t="s">
        <v>428</v>
      </c>
      <c r="Y705" s="4" t="s">
        <v>2286</v>
      </c>
      <c r="Z705" s="4" t="s">
        <v>2286</v>
      </c>
      <c r="AA705" s="4" t="s">
        <v>2294</v>
      </c>
      <c r="AB705" s="3" t="s">
        <v>2303</v>
      </c>
      <c r="AC705" s="3" t="s">
        <v>2296</v>
      </c>
      <c r="AD705" s="3" t="s">
        <v>1227</v>
      </c>
      <c r="AE705" s="3">
        <v>1000</v>
      </c>
      <c r="AI705" s="4" t="s">
        <v>2288</v>
      </c>
      <c r="AJ705" s="4" t="s">
        <v>2288</v>
      </c>
      <c r="AK705" s="3" t="s">
        <v>286</v>
      </c>
      <c r="AL705" s="4">
        <v>30080</v>
      </c>
      <c r="AM705" s="5">
        <v>15400</v>
      </c>
      <c r="AN705" s="4" t="s">
        <v>2282</v>
      </c>
      <c r="AO705" s="4">
        <v>99</v>
      </c>
      <c r="AP705" s="4">
        <v>80120000</v>
      </c>
    </row>
    <row r="706" spans="1:42" x14ac:dyDescent="0.25">
      <c r="A706" s="3">
        <v>4604937</v>
      </c>
      <c r="B706" s="3" t="s">
        <v>513</v>
      </c>
      <c r="C706" s="3" t="s">
        <v>2342</v>
      </c>
      <c r="D706" s="3">
        <v>10004758</v>
      </c>
      <c r="E706" s="4">
        <v>4534288</v>
      </c>
      <c r="F706" s="3" t="s">
        <v>49</v>
      </c>
      <c r="G706" s="4" t="s">
        <v>318</v>
      </c>
      <c r="I706" s="5">
        <v>3430.08</v>
      </c>
      <c r="J706" s="3" t="s">
        <v>524</v>
      </c>
      <c r="K706" s="3" t="s">
        <v>2406</v>
      </c>
      <c r="L706" s="3" t="s">
        <v>119</v>
      </c>
      <c r="M706" s="4" t="s">
        <v>2407</v>
      </c>
      <c r="N706" s="3" t="s">
        <v>56</v>
      </c>
      <c r="Y706" s="4" t="s">
        <v>178</v>
      </c>
      <c r="Z706" s="4" t="s">
        <v>178</v>
      </c>
      <c r="AD706" s="3" t="s">
        <v>380</v>
      </c>
      <c r="AE706" s="3">
        <v>1000</v>
      </c>
      <c r="AI706" s="4" t="s">
        <v>181</v>
      </c>
      <c r="AJ706" s="4" t="s">
        <v>181</v>
      </c>
      <c r="AL706" s="4">
        <v>141551</v>
      </c>
      <c r="AM706" s="5">
        <v>3430.08</v>
      </c>
      <c r="AN706" s="4" t="s">
        <v>124</v>
      </c>
    </row>
    <row r="707" spans="1:42" x14ac:dyDescent="0.25">
      <c r="A707" s="3">
        <v>4604987</v>
      </c>
      <c r="B707" s="3" t="s">
        <v>455</v>
      </c>
      <c r="C707" s="3" t="s">
        <v>2342</v>
      </c>
      <c r="D707" s="3">
        <v>10004751</v>
      </c>
      <c r="E707" s="4">
        <v>4534338</v>
      </c>
      <c r="F707" s="3" t="s">
        <v>49</v>
      </c>
      <c r="G707" s="4" t="s">
        <v>2408</v>
      </c>
      <c r="H707" s="4" t="s">
        <v>2301</v>
      </c>
      <c r="I707" s="5">
        <v>45000</v>
      </c>
      <c r="J707" s="3" t="s">
        <v>441</v>
      </c>
      <c r="K707" s="3" t="s">
        <v>77</v>
      </c>
      <c r="L707" s="3" t="s">
        <v>1046</v>
      </c>
      <c r="M707" s="4" t="s">
        <v>2409</v>
      </c>
      <c r="N707" s="3" t="s">
        <v>25</v>
      </c>
      <c r="O707" s="3" t="s">
        <v>139</v>
      </c>
      <c r="P707" s="4" t="s">
        <v>282</v>
      </c>
      <c r="Q707" s="3" t="s">
        <v>139</v>
      </c>
      <c r="R707" s="3" t="s">
        <v>427</v>
      </c>
      <c r="S707" s="4" t="s">
        <v>428</v>
      </c>
      <c r="U707" s="4" t="s">
        <v>139</v>
      </c>
      <c r="V707" s="4" t="s">
        <v>427</v>
      </c>
      <c r="W707" s="4" t="s">
        <v>428</v>
      </c>
      <c r="Y707" s="4" t="s">
        <v>2277</v>
      </c>
      <c r="Z707" s="4" t="s">
        <v>2386</v>
      </c>
      <c r="AD707" s="3" t="s">
        <v>377</v>
      </c>
      <c r="AE707" s="3">
        <v>1000</v>
      </c>
      <c r="AI707" s="4" t="s">
        <v>2281</v>
      </c>
      <c r="AJ707" s="4" t="s">
        <v>2387</v>
      </c>
      <c r="AK707" s="3" t="s">
        <v>286</v>
      </c>
      <c r="AL707" s="4">
        <v>141902</v>
      </c>
      <c r="AM707" s="5">
        <v>45000</v>
      </c>
      <c r="AN707" s="4" t="s">
        <v>2282</v>
      </c>
      <c r="AO707" s="4">
        <v>99</v>
      </c>
      <c r="AP707" s="4">
        <v>80120000</v>
      </c>
    </row>
    <row r="708" spans="1:42" x14ac:dyDescent="0.25">
      <c r="A708" s="3">
        <v>4605011</v>
      </c>
      <c r="B708" s="3" t="s">
        <v>1713</v>
      </c>
      <c r="C708" s="3" t="s">
        <v>2342</v>
      </c>
      <c r="D708" s="3">
        <v>10004860</v>
      </c>
      <c r="E708" s="4">
        <v>4534362</v>
      </c>
      <c r="F708" s="3" t="s">
        <v>49</v>
      </c>
      <c r="G708" s="4" t="s">
        <v>2300</v>
      </c>
      <c r="I708" s="5">
        <v>4000</v>
      </c>
      <c r="J708" s="3" t="s">
        <v>377</v>
      </c>
      <c r="K708" s="3" t="s">
        <v>1862</v>
      </c>
      <c r="L708" s="3" t="s">
        <v>1046</v>
      </c>
      <c r="M708" s="4" t="s">
        <v>2410</v>
      </c>
      <c r="N708" s="3" t="s">
        <v>25</v>
      </c>
      <c r="O708" s="3" t="s">
        <v>139</v>
      </c>
      <c r="P708" s="4" t="s">
        <v>282</v>
      </c>
      <c r="Y708" s="4" t="s">
        <v>2277</v>
      </c>
      <c r="Z708" s="4" t="s">
        <v>2386</v>
      </c>
      <c r="AD708" s="3" t="s">
        <v>376</v>
      </c>
      <c r="AE708" s="3">
        <v>1000</v>
      </c>
      <c r="AI708" s="4" t="s">
        <v>2281</v>
      </c>
      <c r="AJ708" s="4" t="s">
        <v>2387</v>
      </c>
      <c r="AK708" s="3" t="s">
        <v>286</v>
      </c>
      <c r="AL708" s="4">
        <v>30080</v>
      </c>
      <c r="AM708" s="5">
        <v>4000</v>
      </c>
      <c r="AN708" s="4" t="s">
        <v>2282</v>
      </c>
    </row>
    <row r="709" spans="1:42" x14ac:dyDescent="0.25">
      <c r="A709" s="3">
        <v>4605030</v>
      </c>
      <c r="B709" s="3" t="s">
        <v>53</v>
      </c>
      <c r="C709" s="3" t="s">
        <v>2342</v>
      </c>
      <c r="D709" s="3">
        <v>10004870</v>
      </c>
      <c r="E709" s="4">
        <v>4534381</v>
      </c>
      <c r="F709" s="3" t="s">
        <v>49</v>
      </c>
      <c r="G709" s="4" t="s">
        <v>2411</v>
      </c>
      <c r="H709" s="4" t="s">
        <v>2227</v>
      </c>
      <c r="I709" s="5">
        <v>36300</v>
      </c>
      <c r="J709" s="3" t="s">
        <v>53</v>
      </c>
      <c r="K709" s="3" t="s">
        <v>374</v>
      </c>
      <c r="L709" s="3" t="s">
        <v>196</v>
      </c>
      <c r="M709" s="4" t="s">
        <v>2412</v>
      </c>
      <c r="N709" s="3" t="s">
        <v>25</v>
      </c>
      <c r="Y709" s="4" t="s">
        <v>2277</v>
      </c>
      <c r="Z709" s="4" t="s">
        <v>2386</v>
      </c>
      <c r="AD709" s="3" t="s">
        <v>1159</v>
      </c>
      <c r="AE709" s="3">
        <v>1000</v>
      </c>
      <c r="AI709" s="4" t="s">
        <v>2281</v>
      </c>
      <c r="AJ709" s="4" t="s">
        <v>2387</v>
      </c>
      <c r="AL709" s="4">
        <v>141917</v>
      </c>
      <c r="AM709" s="5">
        <v>36300</v>
      </c>
      <c r="AN709" s="4" t="s">
        <v>124</v>
      </c>
      <c r="AO709" s="4">
        <v>99</v>
      </c>
      <c r="AP709" s="4">
        <v>80160000</v>
      </c>
    </row>
    <row r="710" spans="1:42" x14ac:dyDescent="0.25">
      <c r="A710" s="3">
        <v>4605047</v>
      </c>
      <c r="B710" s="3" t="s">
        <v>377</v>
      </c>
      <c r="C710" s="3" t="s">
        <v>2342</v>
      </c>
      <c r="D710" s="3">
        <v>10004898</v>
      </c>
      <c r="E710" s="4">
        <v>4534398</v>
      </c>
      <c r="F710" s="3" t="s">
        <v>49</v>
      </c>
      <c r="G710" s="4" t="s">
        <v>2300</v>
      </c>
      <c r="I710" s="5">
        <v>5000</v>
      </c>
      <c r="J710" s="3" t="s">
        <v>377</v>
      </c>
      <c r="K710" s="3" t="s">
        <v>77</v>
      </c>
      <c r="L710" s="3" t="s">
        <v>1046</v>
      </c>
      <c r="M710" s="4" t="s">
        <v>2413</v>
      </c>
      <c r="N710" s="3" t="s">
        <v>25</v>
      </c>
      <c r="O710" s="3" t="s">
        <v>139</v>
      </c>
      <c r="P710" s="4" t="s">
        <v>282</v>
      </c>
      <c r="Y710" s="4" t="s">
        <v>2277</v>
      </c>
      <c r="Z710" s="4" t="s">
        <v>2386</v>
      </c>
      <c r="AD710" s="3" t="s">
        <v>77</v>
      </c>
      <c r="AE710" s="3">
        <v>1000</v>
      </c>
      <c r="AI710" s="4" t="s">
        <v>2281</v>
      </c>
      <c r="AJ710" s="4" t="s">
        <v>2387</v>
      </c>
      <c r="AK710" s="3" t="s">
        <v>286</v>
      </c>
      <c r="AL710" s="4">
        <v>30080</v>
      </c>
      <c r="AM710" s="5">
        <v>5000</v>
      </c>
      <c r="AN710" s="4" t="s">
        <v>2282</v>
      </c>
    </row>
    <row r="711" spans="1:42" x14ac:dyDescent="0.25">
      <c r="A711" s="3">
        <v>4605075</v>
      </c>
      <c r="B711" s="3" t="s">
        <v>317</v>
      </c>
      <c r="C711" s="3" t="s">
        <v>2342</v>
      </c>
      <c r="D711" s="3">
        <v>10004935</v>
      </c>
      <c r="E711" s="4">
        <v>4534426</v>
      </c>
      <c r="F711" s="3" t="s">
        <v>49</v>
      </c>
      <c r="G711" s="4" t="s">
        <v>2300</v>
      </c>
      <c r="I711" s="5">
        <v>5000</v>
      </c>
      <c r="J711" s="3" t="s">
        <v>317</v>
      </c>
      <c r="K711" s="3" t="s">
        <v>1713</v>
      </c>
      <c r="L711" s="3" t="s">
        <v>1046</v>
      </c>
      <c r="M711" s="4" t="s">
        <v>2414</v>
      </c>
      <c r="N711" s="3" t="s">
        <v>25</v>
      </c>
      <c r="O711" s="3" t="s">
        <v>139</v>
      </c>
      <c r="P711" s="4" t="s">
        <v>282</v>
      </c>
      <c r="Y711" s="4" t="s">
        <v>2277</v>
      </c>
      <c r="Z711" s="4" t="s">
        <v>2386</v>
      </c>
      <c r="AD711" s="3" t="s">
        <v>1481</v>
      </c>
      <c r="AE711" s="3">
        <v>1000</v>
      </c>
      <c r="AI711" s="4" t="s">
        <v>2281</v>
      </c>
      <c r="AJ711" s="4" t="s">
        <v>2387</v>
      </c>
      <c r="AK711" s="3" t="s">
        <v>286</v>
      </c>
      <c r="AL711" s="4">
        <v>30080</v>
      </c>
      <c r="AM711" s="5">
        <v>5000</v>
      </c>
      <c r="AN711" s="4" t="s">
        <v>2282</v>
      </c>
    </row>
    <row r="712" spans="1:42" x14ac:dyDescent="0.25">
      <c r="A712" s="3">
        <v>4604724</v>
      </c>
      <c r="B712" s="3" t="s">
        <v>832</v>
      </c>
      <c r="C712" s="3" t="s">
        <v>2415</v>
      </c>
      <c r="D712" s="3">
        <v>10004520</v>
      </c>
      <c r="E712" s="4">
        <v>4534075</v>
      </c>
      <c r="F712" s="3" t="s">
        <v>49</v>
      </c>
      <c r="G712" s="4" t="s">
        <v>318</v>
      </c>
      <c r="I712" s="5">
        <v>6942.67</v>
      </c>
      <c r="J712" s="3" t="s">
        <v>832</v>
      </c>
      <c r="K712" s="3" t="s">
        <v>77</v>
      </c>
      <c r="L712" s="3" t="s">
        <v>119</v>
      </c>
      <c r="M712" s="4" t="s">
        <v>2416</v>
      </c>
      <c r="N712" s="3" t="s">
        <v>56</v>
      </c>
      <c r="Y712" s="4" t="s">
        <v>178</v>
      </c>
      <c r="Z712" s="4" t="s">
        <v>178</v>
      </c>
      <c r="AD712" s="3" t="s">
        <v>497</v>
      </c>
      <c r="AE712" s="3">
        <v>1000</v>
      </c>
      <c r="AI712" s="4" t="s">
        <v>181</v>
      </c>
      <c r="AJ712" s="4" t="s">
        <v>181</v>
      </c>
      <c r="AL712" s="4">
        <v>141551</v>
      </c>
      <c r="AM712" s="5">
        <v>6942.67</v>
      </c>
      <c r="AN712" s="4" t="s">
        <v>124</v>
      </c>
    </row>
    <row r="713" spans="1:42" x14ac:dyDescent="0.25">
      <c r="A713" s="3">
        <v>4604781</v>
      </c>
      <c r="B713" s="3" t="s">
        <v>416</v>
      </c>
      <c r="C713" s="3" t="s">
        <v>2415</v>
      </c>
      <c r="D713" s="3">
        <v>10004576</v>
      </c>
      <c r="E713" s="4">
        <v>4534132</v>
      </c>
      <c r="F713" s="3" t="s">
        <v>49</v>
      </c>
      <c r="G713" s="4" t="s">
        <v>2417</v>
      </c>
      <c r="H713" s="4" t="s">
        <v>2418</v>
      </c>
      <c r="I713" s="5">
        <v>74440</v>
      </c>
      <c r="J713" s="3" t="s">
        <v>416</v>
      </c>
      <c r="K713" s="3" t="s">
        <v>480</v>
      </c>
      <c r="L713" s="3" t="s">
        <v>196</v>
      </c>
      <c r="M713" s="4" t="s">
        <v>2419</v>
      </c>
      <c r="N713" s="3" t="s">
        <v>25</v>
      </c>
      <c r="O713" s="3" t="s">
        <v>139</v>
      </c>
      <c r="P713" s="4" t="s">
        <v>140</v>
      </c>
      <c r="Y713" s="4" t="s">
        <v>2420</v>
      </c>
      <c r="Z713" s="4" t="s">
        <v>2394</v>
      </c>
      <c r="AD713" s="3" t="s">
        <v>424</v>
      </c>
      <c r="AE713" s="3">
        <v>1000</v>
      </c>
      <c r="AI713" s="4" t="s">
        <v>2421</v>
      </c>
      <c r="AJ713" s="4" t="s">
        <v>2395</v>
      </c>
      <c r="AK713" s="3" t="s">
        <v>143</v>
      </c>
      <c r="AL713" s="4">
        <v>141833</v>
      </c>
      <c r="AM713" s="5">
        <v>74440</v>
      </c>
      <c r="AN713" s="4" t="s">
        <v>124</v>
      </c>
      <c r="AO713" s="4">
        <v>99</v>
      </c>
      <c r="AP713" s="4">
        <v>80101600</v>
      </c>
    </row>
    <row r="714" spans="1:42" x14ac:dyDescent="0.25">
      <c r="A714" s="3">
        <v>4604817</v>
      </c>
      <c r="B714" s="3" t="s">
        <v>1755</v>
      </c>
      <c r="C714" s="3" t="s">
        <v>2415</v>
      </c>
      <c r="D714" s="3">
        <v>10004610</v>
      </c>
      <c r="E714" s="4">
        <v>4534168</v>
      </c>
      <c r="F714" s="3" t="s">
        <v>49</v>
      </c>
      <c r="G714" s="4" t="s">
        <v>174</v>
      </c>
      <c r="H714" s="4" t="s">
        <v>2422</v>
      </c>
      <c r="I714" s="5">
        <v>11916.71</v>
      </c>
      <c r="J714" s="3" t="s">
        <v>1755</v>
      </c>
      <c r="K714" s="3" t="s">
        <v>77</v>
      </c>
      <c r="L714" s="3" t="s">
        <v>119</v>
      </c>
      <c r="M714" s="4" t="s">
        <v>2422</v>
      </c>
      <c r="N714" s="3" t="s">
        <v>56</v>
      </c>
      <c r="Y714" s="4" t="s">
        <v>178</v>
      </c>
      <c r="Z714" s="4" t="s">
        <v>178</v>
      </c>
      <c r="AA714" s="4" t="s">
        <v>188</v>
      </c>
      <c r="AB714" s="3" t="s">
        <v>401</v>
      </c>
      <c r="AC714" s="3" t="s">
        <v>190</v>
      </c>
      <c r="AD714" s="3" t="s">
        <v>513</v>
      </c>
      <c r="AE714" s="3">
        <v>1000</v>
      </c>
      <c r="AI714" s="4" t="s">
        <v>181</v>
      </c>
      <c r="AJ714" s="4" t="s">
        <v>181</v>
      </c>
      <c r="AL714" s="4">
        <v>40476</v>
      </c>
      <c r="AM714" s="5">
        <v>11916.71</v>
      </c>
      <c r="AN714" s="4" t="s">
        <v>124</v>
      </c>
      <c r="AO714" s="4">
        <v>99</v>
      </c>
      <c r="AP714" s="4">
        <v>80111600</v>
      </c>
    </row>
    <row r="715" spans="1:42" x14ac:dyDescent="0.25">
      <c r="A715" s="3">
        <v>4604949</v>
      </c>
      <c r="B715" s="3" t="s">
        <v>2423</v>
      </c>
      <c r="C715" s="3" t="s">
        <v>2415</v>
      </c>
      <c r="D715" s="3">
        <v>10004753</v>
      </c>
      <c r="E715" s="4">
        <v>4534300</v>
      </c>
      <c r="F715" s="3" t="s">
        <v>49</v>
      </c>
      <c r="G715" s="4" t="s">
        <v>453</v>
      </c>
      <c r="H715" s="4" t="s">
        <v>2424</v>
      </c>
      <c r="I715" s="5">
        <v>390000</v>
      </c>
      <c r="J715" s="3" t="s">
        <v>173</v>
      </c>
      <c r="K715" s="3" t="s">
        <v>77</v>
      </c>
      <c r="L715" s="3" t="s">
        <v>196</v>
      </c>
      <c r="M715" s="4" t="s">
        <v>2424</v>
      </c>
      <c r="N715" s="3" t="s">
        <v>25</v>
      </c>
      <c r="O715" s="3" t="s">
        <v>139</v>
      </c>
      <c r="P715" s="4" t="s">
        <v>140</v>
      </c>
      <c r="Y715" s="4" t="s">
        <v>2425</v>
      </c>
      <c r="Z715" s="4" t="s">
        <v>2425</v>
      </c>
      <c r="AD715" s="3" t="s">
        <v>516</v>
      </c>
      <c r="AE715" s="3">
        <v>1000</v>
      </c>
      <c r="AI715" s="4" t="s">
        <v>2426</v>
      </c>
      <c r="AJ715" s="4" t="s">
        <v>2426</v>
      </c>
      <c r="AK715" s="3" t="s">
        <v>143</v>
      </c>
      <c r="AL715" s="4">
        <v>47630</v>
      </c>
      <c r="AM715" s="5">
        <v>390000</v>
      </c>
      <c r="AN715" s="4" t="s">
        <v>124</v>
      </c>
      <c r="AO715" s="4">
        <v>99</v>
      </c>
      <c r="AP715" s="4">
        <v>80100000</v>
      </c>
    </row>
    <row r="716" spans="1:42" ht="18.75" x14ac:dyDescent="0.25">
      <c r="E716" s="7" t="s">
        <v>2451</v>
      </c>
      <c r="F716" s="8">
        <f>COUNT(E3:E715)</f>
        <v>713</v>
      </c>
      <c r="H716" s="6" t="s">
        <v>2452</v>
      </c>
      <c r="I716" s="11">
        <f>SUM(I3:I715)</f>
        <v>926835451.52000034</v>
      </c>
      <c r="AL716" s="6" t="s">
        <v>2452</v>
      </c>
      <c r="AM716" s="11">
        <f>SUM(AM3:AM715)</f>
        <v>926824451.52000034</v>
      </c>
    </row>
    <row r="717" spans="1:42" ht="15.75" x14ac:dyDescent="0.25">
      <c r="I717" s="11"/>
      <c r="AM717" s="11"/>
    </row>
    <row r="718" spans="1:42" ht="18.75" x14ac:dyDescent="0.25">
      <c r="E718" s="7" t="s">
        <v>2448</v>
      </c>
      <c r="F718" s="8">
        <f>COUNTIF(F3:F715,"Procurement")</f>
        <v>569</v>
      </c>
      <c r="G718" s="14">
        <f>F718/F721</f>
        <v>0.79803646563814867</v>
      </c>
      <c r="H718" s="7" t="str">
        <f>E718</f>
        <v>Procurements:</v>
      </c>
      <c r="I718" s="11">
        <f>Procurements!I572</f>
        <v>426004026.28000021</v>
      </c>
      <c r="J718" s="14">
        <f>I718/I721</f>
        <v>0.45963285670758286</v>
      </c>
    </row>
    <row r="719" spans="1:42" ht="18.75" x14ac:dyDescent="0.25">
      <c r="E719" s="7" t="s">
        <v>2449</v>
      </c>
      <c r="F719" s="8">
        <f>COUNTIF(F3:F715,"Grant")</f>
        <v>132</v>
      </c>
      <c r="G719" s="14">
        <f>F719/F721</f>
        <v>0.18513323983169705</v>
      </c>
      <c r="H719" s="7" t="str">
        <f>E719</f>
        <v>Grants:</v>
      </c>
      <c r="I719" s="11">
        <f>Grants!I135</f>
        <v>498043856.22999996</v>
      </c>
      <c r="J719" s="14">
        <f>I719/I721</f>
        <v>0.53735952310975288</v>
      </c>
    </row>
    <row r="720" spans="1:42" ht="18.75" x14ac:dyDescent="0.25">
      <c r="E720" s="7" t="s">
        <v>2450</v>
      </c>
      <c r="F720" s="9">
        <f>COUNTIF(F3:F715,"Other")</f>
        <v>12</v>
      </c>
      <c r="G720" s="14">
        <f>F720/F721</f>
        <v>1.6830294530154277E-2</v>
      </c>
      <c r="H720" s="7" t="str">
        <f>E720</f>
        <v>Other:</v>
      </c>
      <c r="I720" s="16">
        <f>I716-I718-I719</f>
        <v>2787569.0100001693</v>
      </c>
      <c r="J720" s="14">
        <f>I720/I721</f>
        <v>3.0076201826641238E-3</v>
      </c>
    </row>
    <row r="721" spans="5:10" ht="18.75" x14ac:dyDescent="0.25">
      <c r="E721" s="10"/>
      <c r="F721" s="8">
        <f>SUM(F718:F720)</f>
        <v>713</v>
      </c>
      <c r="G721" s="14">
        <f>SUM(G718:G720)</f>
        <v>1</v>
      </c>
      <c r="I721" s="11">
        <f>SUM(I718:I720)</f>
        <v>926835451.52000046</v>
      </c>
      <c r="J721" s="14">
        <f>SUM(J718:J720)</f>
        <v>0.99999999999999978</v>
      </c>
    </row>
    <row r="723" spans="5:10" ht="18.75" x14ac:dyDescent="0.25">
      <c r="E723" s="12" t="s">
        <v>2453</v>
      </c>
      <c r="F723" s="13">
        <f>F716-F721</f>
        <v>0</v>
      </c>
      <c r="H723" s="12" t="s">
        <v>2453</v>
      </c>
      <c r="I723" s="13">
        <f>I716-I721</f>
        <v>0</v>
      </c>
    </row>
  </sheetData>
  <sortState ref="A3:AP715">
    <sortCondition ref="F3:F715"/>
  </sortState>
  <mergeCells count="1">
    <mergeCell ref="A1:AP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5"/>
  <sheetViews>
    <sheetView topLeftCell="A100" workbookViewId="0">
      <selection activeCell="H40" sqref="H40"/>
    </sheetView>
  </sheetViews>
  <sheetFormatPr defaultRowHeight="15" x14ac:dyDescent="0.25"/>
  <cols>
    <col min="1" max="2" width="10.7109375" style="4" customWidth="1"/>
    <col min="3" max="3" width="20.140625" style="4" bestFit="1" customWidth="1"/>
    <col min="4" max="5" width="10.85546875" style="4" bestFit="1" customWidth="1"/>
    <col min="6" max="6" width="12.5703125" style="4" bestFit="1" customWidth="1"/>
    <col min="7" max="7" width="41.140625" style="4" bestFit="1" customWidth="1"/>
    <col min="8" max="8" width="94.7109375" style="4" bestFit="1" customWidth="1"/>
    <col min="9" max="9" width="15.7109375" style="4" customWidth="1"/>
    <col min="10" max="12" width="10.7109375" style="4" customWidth="1"/>
    <col min="13" max="13" width="42.7109375" style="4" customWidth="1"/>
    <col min="14" max="14" width="20.7109375" style="4" customWidth="1"/>
    <col min="15" max="15" width="11.7109375" style="4" customWidth="1"/>
    <col min="16" max="16" width="43" style="4" bestFit="1" customWidth="1"/>
    <col min="17" max="18" width="14.7109375" style="4" customWidth="1"/>
    <col min="19" max="19" width="32.5703125" style="4" bestFit="1" customWidth="1"/>
    <col min="20" max="20" width="9.140625" style="4"/>
    <col min="21" max="22" width="8.42578125" style="4" bestFit="1" customWidth="1"/>
    <col min="23" max="23" width="19.5703125" style="4" bestFit="1" customWidth="1"/>
    <col min="24" max="24" width="69.5703125" style="4" bestFit="1" customWidth="1"/>
    <col min="25" max="26" width="24" style="4" bestFit="1" customWidth="1"/>
    <col min="27" max="27" width="40.28515625" style="4" bestFit="1" customWidth="1"/>
    <col min="28" max="28" width="19.42578125" style="4" bestFit="1" customWidth="1"/>
    <col min="29" max="29" width="11.85546875" style="4" bestFit="1" customWidth="1"/>
    <col min="30" max="30" width="10.7109375" style="4" customWidth="1"/>
    <col min="31" max="34" width="9.140625" style="4"/>
    <col min="35" max="36" width="15.7109375" style="4" bestFit="1" customWidth="1"/>
    <col min="37" max="37" width="11.7109375" style="4" customWidth="1"/>
    <col min="38" max="38" width="12" style="4" bestFit="1" customWidth="1"/>
    <col min="39" max="39" width="15.42578125" style="4" bestFit="1" customWidth="1"/>
    <col min="40" max="40" width="12.7109375" style="4" bestFit="1" customWidth="1"/>
    <col min="41" max="41" width="11.7109375" style="4" customWidth="1"/>
    <col min="42" max="16384" width="9.140625" style="4"/>
  </cols>
  <sheetData>
    <row r="1" spans="1:42" ht="18.75" x14ac:dyDescent="0.25">
      <c r="A1" s="47" t="s">
        <v>2454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</row>
    <row r="2" spans="1:42" s="1" customFormat="1" ht="60" x14ac:dyDescent="0.25">
      <c r="A2" s="2" t="s">
        <v>2427</v>
      </c>
      <c r="B2" s="2" t="s">
        <v>2428</v>
      </c>
      <c r="C2" s="2" t="s">
        <v>2429</v>
      </c>
      <c r="D2" s="2" t="s">
        <v>2430</v>
      </c>
      <c r="E2" s="2" t="s">
        <v>2431</v>
      </c>
      <c r="F2" s="2" t="s">
        <v>2432</v>
      </c>
      <c r="G2" s="2" t="s">
        <v>0</v>
      </c>
      <c r="H2" s="2" t="s">
        <v>1</v>
      </c>
      <c r="I2" s="2" t="s">
        <v>2433</v>
      </c>
      <c r="J2" s="2" t="s">
        <v>2434</v>
      </c>
      <c r="K2" s="2" t="s">
        <v>2435</v>
      </c>
      <c r="L2" s="2" t="s">
        <v>2436</v>
      </c>
      <c r="M2" s="2" t="s">
        <v>2</v>
      </c>
      <c r="N2" s="2" t="s">
        <v>3</v>
      </c>
      <c r="O2" s="2" t="s">
        <v>2437</v>
      </c>
      <c r="P2" s="2" t="s">
        <v>4</v>
      </c>
      <c r="Q2" s="2" t="s">
        <v>2438</v>
      </c>
      <c r="R2" s="2" t="s">
        <v>2439</v>
      </c>
      <c r="S2" s="2" t="s">
        <v>2440</v>
      </c>
      <c r="T2" s="2" t="s">
        <v>6</v>
      </c>
      <c r="U2" s="2" t="s">
        <v>6</v>
      </c>
      <c r="V2" s="2" t="s">
        <v>5</v>
      </c>
      <c r="W2" s="2" t="s">
        <v>5</v>
      </c>
      <c r="X2" s="2" t="s">
        <v>7</v>
      </c>
      <c r="Y2" s="2" t="s">
        <v>8</v>
      </c>
      <c r="Z2" s="2" t="s">
        <v>9</v>
      </c>
      <c r="AA2" s="2" t="s">
        <v>2447</v>
      </c>
      <c r="AB2" s="2" t="s">
        <v>2446</v>
      </c>
      <c r="AC2" s="2" t="s">
        <v>2445</v>
      </c>
      <c r="AD2" s="2" t="s">
        <v>10</v>
      </c>
      <c r="AE2" s="2" t="s">
        <v>2441</v>
      </c>
      <c r="AF2" s="2" t="s">
        <v>11</v>
      </c>
      <c r="AG2" s="2" t="s">
        <v>11</v>
      </c>
      <c r="AH2" s="2" t="s">
        <v>12</v>
      </c>
      <c r="AI2" s="2" t="s">
        <v>8</v>
      </c>
      <c r="AJ2" s="2" t="s">
        <v>13</v>
      </c>
      <c r="AK2" s="2" t="s">
        <v>2444</v>
      </c>
      <c r="AL2" s="2" t="s">
        <v>14</v>
      </c>
      <c r="AM2" s="2" t="s">
        <v>15</v>
      </c>
      <c r="AN2" s="2" t="s">
        <v>16</v>
      </c>
      <c r="AO2" s="2" t="s">
        <v>2443</v>
      </c>
      <c r="AP2" s="2" t="s">
        <v>2442</v>
      </c>
    </row>
    <row r="3" spans="1:42" x14ac:dyDescent="0.25">
      <c r="A3" s="3">
        <v>4600059</v>
      </c>
      <c r="B3" s="3" t="s">
        <v>17</v>
      </c>
      <c r="C3" s="3" t="s">
        <v>18</v>
      </c>
      <c r="D3" s="3">
        <v>10000069</v>
      </c>
      <c r="E3" s="4">
        <v>4529409</v>
      </c>
      <c r="F3" s="3" t="s">
        <v>19</v>
      </c>
      <c r="G3" s="4" t="s">
        <v>20</v>
      </c>
      <c r="H3" s="4" t="s">
        <v>21</v>
      </c>
      <c r="I3" s="5">
        <v>82815700</v>
      </c>
      <c r="J3" s="3" t="s">
        <v>22</v>
      </c>
      <c r="K3" s="3" t="s">
        <v>23</v>
      </c>
      <c r="L3" s="3"/>
      <c r="M3" s="4" t="s">
        <v>24</v>
      </c>
      <c r="N3" s="3" t="s">
        <v>25</v>
      </c>
      <c r="O3" s="3"/>
      <c r="Q3" s="3"/>
      <c r="R3" s="3"/>
      <c r="Y3" s="4" t="s">
        <v>26</v>
      </c>
      <c r="Z3" s="4" t="s">
        <v>27</v>
      </c>
      <c r="AB3" s="3"/>
      <c r="AC3" s="3"/>
      <c r="AD3" s="3" t="s">
        <v>28</v>
      </c>
      <c r="AE3" s="3">
        <v>5000</v>
      </c>
      <c r="AF3" s="4">
        <v>3896887.5</v>
      </c>
      <c r="AG3" s="4">
        <v>78918812.5</v>
      </c>
      <c r="AH3" s="4">
        <v>4529113</v>
      </c>
      <c r="AI3" s="4" t="s">
        <v>29</v>
      </c>
      <c r="AJ3" s="4" t="s">
        <v>30</v>
      </c>
      <c r="AK3" s="3"/>
      <c r="AL3" s="4">
        <v>53527</v>
      </c>
      <c r="AM3" s="5">
        <v>82815700</v>
      </c>
      <c r="AN3" s="4" t="s">
        <v>31</v>
      </c>
      <c r="AO3" s="4">
        <v>99</v>
      </c>
    </row>
    <row r="4" spans="1:42" x14ac:dyDescent="0.25">
      <c r="A4" s="3">
        <v>4600078</v>
      </c>
      <c r="B4" s="3"/>
      <c r="C4" s="3" t="s">
        <v>18</v>
      </c>
      <c r="D4" s="3">
        <v>10000096</v>
      </c>
      <c r="E4" s="4">
        <v>4529428</v>
      </c>
      <c r="F4" s="3" t="s">
        <v>19</v>
      </c>
      <c r="G4" s="4" t="s">
        <v>32</v>
      </c>
      <c r="H4" s="4" t="s">
        <v>33</v>
      </c>
      <c r="I4" s="5">
        <v>909341.4</v>
      </c>
      <c r="J4" s="3" t="s">
        <v>34</v>
      </c>
      <c r="K4" s="3" t="s">
        <v>35</v>
      </c>
      <c r="L4" s="3"/>
      <c r="M4" s="4" t="s">
        <v>36</v>
      </c>
      <c r="N4" s="3" t="s">
        <v>25</v>
      </c>
      <c r="O4" s="3"/>
      <c r="Q4" s="3"/>
      <c r="R4" s="3"/>
      <c r="Y4" s="4" t="s">
        <v>37</v>
      </c>
      <c r="Z4" s="4" t="s">
        <v>38</v>
      </c>
      <c r="AB4" s="3"/>
      <c r="AC4" s="3"/>
      <c r="AD4" s="3" t="s">
        <v>28</v>
      </c>
      <c r="AE4" s="3">
        <v>5000</v>
      </c>
      <c r="AF4" s="4">
        <v>536657</v>
      </c>
      <c r="AG4" s="4">
        <v>372684.4</v>
      </c>
      <c r="AH4" s="4">
        <v>4529285</v>
      </c>
      <c r="AI4" s="4" t="s">
        <v>39</v>
      </c>
      <c r="AJ4" s="4" t="s">
        <v>40</v>
      </c>
      <c r="AK4" s="3"/>
      <c r="AL4" s="4">
        <v>30234</v>
      </c>
      <c r="AM4" s="5">
        <v>909341.4</v>
      </c>
      <c r="AN4" s="4" t="s">
        <v>31</v>
      </c>
      <c r="AO4" s="4">
        <v>99</v>
      </c>
    </row>
    <row r="5" spans="1:42" x14ac:dyDescent="0.25">
      <c r="A5" s="3">
        <v>4601016</v>
      </c>
      <c r="B5" s="3" t="s">
        <v>41</v>
      </c>
      <c r="C5" s="3" t="s">
        <v>18</v>
      </c>
      <c r="D5" s="3">
        <v>10000771</v>
      </c>
      <c r="E5" s="4">
        <v>4530366</v>
      </c>
      <c r="F5" s="3" t="s">
        <v>19</v>
      </c>
      <c r="G5" s="4" t="s">
        <v>42</v>
      </c>
      <c r="H5" s="4" t="s">
        <v>43</v>
      </c>
      <c r="I5" s="5">
        <v>44678106</v>
      </c>
      <c r="J5" s="3" t="s">
        <v>44</v>
      </c>
      <c r="K5" s="3" t="s">
        <v>35</v>
      </c>
      <c r="L5" s="3"/>
      <c r="M5" s="4" t="s">
        <v>43</v>
      </c>
      <c r="N5" s="3" t="s">
        <v>25</v>
      </c>
      <c r="O5" s="3"/>
      <c r="Q5" s="3"/>
      <c r="R5" s="3"/>
      <c r="Y5" s="4" t="s">
        <v>26</v>
      </c>
      <c r="Z5" s="4" t="s">
        <v>45</v>
      </c>
      <c r="AB5" s="3"/>
      <c r="AC5" s="3"/>
      <c r="AD5" s="3" t="s">
        <v>46</v>
      </c>
      <c r="AE5" s="3">
        <v>5000</v>
      </c>
      <c r="AI5" s="4" t="s">
        <v>29</v>
      </c>
      <c r="AJ5" s="4" t="s">
        <v>47</v>
      </c>
      <c r="AK5" s="3"/>
      <c r="AL5" s="4">
        <v>140467</v>
      </c>
      <c r="AM5" s="5">
        <v>44678106</v>
      </c>
      <c r="AN5" s="4" t="s">
        <v>31</v>
      </c>
      <c r="AO5" s="4">
        <v>99</v>
      </c>
    </row>
    <row r="6" spans="1:42" x14ac:dyDescent="0.25">
      <c r="A6" s="3">
        <v>4602858</v>
      </c>
      <c r="B6" s="3" t="s">
        <v>73</v>
      </c>
      <c r="C6" s="3" t="s">
        <v>18</v>
      </c>
      <c r="D6" s="3">
        <v>10002705</v>
      </c>
      <c r="E6" s="4">
        <v>4532209</v>
      </c>
      <c r="F6" s="3" t="s">
        <v>19</v>
      </c>
      <c r="G6" s="4" t="s">
        <v>74</v>
      </c>
      <c r="H6" s="4" t="s">
        <v>75</v>
      </c>
      <c r="I6" s="5">
        <v>517000</v>
      </c>
      <c r="J6" s="3" t="s">
        <v>76</v>
      </c>
      <c r="K6" s="3" t="s">
        <v>77</v>
      </c>
      <c r="L6" s="3"/>
      <c r="M6" s="4" t="s">
        <v>78</v>
      </c>
      <c r="N6" s="3" t="s">
        <v>25</v>
      </c>
      <c r="O6" s="3"/>
      <c r="Q6" s="3"/>
      <c r="R6" s="3"/>
      <c r="Y6" s="4" t="s">
        <v>79</v>
      </c>
      <c r="Z6" s="4" t="s">
        <v>79</v>
      </c>
      <c r="AB6" s="3"/>
      <c r="AC6" s="3"/>
      <c r="AD6" s="3" t="s">
        <v>73</v>
      </c>
      <c r="AE6" s="3">
        <v>5000</v>
      </c>
      <c r="AI6" s="4" t="s">
        <v>80</v>
      </c>
      <c r="AJ6" s="4" t="s">
        <v>80</v>
      </c>
      <c r="AK6" s="3"/>
      <c r="AL6" s="4" t="s">
        <v>81</v>
      </c>
      <c r="AM6" s="5">
        <v>517000</v>
      </c>
      <c r="AN6" s="4" t="s">
        <v>31</v>
      </c>
      <c r="AO6" s="4">
        <v>99</v>
      </c>
    </row>
    <row r="7" spans="1:42" x14ac:dyDescent="0.25">
      <c r="A7" s="3">
        <v>4602861</v>
      </c>
      <c r="B7" s="3" t="s">
        <v>73</v>
      </c>
      <c r="C7" s="3" t="s">
        <v>18</v>
      </c>
      <c r="D7" s="3">
        <v>10002705</v>
      </c>
      <c r="E7" s="4">
        <v>4532212</v>
      </c>
      <c r="F7" s="3" t="s">
        <v>19</v>
      </c>
      <c r="G7" s="4" t="s">
        <v>82</v>
      </c>
      <c r="H7" s="4" t="s">
        <v>75</v>
      </c>
      <c r="I7" s="5">
        <v>319000</v>
      </c>
      <c r="J7" s="3" t="s">
        <v>76</v>
      </c>
      <c r="K7" s="3" t="s">
        <v>77</v>
      </c>
      <c r="L7" s="3"/>
      <c r="M7" s="4" t="s">
        <v>83</v>
      </c>
      <c r="N7" s="3" t="s">
        <v>25</v>
      </c>
      <c r="O7" s="3"/>
      <c r="Q7" s="3"/>
      <c r="R7" s="3"/>
      <c r="Y7" s="4" t="s">
        <v>79</v>
      </c>
      <c r="Z7" s="4" t="s">
        <v>79</v>
      </c>
      <c r="AB7" s="3"/>
      <c r="AC7" s="3"/>
      <c r="AD7" s="3" t="s">
        <v>73</v>
      </c>
      <c r="AE7" s="3">
        <v>5000</v>
      </c>
      <c r="AI7" s="4" t="s">
        <v>80</v>
      </c>
      <c r="AJ7" s="4" t="s">
        <v>80</v>
      </c>
      <c r="AK7" s="3"/>
      <c r="AL7" s="4" t="s">
        <v>84</v>
      </c>
      <c r="AM7" s="5">
        <v>319000</v>
      </c>
      <c r="AN7" s="4" t="s">
        <v>31</v>
      </c>
      <c r="AO7" s="4">
        <v>99</v>
      </c>
    </row>
    <row r="8" spans="1:42" x14ac:dyDescent="0.25">
      <c r="A8" s="3">
        <v>4602862</v>
      </c>
      <c r="B8" s="3" t="s">
        <v>73</v>
      </c>
      <c r="C8" s="3" t="s">
        <v>18</v>
      </c>
      <c r="D8" s="3">
        <v>10002705</v>
      </c>
      <c r="E8" s="4">
        <v>4532213</v>
      </c>
      <c r="F8" s="3" t="s">
        <v>19</v>
      </c>
      <c r="G8" s="4" t="s">
        <v>85</v>
      </c>
      <c r="H8" s="4" t="s">
        <v>75</v>
      </c>
      <c r="I8" s="5">
        <v>319000</v>
      </c>
      <c r="J8" s="3" t="s">
        <v>76</v>
      </c>
      <c r="K8" s="3" t="s">
        <v>77</v>
      </c>
      <c r="L8" s="3"/>
      <c r="M8" s="4" t="s">
        <v>86</v>
      </c>
      <c r="N8" s="3" t="s">
        <v>25</v>
      </c>
      <c r="O8" s="3"/>
      <c r="Q8" s="3"/>
      <c r="R8" s="3"/>
      <c r="Y8" s="4" t="s">
        <v>79</v>
      </c>
      <c r="Z8" s="4" t="s">
        <v>79</v>
      </c>
      <c r="AB8" s="3"/>
      <c r="AC8" s="3"/>
      <c r="AD8" s="3" t="s">
        <v>73</v>
      </c>
      <c r="AE8" s="3">
        <v>5000</v>
      </c>
      <c r="AI8" s="4" t="s">
        <v>80</v>
      </c>
      <c r="AJ8" s="4" t="s">
        <v>80</v>
      </c>
      <c r="AK8" s="3"/>
      <c r="AL8" s="4" t="s">
        <v>87</v>
      </c>
      <c r="AM8" s="5">
        <v>308000</v>
      </c>
      <c r="AN8" s="4" t="s">
        <v>31</v>
      </c>
      <c r="AO8" s="4">
        <v>99</v>
      </c>
    </row>
    <row r="9" spans="1:42" x14ac:dyDescent="0.25">
      <c r="A9" s="3">
        <v>4602867</v>
      </c>
      <c r="B9" s="3" t="s">
        <v>73</v>
      </c>
      <c r="C9" s="3" t="s">
        <v>18</v>
      </c>
      <c r="D9" s="3">
        <v>10002705</v>
      </c>
      <c r="E9" s="4">
        <v>4532218</v>
      </c>
      <c r="F9" s="3" t="s">
        <v>19</v>
      </c>
      <c r="G9" s="4" t="s">
        <v>85</v>
      </c>
      <c r="H9" s="4" t="s">
        <v>75</v>
      </c>
      <c r="I9" s="5">
        <v>473000</v>
      </c>
      <c r="J9" s="3" t="s">
        <v>76</v>
      </c>
      <c r="K9" s="3" t="s">
        <v>77</v>
      </c>
      <c r="L9" s="3"/>
      <c r="M9" s="4" t="s">
        <v>88</v>
      </c>
      <c r="N9" s="3" t="s">
        <v>25</v>
      </c>
      <c r="O9" s="3"/>
      <c r="Q9" s="3"/>
      <c r="R9" s="3"/>
      <c r="Y9" s="4" t="s">
        <v>79</v>
      </c>
      <c r="Z9" s="4" t="s">
        <v>79</v>
      </c>
      <c r="AB9" s="3"/>
      <c r="AC9" s="3"/>
      <c r="AD9" s="3" t="s">
        <v>73</v>
      </c>
      <c r="AE9" s="3">
        <v>5000</v>
      </c>
      <c r="AI9" s="4" t="s">
        <v>80</v>
      </c>
      <c r="AJ9" s="4" t="s">
        <v>80</v>
      </c>
      <c r="AK9" s="3"/>
      <c r="AL9" s="4" t="s">
        <v>87</v>
      </c>
      <c r="AM9" s="5">
        <v>473000</v>
      </c>
      <c r="AN9" s="4" t="s">
        <v>31</v>
      </c>
      <c r="AO9" s="4">
        <v>99</v>
      </c>
    </row>
    <row r="10" spans="1:42" x14ac:dyDescent="0.25">
      <c r="A10" s="3">
        <v>4602870</v>
      </c>
      <c r="B10" s="3" t="s">
        <v>73</v>
      </c>
      <c r="C10" s="3" t="s">
        <v>18</v>
      </c>
      <c r="D10" s="3">
        <v>10002705</v>
      </c>
      <c r="E10" s="4">
        <v>4532221</v>
      </c>
      <c r="F10" s="3" t="s">
        <v>19</v>
      </c>
      <c r="G10" s="4" t="s">
        <v>89</v>
      </c>
      <c r="H10" s="4" t="s">
        <v>75</v>
      </c>
      <c r="I10" s="5">
        <v>319000</v>
      </c>
      <c r="J10" s="3" t="s">
        <v>76</v>
      </c>
      <c r="K10" s="3" t="s">
        <v>77</v>
      </c>
      <c r="L10" s="3"/>
      <c r="M10" s="4" t="s">
        <v>90</v>
      </c>
      <c r="N10" s="3" t="s">
        <v>25</v>
      </c>
      <c r="O10" s="3"/>
      <c r="Q10" s="3"/>
      <c r="R10" s="3"/>
      <c r="Y10" s="4" t="s">
        <v>79</v>
      </c>
      <c r="Z10" s="4" t="s">
        <v>79</v>
      </c>
      <c r="AB10" s="3"/>
      <c r="AC10" s="3"/>
      <c r="AD10" s="3" t="s">
        <v>73</v>
      </c>
      <c r="AE10" s="3">
        <v>5000</v>
      </c>
      <c r="AI10" s="4" t="s">
        <v>80</v>
      </c>
      <c r="AJ10" s="4" t="s">
        <v>80</v>
      </c>
      <c r="AK10" s="3"/>
      <c r="AL10" s="4" t="s">
        <v>91</v>
      </c>
      <c r="AM10" s="5">
        <v>319000</v>
      </c>
      <c r="AN10" s="4" t="s">
        <v>31</v>
      </c>
      <c r="AO10" s="4">
        <v>99</v>
      </c>
    </row>
    <row r="11" spans="1:42" x14ac:dyDescent="0.25">
      <c r="A11" s="3">
        <v>4602873</v>
      </c>
      <c r="B11" s="3" t="s">
        <v>73</v>
      </c>
      <c r="C11" s="3" t="s">
        <v>18</v>
      </c>
      <c r="D11" s="3">
        <v>10002705</v>
      </c>
      <c r="E11" s="4">
        <v>4532224</v>
      </c>
      <c r="F11" s="3" t="s">
        <v>19</v>
      </c>
      <c r="G11" s="4" t="s">
        <v>92</v>
      </c>
      <c r="H11" s="4" t="s">
        <v>75</v>
      </c>
      <c r="I11" s="5">
        <v>319000</v>
      </c>
      <c r="J11" s="3" t="s">
        <v>76</v>
      </c>
      <c r="K11" s="3" t="s">
        <v>77</v>
      </c>
      <c r="L11" s="3"/>
      <c r="M11" s="4" t="s">
        <v>93</v>
      </c>
      <c r="N11" s="3" t="s">
        <v>25</v>
      </c>
      <c r="O11" s="3"/>
      <c r="Q11" s="3"/>
      <c r="R11" s="3"/>
      <c r="Y11" s="4" t="s">
        <v>79</v>
      </c>
      <c r="Z11" s="4" t="s">
        <v>79</v>
      </c>
      <c r="AB11" s="3"/>
      <c r="AC11" s="3"/>
      <c r="AD11" s="3" t="s">
        <v>73</v>
      </c>
      <c r="AE11" s="3">
        <v>5000</v>
      </c>
      <c r="AI11" s="4" t="s">
        <v>80</v>
      </c>
      <c r="AJ11" s="4" t="s">
        <v>80</v>
      </c>
      <c r="AK11" s="3"/>
      <c r="AL11" s="4" t="s">
        <v>94</v>
      </c>
      <c r="AM11" s="5">
        <v>319000</v>
      </c>
      <c r="AN11" s="4" t="s">
        <v>31</v>
      </c>
      <c r="AO11" s="4">
        <v>99</v>
      </c>
    </row>
    <row r="12" spans="1:42" x14ac:dyDescent="0.25">
      <c r="A12" s="3">
        <v>4602877</v>
      </c>
      <c r="B12" s="3" t="s">
        <v>73</v>
      </c>
      <c r="C12" s="3" t="s">
        <v>18</v>
      </c>
      <c r="D12" s="3">
        <v>10002705</v>
      </c>
      <c r="E12" s="4">
        <v>4532228</v>
      </c>
      <c r="F12" s="3" t="s">
        <v>19</v>
      </c>
      <c r="G12" s="4" t="s">
        <v>95</v>
      </c>
      <c r="H12" s="4" t="s">
        <v>75</v>
      </c>
      <c r="I12" s="5">
        <v>528000</v>
      </c>
      <c r="J12" s="3" t="s">
        <v>76</v>
      </c>
      <c r="K12" s="3" t="s">
        <v>77</v>
      </c>
      <c r="L12" s="3"/>
      <c r="M12" s="4" t="s">
        <v>96</v>
      </c>
      <c r="N12" s="3" t="s">
        <v>25</v>
      </c>
      <c r="O12" s="3"/>
      <c r="Q12" s="3"/>
      <c r="R12" s="3"/>
      <c r="Y12" s="4" t="s">
        <v>79</v>
      </c>
      <c r="Z12" s="4" t="s">
        <v>79</v>
      </c>
      <c r="AB12" s="3"/>
      <c r="AC12" s="3"/>
      <c r="AD12" s="3" t="s">
        <v>73</v>
      </c>
      <c r="AE12" s="3">
        <v>5000</v>
      </c>
      <c r="AI12" s="4" t="s">
        <v>80</v>
      </c>
      <c r="AJ12" s="4" t="s">
        <v>80</v>
      </c>
      <c r="AK12" s="3"/>
      <c r="AL12" s="4" t="s">
        <v>97</v>
      </c>
      <c r="AM12" s="5">
        <v>528000</v>
      </c>
      <c r="AN12" s="4" t="s">
        <v>31</v>
      </c>
      <c r="AO12" s="4">
        <v>99</v>
      </c>
    </row>
    <row r="13" spans="1:42" x14ac:dyDescent="0.25">
      <c r="A13" s="3">
        <v>4603194</v>
      </c>
      <c r="B13" s="3" t="s">
        <v>106</v>
      </c>
      <c r="C13" s="3" t="s">
        <v>107</v>
      </c>
      <c r="D13" s="3">
        <v>10003029</v>
      </c>
      <c r="E13" s="4">
        <v>4532545</v>
      </c>
      <c r="F13" s="3" t="s">
        <v>19</v>
      </c>
      <c r="G13" s="4" t="s">
        <v>108</v>
      </c>
      <c r="H13" s="4" t="s">
        <v>109</v>
      </c>
      <c r="I13" s="5">
        <v>20974738.399999999</v>
      </c>
      <c r="J13" s="3" t="s">
        <v>110</v>
      </c>
      <c r="K13" s="3" t="s">
        <v>77</v>
      </c>
      <c r="L13" s="3"/>
      <c r="M13" s="4" t="s">
        <v>109</v>
      </c>
      <c r="N13" s="3" t="s">
        <v>25</v>
      </c>
      <c r="O13" s="3"/>
      <c r="Q13" s="3"/>
      <c r="R13" s="3"/>
      <c r="Y13" s="4" t="s">
        <v>111</v>
      </c>
      <c r="Z13" s="4" t="s">
        <v>112</v>
      </c>
      <c r="AB13" s="3"/>
      <c r="AC13" s="3"/>
      <c r="AD13" s="3" t="s">
        <v>113</v>
      </c>
      <c r="AE13" s="3">
        <v>5000</v>
      </c>
      <c r="AI13" s="4" t="s">
        <v>114</v>
      </c>
      <c r="AJ13" s="4" t="s">
        <v>115</v>
      </c>
      <c r="AK13" s="3"/>
      <c r="AL13" s="4">
        <v>46320</v>
      </c>
      <c r="AM13" s="5">
        <v>20974738.399999999</v>
      </c>
      <c r="AN13" s="4" t="s">
        <v>31</v>
      </c>
      <c r="AO13" s="4">
        <v>97</v>
      </c>
    </row>
    <row r="14" spans="1:42" x14ac:dyDescent="0.25">
      <c r="A14" s="3">
        <v>4603465</v>
      </c>
      <c r="B14" s="3" t="s">
        <v>125</v>
      </c>
      <c r="C14" s="3" t="s">
        <v>107</v>
      </c>
      <c r="D14" s="3">
        <v>10003282</v>
      </c>
      <c r="E14" s="4">
        <v>4532816</v>
      </c>
      <c r="F14" s="3" t="s">
        <v>19</v>
      </c>
      <c r="G14" s="4" t="s">
        <v>108</v>
      </c>
      <c r="H14" s="4" t="s">
        <v>126</v>
      </c>
      <c r="I14" s="5">
        <v>357119.65</v>
      </c>
      <c r="J14" s="3" t="s">
        <v>127</v>
      </c>
      <c r="K14" s="3" t="s">
        <v>77</v>
      </c>
      <c r="L14" s="3"/>
      <c r="M14" s="4" t="s">
        <v>128</v>
      </c>
      <c r="N14" s="3" t="s">
        <v>25</v>
      </c>
      <c r="O14" s="3"/>
      <c r="Q14" s="3"/>
      <c r="R14" s="3"/>
      <c r="Y14" s="4" t="s">
        <v>129</v>
      </c>
      <c r="Z14" s="4" t="s">
        <v>130</v>
      </c>
      <c r="AB14" s="3"/>
      <c r="AC14" s="3"/>
      <c r="AD14" s="3" t="s">
        <v>125</v>
      </c>
      <c r="AE14" s="3">
        <v>5000</v>
      </c>
      <c r="AI14" s="4" t="s">
        <v>131</v>
      </c>
      <c r="AJ14" s="4" t="s">
        <v>132</v>
      </c>
      <c r="AK14" s="3"/>
      <c r="AL14" s="4">
        <v>46320</v>
      </c>
      <c r="AM14" s="5">
        <v>357119.65</v>
      </c>
      <c r="AN14" s="4" t="s">
        <v>31</v>
      </c>
      <c r="AO14" s="4">
        <v>98</v>
      </c>
    </row>
    <row r="15" spans="1:42" x14ac:dyDescent="0.25">
      <c r="A15" s="3">
        <v>4603662</v>
      </c>
      <c r="B15" s="3" t="s">
        <v>125</v>
      </c>
      <c r="C15" s="3" t="s">
        <v>107</v>
      </c>
      <c r="D15" s="3">
        <v>10003282</v>
      </c>
      <c r="E15" s="4">
        <v>4533013</v>
      </c>
      <c r="F15" s="3" t="s">
        <v>19</v>
      </c>
      <c r="G15" s="4" t="s">
        <v>108</v>
      </c>
      <c r="H15" s="4" t="s">
        <v>126</v>
      </c>
      <c r="I15" s="5">
        <v>805776.29</v>
      </c>
      <c r="J15" s="3" t="s">
        <v>127</v>
      </c>
      <c r="K15" s="3" t="s">
        <v>77</v>
      </c>
      <c r="L15" s="3"/>
      <c r="M15" s="4" t="s">
        <v>126</v>
      </c>
      <c r="N15" s="3" t="s">
        <v>25</v>
      </c>
      <c r="O15" s="3"/>
      <c r="Q15" s="3"/>
      <c r="R15" s="3"/>
      <c r="Y15" s="4" t="s">
        <v>141</v>
      </c>
      <c r="Z15" s="4" t="s">
        <v>130</v>
      </c>
      <c r="AB15" s="3"/>
      <c r="AC15" s="3"/>
      <c r="AD15" s="3" t="s">
        <v>144</v>
      </c>
      <c r="AE15" s="3">
        <v>5000</v>
      </c>
      <c r="AI15" s="4" t="s">
        <v>142</v>
      </c>
      <c r="AJ15" s="4" t="s">
        <v>132</v>
      </c>
      <c r="AK15" s="3"/>
      <c r="AL15" s="4">
        <v>46320</v>
      </c>
      <c r="AM15" s="5">
        <v>805776.29</v>
      </c>
      <c r="AN15" s="4" t="s">
        <v>31</v>
      </c>
      <c r="AO15" s="4">
        <v>98</v>
      </c>
    </row>
    <row r="16" spans="1:42" x14ac:dyDescent="0.25">
      <c r="A16" s="3">
        <v>4603922</v>
      </c>
      <c r="B16" s="3" t="s">
        <v>145</v>
      </c>
      <c r="C16" s="3" t="s">
        <v>107</v>
      </c>
      <c r="D16" s="3">
        <v>10003600</v>
      </c>
      <c r="E16" s="4">
        <v>4533273</v>
      </c>
      <c r="F16" s="3" t="s">
        <v>19</v>
      </c>
      <c r="G16" s="4" t="s">
        <v>146</v>
      </c>
      <c r="H16" s="4" t="s">
        <v>147</v>
      </c>
      <c r="I16" s="5">
        <v>385000</v>
      </c>
      <c r="J16" s="3" t="s">
        <v>76</v>
      </c>
      <c r="K16" s="3" t="s">
        <v>77</v>
      </c>
      <c r="L16" s="3"/>
      <c r="M16" s="4" t="s">
        <v>148</v>
      </c>
      <c r="N16" s="3" t="s">
        <v>25</v>
      </c>
      <c r="O16" s="3"/>
      <c r="Q16" s="3"/>
      <c r="R16" s="3"/>
      <c r="Y16" s="4" t="s">
        <v>149</v>
      </c>
      <c r="Z16" s="4" t="s">
        <v>149</v>
      </c>
      <c r="AB16" s="3"/>
      <c r="AC16" s="3"/>
      <c r="AD16" s="3" t="s">
        <v>150</v>
      </c>
      <c r="AE16" s="3">
        <v>5000</v>
      </c>
      <c r="AI16" s="4" t="s">
        <v>151</v>
      </c>
      <c r="AJ16" s="4" t="s">
        <v>151</v>
      </c>
      <c r="AK16" s="3"/>
      <c r="AL16" s="4" t="s">
        <v>152</v>
      </c>
      <c r="AM16" s="5">
        <v>385000</v>
      </c>
      <c r="AN16" s="4" t="s">
        <v>31</v>
      </c>
      <c r="AO16" s="4">
        <v>99</v>
      </c>
    </row>
    <row r="17" spans="1:41" x14ac:dyDescent="0.25">
      <c r="A17" s="3">
        <v>4603924</v>
      </c>
      <c r="B17" s="3" t="s">
        <v>76</v>
      </c>
      <c r="C17" s="3" t="s">
        <v>107</v>
      </c>
      <c r="D17" s="3">
        <v>10003600</v>
      </c>
      <c r="E17" s="4">
        <v>4533275</v>
      </c>
      <c r="F17" s="3" t="s">
        <v>19</v>
      </c>
      <c r="G17" s="4" t="s">
        <v>153</v>
      </c>
      <c r="H17" s="4" t="s">
        <v>147</v>
      </c>
      <c r="I17" s="5">
        <v>187000</v>
      </c>
      <c r="J17" s="3" t="s">
        <v>76</v>
      </c>
      <c r="K17" s="3" t="s">
        <v>77</v>
      </c>
      <c r="L17" s="3"/>
      <c r="M17" s="4" t="s">
        <v>154</v>
      </c>
      <c r="N17" s="3" t="s">
        <v>25</v>
      </c>
      <c r="O17" s="3"/>
      <c r="Q17" s="3"/>
      <c r="R17" s="3"/>
      <c r="Y17" s="4" t="s">
        <v>149</v>
      </c>
      <c r="Z17" s="4" t="s">
        <v>149</v>
      </c>
      <c r="AB17" s="3"/>
      <c r="AC17" s="3"/>
      <c r="AD17" s="3" t="s">
        <v>150</v>
      </c>
      <c r="AE17" s="3">
        <v>5000</v>
      </c>
      <c r="AI17" s="4" t="s">
        <v>151</v>
      </c>
      <c r="AJ17" s="4" t="s">
        <v>151</v>
      </c>
      <c r="AK17" s="3"/>
      <c r="AL17" s="4" t="s">
        <v>155</v>
      </c>
      <c r="AM17" s="5">
        <v>187000</v>
      </c>
      <c r="AN17" s="4" t="s">
        <v>31</v>
      </c>
      <c r="AO17" s="4">
        <v>99</v>
      </c>
    </row>
    <row r="18" spans="1:41" x14ac:dyDescent="0.25">
      <c r="A18" s="3">
        <v>4603926</v>
      </c>
      <c r="B18" s="3" t="s">
        <v>76</v>
      </c>
      <c r="C18" s="3" t="s">
        <v>107</v>
      </c>
      <c r="D18" s="3">
        <v>10003600</v>
      </c>
      <c r="E18" s="4">
        <v>4533277</v>
      </c>
      <c r="F18" s="3" t="s">
        <v>19</v>
      </c>
      <c r="G18" s="4" t="s">
        <v>156</v>
      </c>
      <c r="H18" s="4" t="s">
        <v>147</v>
      </c>
      <c r="I18" s="5">
        <v>517000</v>
      </c>
      <c r="J18" s="3" t="s">
        <v>76</v>
      </c>
      <c r="K18" s="3" t="s">
        <v>77</v>
      </c>
      <c r="L18" s="3"/>
      <c r="M18" s="4" t="s">
        <v>157</v>
      </c>
      <c r="N18" s="3" t="s">
        <v>25</v>
      </c>
      <c r="O18" s="3"/>
      <c r="Q18" s="3"/>
      <c r="R18" s="3"/>
      <c r="Y18" s="4" t="s">
        <v>149</v>
      </c>
      <c r="Z18" s="4" t="s">
        <v>149</v>
      </c>
      <c r="AB18" s="3"/>
      <c r="AC18" s="3"/>
      <c r="AD18" s="3" t="s">
        <v>150</v>
      </c>
      <c r="AE18" s="3">
        <v>5000</v>
      </c>
      <c r="AI18" s="4" t="s">
        <v>151</v>
      </c>
      <c r="AJ18" s="4" t="s">
        <v>151</v>
      </c>
      <c r="AK18" s="3"/>
      <c r="AL18" s="4" t="s">
        <v>158</v>
      </c>
      <c r="AM18" s="5">
        <v>517000</v>
      </c>
      <c r="AN18" s="4" t="s">
        <v>31</v>
      </c>
      <c r="AO18" s="4">
        <v>99</v>
      </c>
    </row>
    <row r="19" spans="1:41" x14ac:dyDescent="0.25">
      <c r="A19" s="3">
        <v>4603928</v>
      </c>
      <c r="B19" s="3" t="s">
        <v>76</v>
      </c>
      <c r="C19" s="3" t="s">
        <v>107</v>
      </c>
      <c r="D19" s="3">
        <v>10003600</v>
      </c>
      <c r="E19" s="4">
        <v>4533279</v>
      </c>
      <c r="F19" s="3" t="s">
        <v>19</v>
      </c>
      <c r="G19" s="4" t="s">
        <v>156</v>
      </c>
      <c r="H19" s="4" t="s">
        <v>147</v>
      </c>
      <c r="I19" s="5">
        <v>627000</v>
      </c>
      <c r="J19" s="3" t="s">
        <v>76</v>
      </c>
      <c r="K19" s="3" t="s">
        <v>77</v>
      </c>
      <c r="L19" s="3"/>
      <c r="M19" s="4" t="s">
        <v>159</v>
      </c>
      <c r="N19" s="3" t="s">
        <v>25</v>
      </c>
      <c r="O19" s="3"/>
      <c r="Q19" s="3"/>
      <c r="R19" s="3"/>
      <c r="Y19" s="4" t="s">
        <v>149</v>
      </c>
      <c r="Z19" s="4" t="s">
        <v>149</v>
      </c>
      <c r="AB19" s="3"/>
      <c r="AC19" s="3"/>
      <c r="AD19" s="3" t="s">
        <v>150</v>
      </c>
      <c r="AE19" s="3">
        <v>5000</v>
      </c>
      <c r="AI19" s="4" t="s">
        <v>151</v>
      </c>
      <c r="AJ19" s="4" t="s">
        <v>151</v>
      </c>
      <c r="AK19" s="3"/>
      <c r="AL19" s="4" t="s">
        <v>158</v>
      </c>
      <c r="AM19" s="5">
        <v>627000</v>
      </c>
      <c r="AN19" s="4" t="s">
        <v>31</v>
      </c>
      <c r="AO19" s="4">
        <v>99</v>
      </c>
    </row>
    <row r="20" spans="1:41" x14ac:dyDescent="0.25">
      <c r="A20" s="3">
        <v>4603930</v>
      </c>
      <c r="B20" s="3" t="s">
        <v>76</v>
      </c>
      <c r="C20" s="3" t="s">
        <v>107</v>
      </c>
      <c r="D20" s="3">
        <v>10003600</v>
      </c>
      <c r="E20" s="4">
        <v>4533281</v>
      </c>
      <c r="F20" s="3" t="s">
        <v>19</v>
      </c>
      <c r="G20" s="4" t="s">
        <v>160</v>
      </c>
      <c r="H20" s="4" t="s">
        <v>147</v>
      </c>
      <c r="I20" s="5">
        <v>385000</v>
      </c>
      <c r="J20" s="3" t="s">
        <v>76</v>
      </c>
      <c r="K20" s="3" t="s">
        <v>77</v>
      </c>
      <c r="L20" s="3"/>
      <c r="M20" s="4" t="s">
        <v>161</v>
      </c>
      <c r="N20" s="3" t="s">
        <v>25</v>
      </c>
      <c r="O20" s="3"/>
      <c r="Q20" s="3"/>
      <c r="R20" s="3"/>
      <c r="Y20" s="4" t="s">
        <v>149</v>
      </c>
      <c r="Z20" s="4" t="s">
        <v>149</v>
      </c>
      <c r="AB20" s="3"/>
      <c r="AC20" s="3"/>
      <c r="AD20" s="3" t="s">
        <v>150</v>
      </c>
      <c r="AE20" s="3">
        <v>5000</v>
      </c>
      <c r="AI20" s="4" t="s">
        <v>151</v>
      </c>
      <c r="AJ20" s="4" t="s">
        <v>151</v>
      </c>
      <c r="AK20" s="3"/>
      <c r="AL20" s="4" t="s">
        <v>162</v>
      </c>
      <c r="AM20" s="5">
        <v>385000</v>
      </c>
      <c r="AN20" s="4" t="s">
        <v>31</v>
      </c>
      <c r="AO20" s="4">
        <v>99</v>
      </c>
    </row>
    <row r="21" spans="1:41" x14ac:dyDescent="0.25">
      <c r="A21" s="3">
        <v>4603932</v>
      </c>
      <c r="B21" s="3" t="s">
        <v>76</v>
      </c>
      <c r="C21" s="3" t="s">
        <v>107</v>
      </c>
      <c r="D21" s="3">
        <v>10003600</v>
      </c>
      <c r="E21" s="4">
        <v>4533283</v>
      </c>
      <c r="F21" s="3" t="s">
        <v>19</v>
      </c>
      <c r="G21" s="4" t="s">
        <v>163</v>
      </c>
      <c r="H21" s="4" t="s">
        <v>147</v>
      </c>
      <c r="I21" s="5">
        <v>65000</v>
      </c>
      <c r="J21" s="3" t="s">
        <v>76</v>
      </c>
      <c r="K21" s="3" t="s">
        <v>77</v>
      </c>
      <c r="L21" s="3"/>
      <c r="M21" s="4" t="s">
        <v>164</v>
      </c>
      <c r="N21" s="3" t="s">
        <v>25</v>
      </c>
      <c r="O21" s="3"/>
      <c r="Q21" s="3"/>
      <c r="R21" s="3"/>
      <c r="Y21" s="4" t="s">
        <v>149</v>
      </c>
      <c r="Z21" s="4" t="s">
        <v>149</v>
      </c>
      <c r="AB21" s="3"/>
      <c r="AC21" s="3"/>
      <c r="AD21" s="3" t="s">
        <v>150</v>
      </c>
      <c r="AE21" s="3">
        <v>5000</v>
      </c>
      <c r="AI21" s="4" t="s">
        <v>151</v>
      </c>
      <c r="AJ21" s="4" t="s">
        <v>151</v>
      </c>
      <c r="AK21" s="3"/>
      <c r="AL21" s="4" t="s">
        <v>165</v>
      </c>
      <c r="AM21" s="5">
        <v>65000</v>
      </c>
      <c r="AN21" s="4" t="s">
        <v>31</v>
      </c>
      <c r="AO21" s="4">
        <v>99</v>
      </c>
    </row>
    <row r="22" spans="1:41" x14ac:dyDescent="0.25">
      <c r="A22" s="3">
        <v>4603934</v>
      </c>
      <c r="B22" s="3" t="s">
        <v>76</v>
      </c>
      <c r="C22" s="3" t="s">
        <v>107</v>
      </c>
      <c r="D22" s="3">
        <v>10003600</v>
      </c>
      <c r="E22" s="4">
        <v>4533285</v>
      </c>
      <c r="F22" s="3" t="s">
        <v>19</v>
      </c>
      <c r="G22" s="4" t="s">
        <v>166</v>
      </c>
      <c r="H22" s="4" t="s">
        <v>147</v>
      </c>
      <c r="I22" s="5">
        <v>319000</v>
      </c>
      <c r="J22" s="3" t="s">
        <v>76</v>
      </c>
      <c r="K22" s="3" t="s">
        <v>77</v>
      </c>
      <c r="L22" s="3"/>
      <c r="M22" s="4" t="s">
        <v>167</v>
      </c>
      <c r="N22" s="3" t="s">
        <v>25</v>
      </c>
      <c r="O22" s="3"/>
      <c r="Q22" s="3"/>
      <c r="R22" s="3"/>
      <c r="Y22" s="4" t="s">
        <v>149</v>
      </c>
      <c r="Z22" s="4" t="s">
        <v>149</v>
      </c>
      <c r="AB22" s="3"/>
      <c r="AC22" s="3"/>
      <c r="AD22" s="3" t="s">
        <v>150</v>
      </c>
      <c r="AE22" s="3">
        <v>5000</v>
      </c>
      <c r="AI22" s="4" t="s">
        <v>151</v>
      </c>
      <c r="AJ22" s="4" t="s">
        <v>151</v>
      </c>
      <c r="AK22" s="3"/>
      <c r="AL22" s="4" t="s">
        <v>168</v>
      </c>
      <c r="AM22" s="5">
        <v>319000</v>
      </c>
      <c r="AN22" s="4" t="s">
        <v>31</v>
      </c>
      <c r="AO22" s="4">
        <v>99</v>
      </c>
    </row>
    <row r="23" spans="1:41" x14ac:dyDescent="0.25">
      <c r="A23" s="3">
        <v>4603936</v>
      </c>
      <c r="B23" s="3" t="s">
        <v>76</v>
      </c>
      <c r="C23" s="3" t="s">
        <v>107</v>
      </c>
      <c r="D23" s="3">
        <v>10003600</v>
      </c>
      <c r="E23" s="4">
        <v>4533287</v>
      </c>
      <c r="F23" s="3" t="s">
        <v>19</v>
      </c>
      <c r="G23" s="4" t="s">
        <v>169</v>
      </c>
      <c r="H23" s="4" t="s">
        <v>147</v>
      </c>
      <c r="I23" s="5">
        <v>324500</v>
      </c>
      <c r="J23" s="3" t="s">
        <v>76</v>
      </c>
      <c r="K23" s="3" t="s">
        <v>77</v>
      </c>
      <c r="L23" s="3"/>
      <c r="M23" s="4" t="s">
        <v>170</v>
      </c>
      <c r="N23" s="3" t="s">
        <v>25</v>
      </c>
      <c r="O23" s="3"/>
      <c r="Q23" s="3"/>
      <c r="R23" s="3"/>
      <c r="Y23" s="4" t="s">
        <v>149</v>
      </c>
      <c r="Z23" s="4" t="s">
        <v>149</v>
      </c>
      <c r="AB23" s="3"/>
      <c r="AC23" s="3"/>
      <c r="AD23" s="3" t="s">
        <v>150</v>
      </c>
      <c r="AE23" s="3">
        <v>5000</v>
      </c>
      <c r="AI23" s="4" t="s">
        <v>151</v>
      </c>
      <c r="AJ23" s="4" t="s">
        <v>151</v>
      </c>
      <c r="AK23" s="3"/>
      <c r="AL23" s="4" t="s">
        <v>171</v>
      </c>
      <c r="AM23" s="5">
        <v>324500</v>
      </c>
      <c r="AN23" s="4" t="s">
        <v>31</v>
      </c>
      <c r="AO23" s="4">
        <v>99</v>
      </c>
    </row>
    <row r="24" spans="1:41" x14ac:dyDescent="0.25">
      <c r="A24" s="3">
        <v>4604206</v>
      </c>
      <c r="B24" s="3" t="s">
        <v>125</v>
      </c>
      <c r="C24" s="3" t="s">
        <v>107</v>
      </c>
      <c r="D24" s="3">
        <v>10003282</v>
      </c>
      <c r="E24" s="4">
        <v>4533557</v>
      </c>
      <c r="F24" s="3" t="s">
        <v>19</v>
      </c>
      <c r="G24" s="4" t="s">
        <v>108</v>
      </c>
      <c r="H24" s="4" t="s">
        <v>126</v>
      </c>
      <c r="I24" s="5">
        <v>59162071.640000001</v>
      </c>
      <c r="J24" s="3" t="s">
        <v>127</v>
      </c>
      <c r="K24" s="3" t="s">
        <v>77</v>
      </c>
      <c r="L24" s="3"/>
      <c r="M24" s="4" t="s">
        <v>126</v>
      </c>
      <c r="N24" s="3" t="s">
        <v>25</v>
      </c>
      <c r="O24" s="3"/>
      <c r="Q24" s="3"/>
      <c r="R24" s="3"/>
      <c r="Y24" s="4" t="s">
        <v>112</v>
      </c>
      <c r="Z24" s="4" t="s">
        <v>141</v>
      </c>
      <c r="AB24" s="3"/>
      <c r="AC24" s="3"/>
      <c r="AD24" s="3" t="s">
        <v>172</v>
      </c>
      <c r="AE24" s="3">
        <v>5000</v>
      </c>
      <c r="AI24" s="4" t="s">
        <v>115</v>
      </c>
      <c r="AJ24" s="4" t="s">
        <v>142</v>
      </c>
      <c r="AK24" s="3"/>
      <c r="AL24" s="4">
        <v>141440</v>
      </c>
      <c r="AM24" s="5">
        <v>59162071.640000001</v>
      </c>
      <c r="AN24" s="4" t="s">
        <v>31</v>
      </c>
      <c r="AO24" s="4">
        <v>56</v>
      </c>
    </row>
    <row r="25" spans="1:41" x14ac:dyDescent="0.25">
      <c r="A25" s="3">
        <v>4603697</v>
      </c>
      <c r="B25" s="3" t="s">
        <v>226</v>
      </c>
      <c r="C25" s="3" t="s">
        <v>227</v>
      </c>
      <c r="D25" s="3">
        <v>10003489</v>
      </c>
      <c r="E25" s="4">
        <v>4533048</v>
      </c>
      <c r="F25" s="3" t="s">
        <v>19</v>
      </c>
      <c r="G25" s="4" t="s">
        <v>228</v>
      </c>
      <c r="H25" s="4" t="s">
        <v>229</v>
      </c>
      <c r="I25" s="5">
        <v>2420000</v>
      </c>
      <c r="J25" s="3" t="s">
        <v>230</v>
      </c>
      <c r="K25" s="3" t="s">
        <v>231</v>
      </c>
      <c r="L25" s="3"/>
      <c r="M25" s="4" t="s">
        <v>229</v>
      </c>
      <c r="N25" s="3" t="s">
        <v>25</v>
      </c>
      <c r="O25" s="3"/>
      <c r="Q25" s="3"/>
      <c r="R25" s="3"/>
      <c r="Y25" s="4" t="s">
        <v>232</v>
      </c>
      <c r="Z25" s="4" t="s">
        <v>232</v>
      </c>
      <c r="AB25" s="3"/>
      <c r="AC25" s="3"/>
      <c r="AD25" s="3" t="s">
        <v>233</v>
      </c>
      <c r="AE25" s="3">
        <v>5000</v>
      </c>
      <c r="AI25" s="4" t="s">
        <v>234</v>
      </c>
      <c r="AJ25" s="4" t="s">
        <v>234</v>
      </c>
      <c r="AK25" s="3"/>
      <c r="AL25" s="4">
        <v>140261</v>
      </c>
      <c r="AM25" s="5">
        <v>2420000</v>
      </c>
      <c r="AN25" s="4" t="s">
        <v>31</v>
      </c>
      <c r="AO25" s="4">
        <v>99</v>
      </c>
    </row>
    <row r="26" spans="1:41" x14ac:dyDescent="0.25">
      <c r="A26" s="3">
        <v>4603711</v>
      </c>
      <c r="B26" s="3" t="s">
        <v>233</v>
      </c>
      <c r="C26" s="3" t="s">
        <v>227</v>
      </c>
      <c r="D26" s="3">
        <v>10003565</v>
      </c>
      <c r="E26" s="4">
        <v>4533062</v>
      </c>
      <c r="F26" s="3" t="s">
        <v>19</v>
      </c>
      <c r="G26" s="4" t="s">
        <v>235</v>
      </c>
      <c r="H26" s="4" t="s">
        <v>236</v>
      </c>
      <c r="I26" s="5">
        <v>14497120</v>
      </c>
      <c r="J26" s="3" t="s">
        <v>233</v>
      </c>
      <c r="K26" s="3" t="s">
        <v>237</v>
      </c>
      <c r="L26" s="3"/>
      <c r="M26" s="4" t="s">
        <v>236</v>
      </c>
      <c r="N26" s="3" t="s">
        <v>25</v>
      </c>
      <c r="O26" s="3"/>
      <c r="Q26" s="3"/>
      <c r="R26" s="3"/>
      <c r="Y26" s="4" t="s">
        <v>232</v>
      </c>
      <c r="Z26" s="4" t="s">
        <v>232</v>
      </c>
      <c r="AB26" s="3"/>
      <c r="AC26" s="3"/>
      <c r="AD26" s="3" t="s">
        <v>238</v>
      </c>
      <c r="AE26" s="3">
        <v>5000</v>
      </c>
      <c r="AI26" s="4" t="s">
        <v>234</v>
      </c>
      <c r="AJ26" s="4" t="s">
        <v>234</v>
      </c>
      <c r="AK26" s="3"/>
      <c r="AL26" s="4">
        <v>141306</v>
      </c>
      <c r="AM26" s="5">
        <v>14497120</v>
      </c>
      <c r="AN26" s="4" t="s">
        <v>31</v>
      </c>
      <c r="AO26" s="4">
        <v>99</v>
      </c>
    </row>
    <row r="27" spans="1:41" x14ac:dyDescent="0.25">
      <c r="A27" s="3">
        <v>4603712</v>
      </c>
      <c r="B27" s="3" t="s">
        <v>238</v>
      </c>
      <c r="C27" s="3" t="s">
        <v>227</v>
      </c>
      <c r="D27" s="3">
        <v>10003566</v>
      </c>
      <c r="E27" s="4">
        <v>4533063</v>
      </c>
      <c r="F27" s="3" t="s">
        <v>19</v>
      </c>
      <c r="G27" s="4" t="s">
        <v>239</v>
      </c>
      <c r="H27" s="4" t="s">
        <v>240</v>
      </c>
      <c r="I27" s="5">
        <v>14497120</v>
      </c>
      <c r="J27" s="3" t="s">
        <v>238</v>
      </c>
      <c r="K27" s="3" t="s">
        <v>237</v>
      </c>
      <c r="L27" s="3"/>
      <c r="M27" s="4" t="s">
        <v>241</v>
      </c>
      <c r="N27" s="3" t="s">
        <v>25</v>
      </c>
      <c r="O27" s="3"/>
      <c r="Q27" s="3"/>
      <c r="R27" s="3"/>
      <c r="Y27" s="4" t="s">
        <v>232</v>
      </c>
      <c r="Z27" s="4" t="s">
        <v>232</v>
      </c>
      <c r="AB27" s="3"/>
      <c r="AC27" s="3"/>
      <c r="AD27" s="3" t="s">
        <v>238</v>
      </c>
      <c r="AE27" s="3">
        <v>5000</v>
      </c>
      <c r="AI27" s="4" t="s">
        <v>234</v>
      </c>
      <c r="AJ27" s="4" t="s">
        <v>234</v>
      </c>
      <c r="AK27" s="3"/>
      <c r="AL27" s="4">
        <v>141305</v>
      </c>
      <c r="AM27" s="5">
        <v>14497120</v>
      </c>
      <c r="AN27" s="4" t="s">
        <v>31</v>
      </c>
      <c r="AO27" s="4">
        <v>99</v>
      </c>
    </row>
    <row r="28" spans="1:41" x14ac:dyDescent="0.25">
      <c r="A28" s="3">
        <v>4603713</v>
      </c>
      <c r="B28" s="3" t="s">
        <v>238</v>
      </c>
      <c r="C28" s="3" t="s">
        <v>227</v>
      </c>
      <c r="D28" s="3">
        <v>10003567</v>
      </c>
      <c r="E28" s="4">
        <v>4533064</v>
      </c>
      <c r="F28" s="3" t="s">
        <v>19</v>
      </c>
      <c r="G28" s="4" t="s">
        <v>242</v>
      </c>
      <c r="H28" s="4" t="s">
        <v>243</v>
      </c>
      <c r="I28" s="5">
        <v>14497120</v>
      </c>
      <c r="J28" s="3" t="s">
        <v>238</v>
      </c>
      <c r="K28" s="3" t="s">
        <v>237</v>
      </c>
      <c r="L28" s="3"/>
      <c r="M28" s="4" t="s">
        <v>243</v>
      </c>
      <c r="N28" s="3" t="s">
        <v>25</v>
      </c>
      <c r="O28" s="3"/>
      <c r="Q28" s="3"/>
      <c r="R28" s="3"/>
      <c r="Y28" s="4" t="s">
        <v>232</v>
      </c>
      <c r="Z28" s="4" t="s">
        <v>232</v>
      </c>
      <c r="AB28" s="3"/>
      <c r="AC28" s="3"/>
      <c r="AD28" s="3" t="s">
        <v>238</v>
      </c>
      <c r="AE28" s="3">
        <v>5000</v>
      </c>
      <c r="AI28" s="4" t="s">
        <v>234</v>
      </c>
      <c r="AJ28" s="4" t="s">
        <v>234</v>
      </c>
      <c r="AK28" s="3"/>
      <c r="AL28" s="4">
        <v>141307</v>
      </c>
      <c r="AM28" s="5">
        <v>14497120</v>
      </c>
      <c r="AN28" s="4" t="s">
        <v>31</v>
      </c>
      <c r="AO28" s="4">
        <v>99</v>
      </c>
    </row>
    <row r="29" spans="1:41" x14ac:dyDescent="0.25">
      <c r="A29" s="3">
        <v>4603734</v>
      </c>
      <c r="B29" s="3" t="s">
        <v>244</v>
      </c>
      <c r="C29" s="3" t="s">
        <v>227</v>
      </c>
      <c r="D29" s="3">
        <v>10003493</v>
      </c>
      <c r="E29" s="4">
        <v>4533085</v>
      </c>
      <c r="F29" s="3" t="s">
        <v>19</v>
      </c>
      <c r="G29" s="4" t="s">
        <v>245</v>
      </c>
      <c r="H29" s="4" t="s">
        <v>246</v>
      </c>
      <c r="I29" s="5">
        <v>618750</v>
      </c>
      <c r="J29" s="3" t="s">
        <v>247</v>
      </c>
      <c r="K29" s="3" t="s">
        <v>231</v>
      </c>
      <c r="L29" s="3"/>
      <c r="M29" s="4" t="s">
        <v>246</v>
      </c>
      <c r="N29" s="3" t="s">
        <v>25</v>
      </c>
      <c r="O29" s="3"/>
      <c r="Q29" s="3"/>
      <c r="R29" s="3"/>
      <c r="Y29" s="4" t="s">
        <v>232</v>
      </c>
      <c r="Z29" s="4" t="s">
        <v>232</v>
      </c>
      <c r="AB29" s="3"/>
      <c r="AC29" s="3"/>
      <c r="AD29" s="3" t="s">
        <v>244</v>
      </c>
      <c r="AE29" s="3">
        <v>5000</v>
      </c>
      <c r="AI29" s="4" t="s">
        <v>234</v>
      </c>
      <c r="AJ29" s="4" t="s">
        <v>234</v>
      </c>
      <c r="AK29" s="3"/>
      <c r="AL29" s="4">
        <v>53529</v>
      </c>
      <c r="AM29" s="5">
        <v>618750</v>
      </c>
      <c r="AN29" s="4" t="s">
        <v>31</v>
      </c>
      <c r="AO29" s="4">
        <v>99</v>
      </c>
    </row>
    <row r="30" spans="1:41" x14ac:dyDescent="0.25">
      <c r="A30" s="3">
        <v>4603735</v>
      </c>
      <c r="B30" s="3" t="s">
        <v>244</v>
      </c>
      <c r="C30" s="3" t="s">
        <v>227</v>
      </c>
      <c r="D30" s="3">
        <v>10003492</v>
      </c>
      <c r="E30" s="4">
        <v>4533086</v>
      </c>
      <c r="F30" s="3" t="s">
        <v>19</v>
      </c>
      <c r="G30" s="4" t="s">
        <v>248</v>
      </c>
      <c r="H30" s="4" t="s">
        <v>249</v>
      </c>
      <c r="I30" s="5">
        <v>618750</v>
      </c>
      <c r="J30" s="3" t="s">
        <v>247</v>
      </c>
      <c r="K30" s="3" t="s">
        <v>231</v>
      </c>
      <c r="L30" s="3"/>
      <c r="M30" s="4" t="s">
        <v>249</v>
      </c>
      <c r="N30" s="3" t="s">
        <v>25</v>
      </c>
      <c r="O30" s="3"/>
      <c r="Q30" s="3"/>
      <c r="R30" s="3"/>
      <c r="Y30" s="4" t="s">
        <v>232</v>
      </c>
      <c r="Z30" s="4" t="s">
        <v>232</v>
      </c>
      <c r="AB30" s="3"/>
      <c r="AC30" s="3"/>
      <c r="AD30" s="3" t="s">
        <v>244</v>
      </c>
      <c r="AE30" s="3">
        <v>5000</v>
      </c>
      <c r="AI30" s="4" t="s">
        <v>234</v>
      </c>
      <c r="AJ30" s="4" t="s">
        <v>234</v>
      </c>
      <c r="AK30" s="3"/>
      <c r="AL30" s="4">
        <v>53531</v>
      </c>
      <c r="AM30" s="5">
        <v>618750</v>
      </c>
      <c r="AN30" s="4" t="s">
        <v>31</v>
      </c>
      <c r="AO30" s="4">
        <v>99</v>
      </c>
    </row>
    <row r="31" spans="1:41" x14ac:dyDescent="0.25">
      <c r="A31" s="3">
        <v>4603736</v>
      </c>
      <c r="B31" s="3" t="s">
        <v>244</v>
      </c>
      <c r="C31" s="3" t="s">
        <v>227</v>
      </c>
      <c r="D31" s="3">
        <v>10003491</v>
      </c>
      <c r="E31" s="4">
        <v>4533087</v>
      </c>
      <c r="F31" s="3" t="s">
        <v>19</v>
      </c>
      <c r="G31" s="4" t="s">
        <v>250</v>
      </c>
      <c r="H31" s="4" t="s">
        <v>251</v>
      </c>
      <c r="I31" s="5">
        <v>618750</v>
      </c>
      <c r="J31" s="3" t="s">
        <v>247</v>
      </c>
      <c r="K31" s="3" t="s">
        <v>231</v>
      </c>
      <c r="L31" s="3"/>
      <c r="M31" s="4" t="s">
        <v>251</v>
      </c>
      <c r="N31" s="3" t="s">
        <v>25</v>
      </c>
      <c r="O31" s="3"/>
      <c r="Q31" s="3"/>
      <c r="R31" s="3"/>
      <c r="Y31" s="4" t="s">
        <v>232</v>
      </c>
      <c r="Z31" s="4" t="s">
        <v>232</v>
      </c>
      <c r="AB31" s="3"/>
      <c r="AC31" s="3"/>
      <c r="AD31" s="3" t="s">
        <v>244</v>
      </c>
      <c r="AE31" s="3">
        <v>5000</v>
      </c>
      <c r="AI31" s="4" t="s">
        <v>234</v>
      </c>
      <c r="AJ31" s="4" t="s">
        <v>234</v>
      </c>
      <c r="AK31" s="3"/>
      <c r="AL31" s="4">
        <v>53530</v>
      </c>
      <c r="AM31" s="5">
        <v>618750</v>
      </c>
      <c r="AN31" s="4" t="s">
        <v>31</v>
      </c>
      <c r="AO31" s="4">
        <v>99</v>
      </c>
    </row>
    <row r="32" spans="1:41" x14ac:dyDescent="0.25">
      <c r="A32" s="3">
        <v>4603737</v>
      </c>
      <c r="B32" s="3" t="s">
        <v>244</v>
      </c>
      <c r="C32" s="3" t="s">
        <v>227</v>
      </c>
      <c r="D32" s="3">
        <v>10003490</v>
      </c>
      <c r="E32" s="4">
        <v>4533088</v>
      </c>
      <c r="F32" s="3" t="s">
        <v>19</v>
      </c>
      <c r="G32" s="4" t="s">
        <v>252</v>
      </c>
      <c r="H32" s="4" t="s">
        <v>253</v>
      </c>
      <c r="I32" s="5">
        <v>618750</v>
      </c>
      <c r="J32" s="3" t="s">
        <v>247</v>
      </c>
      <c r="K32" s="3" t="s">
        <v>231</v>
      </c>
      <c r="L32" s="3"/>
      <c r="M32" s="4" t="s">
        <v>253</v>
      </c>
      <c r="N32" s="3" t="s">
        <v>25</v>
      </c>
      <c r="O32" s="3"/>
      <c r="Q32" s="3"/>
      <c r="R32" s="3"/>
      <c r="Y32" s="4" t="s">
        <v>232</v>
      </c>
      <c r="Z32" s="4" t="s">
        <v>232</v>
      </c>
      <c r="AB32" s="3"/>
      <c r="AC32" s="3"/>
      <c r="AD32" s="3" t="s">
        <v>244</v>
      </c>
      <c r="AE32" s="3">
        <v>5000</v>
      </c>
      <c r="AI32" s="4" t="s">
        <v>234</v>
      </c>
      <c r="AJ32" s="4" t="s">
        <v>234</v>
      </c>
      <c r="AK32" s="3"/>
      <c r="AL32" s="4">
        <v>50482</v>
      </c>
      <c r="AM32" s="5">
        <v>618750</v>
      </c>
      <c r="AN32" s="4" t="s">
        <v>31</v>
      </c>
      <c r="AO32" s="4">
        <v>99</v>
      </c>
    </row>
    <row r="33" spans="1:41" x14ac:dyDescent="0.25">
      <c r="A33" s="3">
        <v>4604702</v>
      </c>
      <c r="B33" s="3" t="s">
        <v>294</v>
      </c>
      <c r="C33" s="3" t="s">
        <v>288</v>
      </c>
      <c r="D33" s="3">
        <v>10004503</v>
      </c>
      <c r="E33" s="4">
        <v>4534053</v>
      </c>
      <c r="F33" s="3" t="s">
        <v>19</v>
      </c>
      <c r="G33" s="4" t="s">
        <v>295</v>
      </c>
      <c r="H33" s="4" t="s">
        <v>296</v>
      </c>
      <c r="I33" s="5">
        <v>48140400</v>
      </c>
      <c r="J33" s="3" t="s">
        <v>297</v>
      </c>
      <c r="K33" s="3" t="s">
        <v>294</v>
      </c>
      <c r="L33" s="3"/>
      <c r="M33" s="4" t="s">
        <v>296</v>
      </c>
      <c r="N33" s="3" t="s">
        <v>25</v>
      </c>
      <c r="O33" s="3"/>
      <c r="Q33" s="3"/>
      <c r="R33" s="3"/>
      <c r="Y33" s="4" t="s">
        <v>298</v>
      </c>
      <c r="Z33" s="4" t="s">
        <v>298</v>
      </c>
      <c r="AB33" s="3"/>
      <c r="AC33" s="3"/>
      <c r="AD33" s="3" t="s">
        <v>299</v>
      </c>
      <c r="AE33" s="3">
        <v>5000</v>
      </c>
      <c r="AI33" s="4" t="s">
        <v>300</v>
      </c>
      <c r="AJ33" s="4" t="s">
        <v>300</v>
      </c>
      <c r="AK33" s="3"/>
      <c r="AL33" s="4">
        <v>50114</v>
      </c>
      <c r="AM33" s="5">
        <v>48140400</v>
      </c>
      <c r="AN33" s="4" t="s">
        <v>31</v>
      </c>
      <c r="AO33" s="4">
        <v>98</v>
      </c>
    </row>
    <row r="34" spans="1:41" x14ac:dyDescent="0.25">
      <c r="A34" s="3">
        <v>4600319</v>
      </c>
      <c r="B34" s="3" t="s">
        <v>571</v>
      </c>
      <c r="C34" s="3" t="s">
        <v>560</v>
      </c>
      <c r="D34" s="3">
        <v>10000382</v>
      </c>
      <c r="E34" s="4">
        <v>4529669</v>
      </c>
      <c r="F34" s="3" t="s">
        <v>19</v>
      </c>
      <c r="G34" s="4" t="s">
        <v>572</v>
      </c>
      <c r="H34" s="4" t="s">
        <v>573</v>
      </c>
      <c r="I34" s="5">
        <v>125121700</v>
      </c>
      <c r="J34" s="3" t="s">
        <v>574</v>
      </c>
      <c r="K34" s="3" t="s">
        <v>575</v>
      </c>
      <c r="L34" s="3"/>
      <c r="M34" s="4" t="s">
        <v>573</v>
      </c>
      <c r="N34" s="3" t="s">
        <v>25</v>
      </c>
      <c r="O34" s="3"/>
      <c r="Q34" s="3"/>
      <c r="R34" s="3"/>
      <c r="Y34" s="4" t="s">
        <v>576</v>
      </c>
      <c r="Z34" s="4" t="s">
        <v>38</v>
      </c>
      <c r="AB34" s="3"/>
      <c r="AC34" s="3"/>
      <c r="AD34" s="3" t="s">
        <v>577</v>
      </c>
      <c r="AE34" s="3">
        <v>5000</v>
      </c>
      <c r="AF34" s="4">
        <v>0</v>
      </c>
      <c r="AG34" s="4">
        <v>102021700</v>
      </c>
      <c r="AH34" s="4">
        <v>4528824</v>
      </c>
      <c r="AI34" s="4" t="s">
        <v>578</v>
      </c>
      <c r="AJ34" s="4" t="s">
        <v>40</v>
      </c>
      <c r="AK34" s="3"/>
      <c r="AL34" s="4">
        <v>45868</v>
      </c>
      <c r="AM34" s="5">
        <v>125121700</v>
      </c>
      <c r="AN34" s="4" t="s">
        <v>31</v>
      </c>
      <c r="AO34" s="4">
        <v>98</v>
      </c>
    </row>
    <row r="35" spans="1:41" x14ac:dyDescent="0.25">
      <c r="A35" s="3">
        <v>4602767</v>
      </c>
      <c r="B35" s="3" t="s">
        <v>610</v>
      </c>
      <c r="C35" s="3" t="s">
        <v>560</v>
      </c>
      <c r="D35" s="3">
        <v>10002671</v>
      </c>
      <c r="E35" s="4">
        <v>4532118</v>
      </c>
      <c r="F35" s="3" t="s">
        <v>19</v>
      </c>
      <c r="G35" s="4" t="s">
        <v>611</v>
      </c>
      <c r="H35" s="4" t="s">
        <v>612</v>
      </c>
      <c r="I35" s="5">
        <v>424579.5</v>
      </c>
      <c r="J35" s="3" t="s">
        <v>613</v>
      </c>
      <c r="K35" s="3" t="s">
        <v>77</v>
      </c>
      <c r="L35" s="3"/>
      <c r="M35" s="4" t="s">
        <v>612</v>
      </c>
      <c r="N35" s="3" t="s">
        <v>25</v>
      </c>
      <c r="O35" s="3"/>
      <c r="Q35" s="3" t="s">
        <v>139</v>
      </c>
      <c r="R35" s="3" t="s">
        <v>427</v>
      </c>
      <c r="S35" s="4" t="s">
        <v>428</v>
      </c>
      <c r="U35" s="4" t="s">
        <v>139</v>
      </c>
      <c r="V35" s="4" t="s">
        <v>427</v>
      </c>
      <c r="W35" s="4" t="s">
        <v>428</v>
      </c>
      <c r="Y35" s="4" t="s">
        <v>614</v>
      </c>
      <c r="Z35" s="4" t="s">
        <v>615</v>
      </c>
      <c r="AB35" s="3"/>
      <c r="AC35" s="3"/>
      <c r="AD35" s="3" t="s">
        <v>616</v>
      </c>
      <c r="AE35" s="3">
        <v>5000</v>
      </c>
      <c r="AI35" s="4" t="s">
        <v>617</v>
      </c>
      <c r="AJ35" s="4" t="s">
        <v>618</v>
      </c>
      <c r="AK35" s="3"/>
      <c r="AL35" s="4">
        <v>140852</v>
      </c>
      <c r="AM35" s="5">
        <v>424579.5</v>
      </c>
      <c r="AN35" s="4" t="s">
        <v>31</v>
      </c>
      <c r="AO35" s="4">
        <v>98</v>
      </c>
    </row>
    <row r="36" spans="1:41" x14ac:dyDescent="0.25">
      <c r="A36" s="3">
        <v>4603210</v>
      </c>
      <c r="B36" s="3" t="s">
        <v>622</v>
      </c>
      <c r="C36" s="3" t="s">
        <v>560</v>
      </c>
      <c r="D36" s="3">
        <v>10003055</v>
      </c>
      <c r="E36" s="4">
        <v>4532561</v>
      </c>
      <c r="F36" s="3" t="s">
        <v>19</v>
      </c>
      <c r="G36" s="4" t="s">
        <v>623</v>
      </c>
      <c r="H36" s="4" t="s">
        <v>2460</v>
      </c>
      <c r="I36" s="5">
        <v>11698500</v>
      </c>
      <c r="J36" s="3" t="s">
        <v>622</v>
      </c>
      <c r="K36" s="3" t="s">
        <v>624</v>
      </c>
      <c r="L36" s="3"/>
      <c r="M36" s="4" t="s">
        <v>625</v>
      </c>
      <c r="N36" s="3" t="s">
        <v>25</v>
      </c>
      <c r="O36" s="3"/>
      <c r="Q36" s="3"/>
      <c r="R36" s="3"/>
      <c r="Y36" s="4" t="s">
        <v>626</v>
      </c>
      <c r="Z36" s="4" t="s">
        <v>626</v>
      </c>
      <c r="AB36" s="3"/>
      <c r="AC36" s="3"/>
      <c r="AD36" s="3" t="s">
        <v>627</v>
      </c>
      <c r="AE36" s="3">
        <v>5000</v>
      </c>
      <c r="AI36" s="4" t="s">
        <v>628</v>
      </c>
      <c r="AJ36" s="4" t="s">
        <v>628</v>
      </c>
      <c r="AK36" s="3"/>
      <c r="AL36" s="4">
        <v>140001</v>
      </c>
      <c r="AM36" s="5">
        <v>11698500</v>
      </c>
      <c r="AN36" s="4" t="s">
        <v>31</v>
      </c>
      <c r="AO36" s="4">
        <v>99</v>
      </c>
    </row>
    <row r="37" spans="1:41" x14ac:dyDescent="0.25">
      <c r="A37" s="3">
        <v>4604034</v>
      </c>
      <c r="B37" s="3" t="s">
        <v>642</v>
      </c>
      <c r="C37" s="3" t="s">
        <v>560</v>
      </c>
      <c r="D37" s="3">
        <v>10003805</v>
      </c>
      <c r="E37" s="4">
        <v>4533385</v>
      </c>
      <c r="F37" s="3" t="s">
        <v>19</v>
      </c>
      <c r="G37" s="4" t="s">
        <v>572</v>
      </c>
      <c r="H37" s="4" t="s">
        <v>643</v>
      </c>
      <c r="I37" s="5">
        <v>6600000</v>
      </c>
      <c r="J37" s="3" t="s">
        <v>642</v>
      </c>
      <c r="K37" s="3" t="s">
        <v>294</v>
      </c>
      <c r="L37" s="3"/>
      <c r="M37" s="4" t="s">
        <v>643</v>
      </c>
      <c r="N37" s="3" t="s">
        <v>25</v>
      </c>
      <c r="O37" s="3"/>
      <c r="Q37" s="3"/>
      <c r="R37" s="3"/>
      <c r="Y37" s="4" t="s">
        <v>644</v>
      </c>
      <c r="Z37" s="4" t="s">
        <v>644</v>
      </c>
      <c r="AB37" s="3"/>
      <c r="AC37" s="3"/>
      <c r="AD37" s="3" t="s">
        <v>645</v>
      </c>
      <c r="AE37" s="3">
        <v>5000</v>
      </c>
      <c r="AI37" s="4" t="s">
        <v>646</v>
      </c>
      <c r="AJ37" s="4" t="s">
        <v>646</v>
      </c>
      <c r="AK37" s="3"/>
      <c r="AL37" s="4">
        <v>45868</v>
      </c>
      <c r="AM37" s="5">
        <v>6600000</v>
      </c>
      <c r="AN37" s="4" t="s">
        <v>31</v>
      </c>
      <c r="AO37" s="4">
        <v>99</v>
      </c>
    </row>
    <row r="38" spans="1:41" x14ac:dyDescent="0.25">
      <c r="A38" s="3">
        <v>4604068</v>
      </c>
      <c r="B38" s="3" t="s">
        <v>647</v>
      </c>
      <c r="C38" s="3" t="s">
        <v>560</v>
      </c>
      <c r="D38" s="3">
        <v>10003831</v>
      </c>
      <c r="E38" s="4">
        <v>4533419</v>
      </c>
      <c r="F38" s="3" t="s">
        <v>19</v>
      </c>
      <c r="G38" s="4" t="s">
        <v>648</v>
      </c>
      <c r="H38" s="4" t="s">
        <v>649</v>
      </c>
      <c r="I38" s="5">
        <v>2750000</v>
      </c>
      <c r="J38" s="3" t="s">
        <v>650</v>
      </c>
      <c r="K38" s="3" t="s">
        <v>77</v>
      </c>
      <c r="L38" s="3"/>
      <c r="M38" s="4" t="s">
        <v>649</v>
      </c>
      <c r="N38" s="3" t="s">
        <v>25</v>
      </c>
      <c r="O38" s="3"/>
      <c r="Q38" s="3"/>
      <c r="R38" s="3"/>
      <c r="U38" s="4" t="s">
        <v>139</v>
      </c>
      <c r="V38" s="4" t="s">
        <v>427</v>
      </c>
      <c r="W38" s="4" t="s">
        <v>428</v>
      </c>
      <c r="Y38" s="4" t="s">
        <v>651</v>
      </c>
      <c r="Z38" s="4" t="s">
        <v>651</v>
      </c>
      <c r="AB38" s="3"/>
      <c r="AC38" s="3"/>
      <c r="AD38" s="3" t="s">
        <v>652</v>
      </c>
      <c r="AE38" s="3">
        <v>5000</v>
      </c>
      <c r="AI38" s="4" t="s">
        <v>653</v>
      </c>
      <c r="AJ38" s="4" t="s">
        <v>653</v>
      </c>
      <c r="AK38" s="3"/>
      <c r="AL38" s="4">
        <v>45889</v>
      </c>
      <c r="AM38" s="5">
        <v>2750000</v>
      </c>
      <c r="AN38" s="4" t="s">
        <v>31</v>
      </c>
      <c r="AO38" s="4">
        <v>99</v>
      </c>
    </row>
    <row r="39" spans="1:41" x14ac:dyDescent="0.25">
      <c r="A39" s="3">
        <v>4604133</v>
      </c>
      <c r="B39" s="3" t="s">
        <v>654</v>
      </c>
      <c r="C39" s="3" t="s">
        <v>560</v>
      </c>
      <c r="D39" s="3">
        <v>10003881</v>
      </c>
      <c r="E39" s="4">
        <v>4533484</v>
      </c>
      <c r="F39" s="3" t="s">
        <v>19</v>
      </c>
      <c r="G39" s="4" t="s">
        <v>655</v>
      </c>
      <c r="H39" s="4" t="s">
        <v>656</v>
      </c>
      <c r="I39" s="5">
        <v>410729</v>
      </c>
      <c r="J39" s="3" t="s">
        <v>654</v>
      </c>
      <c r="K39" s="3" t="s">
        <v>77</v>
      </c>
      <c r="L39" s="3"/>
      <c r="M39" s="4" t="s">
        <v>657</v>
      </c>
      <c r="N39" s="3" t="s">
        <v>25</v>
      </c>
      <c r="O39" s="3"/>
      <c r="Q39" s="3"/>
      <c r="R39" s="3"/>
      <c r="Y39" s="4" t="s">
        <v>658</v>
      </c>
      <c r="Z39" s="4" t="s">
        <v>658</v>
      </c>
      <c r="AB39" s="3"/>
      <c r="AC39" s="3"/>
      <c r="AD39" s="3" t="s">
        <v>659</v>
      </c>
      <c r="AE39" s="3">
        <v>5000</v>
      </c>
      <c r="AI39" s="4" t="s">
        <v>660</v>
      </c>
      <c r="AJ39" s="4" t="s">
        <v>660</v>
      </c>
      <c r="AK39" s="3"/>
      <c r="AL39" s="4">
        <v>31060</v>
      </c>
      <c r="AM39" s="5">
        <v>410729</v>
      </c>
      <c r="AN39" s="4" t="s">
        <v>31</v>
      </c>
      <c r="AO39" s="4">
        <v>99</v>
      </c>
    </row>
    <row r="40" spans="1:41" x14ac:dyDescent="0.25">
      <c r="A40" s="3">
        <v>4604134</v>
      </c>
      <c r="B40" s="3" t="s">
        <v>661</v>
      </c>
      <c r="C40" s="3" t="s">
        <v>560</v>
      </c>
      <c r="D40" s="3">
        <v>10003885</v>
      </c>
      <c r="E40" s="4">
        <v>4533485</v>
      </c>
      <c r="F40" s="3" t="s">
        <v>19</v>
      </c>
      <c r="G40" s="4" t="s">
        <v>662</v>
      </c>
      <c r="H40" s="4" t="s">
        <v>663</v>
      </c>
      <c r="I40" s="5">
        <v>409200</v>
      </c>
      <c r="J40" s="3" t="s">
        <v>661</v>
      </c>
      <c r="K40" s="3" t="s">
        <v>77</v>
      </c>
      <c r="L40" s="3"/>
      <c r="M40" s="4" t="s">
        <v>664</v>
      </c>
      <c r="N40" s="3" t="s">
        <v>25</v>
      </c>
      <c r="O40" s="3"/>
      <c r="Q40" s="3"/>
      <c r="R40" s="3"/>
      <c r="Y40" s="4" t="s">
        <v>658</v>
      </c>
      <c r="Z40" s="4" t="s">
        <v>658</v>
      </c>
      <c r="AB40" s="3"/>
      <c r="AC40" s="3"/>
      <c r="AD40" s="3" t="s">
        <v>659</v>
      </c>
      <c r="AE40" s="3">
        <v>5000</v>
      </c>
      <c r="AI40" s="4" t="s">
        <v>660</v>
      </c>
      <c r="AJ40" s="4" t="s">
        <v>660</v>
      </c>
      <c r="AK40" s="3"/>
      <c r="AL40" s="4">
        <v>31081</v>
      </c>
      <c r="AM40" s="5">
        <v>409200</v>
      </c>
      <c r="AN40" s="4" t="s">
        <v>31</v>
      </c>
      <c r="AO40" s="4">
        <v>99</v>
      </c>
    </row>
    <row r="41" spans="1:41" x14ac:dyDescent="0.25">
      <c r="A41" s="3">
        <v>4604138</v>
      </c>
      <c r="B41" s="3" t="s">
        <v>661</v>
      </c>
      <c r="C41" s="3" t="s">
        <v>560</v>
      </c>
      <c r="D41" s="3">
        <v>10003869</v>
      </c>
      <c r="E41" s="4">
        <v>4533489</v>
      </c>
      <c r="F41" s="3" t="s">
        <v>19</v>
      </c>
      <c r="G41" s="4" t="s">
        <v>665</v>
      </c>
      <c r="H41" s="4" t="s">
        <v>666</v>
      </c>
      <c r="I41" s="5">
        <v>412500</v>
      </c>
      <c r="J41" s="3" t="s">
        <v>661</v>
      </c>
      <c r="K41" s="3" t="s">
        <v>77</v>
      </c>
      <c r="L41" s="3"/>
      <c r="M41" s="4" t="s">
        <v>667</v>
      </c>
      <c r="N41" s="3" t="s">
        <v>25</v>
      </c>
      <c r="O41" s="3"/>
      <c r="Q41" s="3"/>
      <c r="R41" s="3"/>
      <c r="Y41" s="4" t="s">
        <v>658</v>
      </c>
      <c r="Z41" s="4" t="s">
        <v>658</v>
      </c>
      <c r="AB41" s="3"/>
      <c r="AC41" s="3"/>
      <c r="AD41" s="3" t="s">
        <v>351</v>
      </c>
      <c r="AE41" s="3">
        <v>5000</v>
      </c>
      <c r="AI41" s="4" t="s">
        <v>660</v>
      </c>
      <c r="AJ41" s="4" t="s">
        <v>660</v>
      </c>
      <c r="AK41" s="3"/>
      <c r="AL41" s="4">
        <v>31082</v>
      </c>
      <c r="AM41" s="5">
        <v>412500</v>
      </c>
      <c r="AN41" s="4" t="s">
        <v>31</v>
      </c>
      <c r="AO41" s="4">
        <v>99</v>
      </c>
    </row>
    <row r="42" spans="1:41" x14ac:dyDescent="0.25">
      <c r="A42" s="3">
        <v>4604141</v>
      </c>
      <c r="B42" s="3" t="s">
        <v>661</v>
      </c>
      <c r="C42" s="3" t="s">
        <v>560</v>
      </c>
      <c r="D42" s="3">
        <v>10003866</v>
      </c>
      <c r="E42" s="4">
        <v>4533492</v>
      </c>
      <c r="F42" s="3" t="s">
        <v>19</v>
      </c>
      <c r="G42" s="4" t="s">
        <v>668</v>
      </c>
      <c r="H42" s="4" t="s">
        <v>669</v>
      </c>
      <c r="I42" s="5">
        <v>407492.8</v>
      </c>
      <c r="J42" s="3" t="s">
        <v>661</v>
      </c>
      <c r="K42" s="3" t="s">
        <v>77</v>
      </c>
      <c r="L42" s="3"/>
      <c r="M42" s="4" t="s">
        <v>669</v>
      </c>
      <c r="N42" s="3" t="s">
        <v>25</v>
      </c>
      <c r="O42" s="3"/>
      <c r="Q42" s="3"/>
      <c r="R42" s="3"/>
      <c r="Y42" s="4" t="s">
        <v>658</v>
      </c>
      <c r="Z42" s="4" t="s">
        <v>658</v>
      </c>
      <c r="AB42" s="3"/>
      <c r="AC42" s="3"/>
      <c r="AD42" s="3" t="s">
        <v>670</v>
      </c>
      <c r="AE42" s="3">
        <v>5000</v>
      </c>
      <c r="AI42" s="4" t="s">
        <v>660</v>
      </c>
      <c r="AJ42" s="4" t="s">
        <v>660</v>
      </c>
      <c r="AK42" s="3"/>
      <c r="AL42" s="4">
        <v>51237</v>
      </c>
      <c r="AM42" s="5">
        <v>407492.8</v>
      </c>
      <c r="AN42" s="4" t="s">
        <v>31</v>
      </c>
      <c r="AO42" s="4">
        <v>99</v>
      </c>
    </row>
    <row r="43" spans="1:41" x14ac:dyDescent="0.25">
      <c r="A43" s="3">
        <v>4604158</v>
      </c>
      <c r="B43" s="3" t="s">
        <v>671</v>
      </c>
      <c r="C43" s="3" t="s">
        <v>560</v>
      </c>
      <c r="D43" s="3">
        <v>10003890</v>
      </c>
      <c r="E43" s="4">
        <v>4533509</v>
      </c>
      <c r="F43" s="3" t="s">
        <v>19</v>
      </c>
      <c r="G43" s="4" t="s">
        <v>672</v>
      </c>
      <c r="H43" s="4" t="s">
        <v>673</v>
      </c>
      <c r="I43" s="5">
        <v>385000</v>
      </c>
      <c r="J43" s="3" t="s">
        <v>671</v>
      </c>
      <c r="K43" s="3" t="s">
        <v>77</v>
      </c>
      <c r="L43" s="3"/>
      <c r="M43" s="4" t="s">
        <v>674</v>
      </c>
      <c r="N43" s="3" t="s">
        <v>25</v>
      </c>
      <c r="O43" s="3"/>
      <c r="Q43" s="3"/>
      <c r="R43" s="3"/>
      <c r="Y43" s="4" t="s">
        <v>658</v>
      </c>
      <c r="Z43" s="4" t="s">
        <v>658</v>
      </c>
      <c r="AB43" s="3"/>
      <c r="AC43" s="3"/>
      <c r="AD43" s="3" t="s">
        <v>675</v>
      </c>
      <c r="AE43" s="3">
        <v>5000</v>
      </c>
      <c r="AI43" s="4" t="s">
        <v>660</v>
      </c>
      <c r="AJ43" s="4" t="s">
        <v>660</v>
      </c>
      <c r="AK43" s="3"/>
      <c r="AL43" s="4">
        <v>53463</v>
      </c>
      <c r="AM43" s="5">
        <v>385000</v>
      </c>
      <c r="AN43" s="4" t="s">
        <v>31</v>
      </c>
      <c r="AO43" s="4">
        <v>99</v>
      </c>
    </row>
    <row r="44" spans="1:41" x14ac:dyDescent="0.25">
      <c r="A44" s="3">
        <v>4604159</v>
      </c>
      <c r="B44" s="3" t="s">
        <v>671</v>
      </c>
      <c r="C44" s="3" t="s">
        <v>560</v>
      </c>
      <c r="D44" s="3">
        <v>10003889</v>
      </c>
      <c r="E44" s="4">
        <v>4533510</v>
      </c>
      <c r="F44" s="3" t="s">
        <v>19</v>
      </c>
      <c r="G44" s="4" t="s">
        <v>676</v>
      </c>
      <c r="H44" s="4" t="s">
        <v>677</v>
      </c>
      <c r="I44" s="5">
        <v>280694.7</v>
      </c>
      <c r="J44" s="3" t="s">
        <v>671</v>
      </c>
      <c r="K44" s="3" t="s">
        <v>77</v>
      </c>
      <c r="L44" s="3"/>
      <c r="M44" s="4" t="s">
        <v>678</v>
      </c>
      <c r="N44" s="3" t="s">
        <v>25</v>
      </c>
      <c r="O44" s="3"/>
      <c r="Q44" s="3"/>
      <c r="R44" s="3"/>
      <c r="Y44" s="4" t="s">
        <v>658</v>
      </c>
      <c r="Z44" s="4" t="s">
        <v>658</v>
      </c>
      <c r="AB44" s="3"/>
      <c r="AC44" s="3"/>
      <c r="AD44" s="3" t="s">
        <v>675</v>
      </c>
      <c r="AE44" s="3">
        <v>5000</v>
      </c>
      <c r="AI44" s="4" t="s">
        <v>660</v>
      </c>
      <c r="AJ44" s="4" t="s">
        <v>660</v>
      </c>
      <c r="AK44" s="3"/>
      <c r="AL44" s="4">
        <v>31085</v>
      </c>
      <c r="AM44" s="5">
        <v>280694.7</v>
      </c>
      <c r="AN44" s="4" t="s">
        <v>31</v>
      </c>
      <c r="AO44" s="4">
        <v>99</v>
      </c>
    </row>
    <row r="45" spans="1:41" x14ac:dyDescent="0.25">
      <c r="A45" s="3">
        <v>4604160</v>
      </c>
      <c r="B45" s="3" t="s">
        <v>671</v>
      </c>
      <c r="C45" s="3" t="s">
        <v>560</v>
      </c>
      <c r="D45" s="3">
        <v>10003883</v>
      </c>
      <c r="E45" s="4">
        <v>4533511</v>
      </c>
      <c r="F45" s="3" t="s">
        <v>19</v>
      </c>
      <c r="G45" s="4" t="s">
        <v>679</v>
      </c>
      <c r="H45" s="4" t="s">
        <v>680</v>
      </c>
      <c r="I45" s="5">
        <v>411007.08</v>
      </c>
      <c r="J45" s="3" t="s">
        <v>671</v>
      </c>
      <c r="K45" s="3" t="s">
        <v>77</v>
      </c>
      <c r="L45" s="3"/>
      <c r="M45" s="4" t="s">
        <v>681</v>
      </c>
      <c r="N45" s="3" t="s">
        <v>25</v>
      </c>
      <c r="O45" s="3"/>
      <c r="Q45" s="3"/>
      <c r="R45" s="3"/>
      <c r="Y45" s="4" t="s">
        <v>658</v>
      </c>
      <c r="Z45" s="4" t="s">
        <v>658</v>
      </c>
      <c r="AB45" s="3"/>
      <c r="AC45" s="3"/>
      <c r="AD45" s="3" t="s">
        <v>675</v>
      </c>
      <c r="AE45" s="3">
        <v>5000</v>
      </c>
      <c r="AI45" s="4" t="s">
        <v>660</v>
      </c>
      <c r="AJ45" s="4" t="s">
        <v>660</v>
      </c>
      <c r="AK45" s="3"/>
      <c r="AL45" s="4">
        <v>51230</v>
      </c>
      <c r="AM45" s="5">
        <v>411007.08</v>
      </c>
      <c r="AN45" s="4" t="s">
        <v>31</v>
      </c>
      <c r="AO45" s="4">
        <v>99</v>
      </c>
    </row>
    <row r="46" spans="1:41" x14ac:dyDescent="0.25">
      <c r="A46" s="3">
        <v>4604161</v>
      </c>
      <c r="B46" s="3" t="s">
        <v>671</v>
      </c>
      <c r="C46" s="3" t="s">
        <v>560</v>
      </c>
      <c r="D46" s="3">
        <v>10003862</v>
      </c>
      <c r="E46" s="4">
        <v>4533512</v>
      </c>
      <c r="F46" s="3" t="s">
        <v>19</v>
      </c>
      <c r="G46" s="4" t="s">
        <v>682</v>
      </c>
      <c r="H46" s="4" t="s">
        <v>683</v>
      </c>
      <c r="I46" s="5">
        <v>375694</v>
      </c>
      <c r="J46" s="3" t="s">
        <v>671</v>
      </c>
      <c r="K46" s="3" t="s">
        <v>77</v>
      </c>
      <c r="L46" s="3"/>
      <c r="M46" s="4" t="s">
        <v>684</v>
      </c>
      <c r="N46" s="3" t="s">
        <v>25</v>
      </c>
      <c r="O46" s="3"/>
      <c r="Q46" s="3"/>
      <c r="R46" s="3"/>
      <c r="Y46" s="4" t="s">
        <v>658</v>
      </c>
      <c r="Z46" s="4" t="s">
        <v>658</v>
      </c>
      <c r="AB46" s="3"/>
      <c r="AC46" s="3"/>
      <c r="AD46" s="3" t="s">
        <v>627</v>
      </c>
      <c r="AE46" s="3">
        <v>5000</v>
      </c>
      <c r="AI46" s="4" t="s">
        <v>660</v>
      </c>
      <c r="AJ46" s="4" t="s">
        <v>660</v>
      </c>
      <c r="AK46" s="3"/>
      <c r="AL46" s="4">
        <v>31084</v>
      </c>
      <c r="AM46" s="5">
        <v>375694</v>
      </c>
      <c r="AN46" s="4" t="s">
        <v>31</v>
      </c>
      <c r="AO46" s="4">
        <v>99</v>
      </c>
    </row>
    <row r="47" spans="1:41" x14ac:dyDescent="0.25">
      <c r="A47" s="3">
        <v>4604162</v>
      </c>
      <c r="B47" s="3" t="s">
        <v>671</v>
      </c>
      <c r="C47" s="3" t="s">
        <v>560</v>
      </c>
      <c r="D47" s="3">
        <v>10003863</v>
      </c>
      <c r="E47" s="4">
        <v>4533513</v>
      </c>
      <c r="F47" s="3" t="s">
        <v>19</v>
      </c>
      <c r="G47" s="4" t="s">
        <v>685</v>
      </c>
      <c r="H47" s="4" t="s">
        <v>686</v>
      </c>
      <c r="I47" s="5">
        <v>366894</v>
      </c>
      <c r="J47" s="3" t="s">
        <v>671</v>
      </c>
      <c r="K47" s="3" t="s">
        <v>77</v>
      </c>
      <c r="L47" s="3"/>
      <c r="M47" s="4" t="s">
        <v>687</v>
      </c>
      <c r="N47" s="3" t="s">
        <v>25</v>
      </c>
      <c r="O47" s="3"/>
      <c r="Q47" s="3"/>
      <c r="R47" s="3"/>
      <c r="Y47" s="4" t="s">
        <v>688</v>
      </c>
      <c r="Z47" s="4" t="s">
        <v>658</v>
      </c>
      <c r="AB47" s="3"/>
      <c r="AC47" s="3"/>
      <c r="AD47" s="3" t="s">
        <v>371</v>
      </c>
      <c r="AE47" s="3">
        <v>5000</v>
      </c>
      <c r="AI47" s="4" t="s">
        <v>689</v>
      </c>
      <c r="AJ47" s="4" t="s">
        <v>660</v>
      </c>
      <c r="AK47" s="3"/>
      <c r="AL47" s="4">
        <v>31083</v>
      </c>
      <c r="AM47" s="5">
        <v>366894</v>
      </c>
      <c r="AN47" s="4" t="s">
        <v>31</v>
      </c>
      <c r="AO47" s="4">
        <v>98</v>
      </c>
    </row>
    <row r="48" spans="1:41" x14ac:dyDescent="0.25">
      <c r="A48" s="3">
        <v>4604163</v>
      </c>
      <c r="B48" s="3" t="s">
        <v>671</v>
      </c>
      <c r="C48" s="3" t="s">
        <v>560</v>
      </c>
      <c r="D48" s="3">
        <v>10003868</v>
      </c>
      <c r="E48" s="4">
        <v>4533514</v>
      </c>
      <c r="F48" s="3" t="s">
        <v>19</v>
      </c>
      <c r="G48" s="4" t="s">
        <v>690</v>
      </c>
      <c r="H48" s="4" t="s">
        <v>691</v>
      </c>
      <c r="I48" s="5">
        <v>411776.2</v>
      </c>
      <c r="J48" s="3" t="s">
        <v>671</v>
      </c>
      <c r="K48" s="3" t="s">
        <v>77</v>
      </c>
      <c r="L48" s="3"/>
      <c r="M48" s="4" t="s">
        <v>692</v>
      </c>
      <c r="N48" s="3" t="s">
        <v>25</v>
      </c>
      <c r="O48" s="3"/>
      <c r="Q48" s="3"/>
      <c r="R48" s="3"/>
      <c r="Y48" s="4" t="s">
        <v>658</v>
      </c>
      <c r="Z48" s="4" t="s">
        <v>658</v>
      </c>
      <c r="AB48" s="3"/>
      <c r="AC48" s="3"/>
      <c r="AD48" s="3" t="s">
        <v>693</v>
      </c>
      <c r="AE48" s="3">
        <v>5000</v>
      </c>
      <c r="AI48" s="4" t="s">
        <v>660</v>
      </c>
      <c r="AJ48" s="4" t="s">
        <v>660</v>
      </c>
      <c r="AK48" s="3"/>
      <c r="AL48" s="4">
        <v>50719</v>
      </c>
      <c r="AM48" s="5">
        <v>411776.2</v>
      </c>
      <c r="AN48" s="4" t="s">
        <v>31</v>
      </c>
      <c r="AO48" s="4">
        <v>99</v>
      </c>
    </row>
    <row r="49" spans="1:41" x14ac:dyDescent="0.25">
      <c r="A49" s="3">
        <v>4604164</v>
      </c>
      <c r="B49" s="3" t="s">
        <v>671</v>
      </c>
      <c r="C49" s="3" t="s">
        <v>560</v>
      </c>
      <c r="D49" s="3">
        <v>10003867</v>
      </c>
      <c r="E49" s="4">
        <v>4533515</v>
      </c>
      <c r="F49" s="3" t="s">
        <v>19</v>
      </c>
      <c r="G49" s="4" t="s">
        <v>694</v>
      </c>
      <c r="H49" s="4" t="s">
        <v>695</v>
      </c>
      <c r="I49" s="5">
        <v>357566</v>
      </c>
      <c r="J49" s="3" t="s">
        <v>671</v>
      </c>
      <c r="K49" s="3" t="s">
        <v>77</v>
      </c>
      <c r="L49" s="3"/>
      <c r="M49" s="4" t="s">
        <v>696</v>
      </c>
      <c r="N49" s="3" t="s">
        <v>25</v>
      </c>
      <c r="O49" s="3"/>
      <c r="Q49" s="3"/>
      <c r="R49" s="3"/>
      <c r="Y49" s="4" t="s">
        <v>658</v>
      </c>
      <c r="Z49" s="4" t="s">
        <v>658</v>
      </c>
      <c r="AB49" s="3"/>
      <c r="AC49" s="3"/>
      <c r="AD49" s="3" t="s">
        <v>675</v>
      </c>
      <c r="AE49" s="3">
        <v>5000</v>
      </c>
      <c r="AI49" s="4" t="s">
        <v>660</v>
      </c>
      <c r="AJ49" s="4" t="s">
        <v>660</v>
      </c>
      <c r="AK49" s="3"/>
      <c r="AL49" s="4">
        <v>51767</v>
      </c>
      <c r="AM49" s="5">
        <v>357566</v>
      </c>
      <c r="AN49" s="4" t="s">
        <v>31</v>
      </c>
      <c r="AO49" s="4">
        <v>99</v>
      </c>
    </row>
    <row r="50" spans="1:41" x14ac:dyDescent="0.25">
      <c r="A50" s="3">
        <v>4604165</v>
      </c>
      <c r="B50" s="3" t="s">
        <v>697</v>
      </c>
      <c r="C50" s="3" t="s">
        <v>560</v>
      </c>
      <c r="D50" s="3">
        <v>10003864</v>
      </c>
      <c r="E50" s="4">
        <v>4533516</v>
      </c>
      <c r="F50" s="3" t="s">
        <v>19</v>
      </c>
      <c r="G50" s="4" t="s">
        <v>698</v>
      </c>
      <c r="H50" s="4" t="s">
        <v>699</v>
      </c>
      <c r="I50" s="5">
        <v>411207.5</v>
      </c>
      <c r="J50" s="3" t="s">
        <v>697</v>
      </c>
      <c r="K50" s="3" t="s">
        <v>77</v>
      </c>
      <c r="L50" s="3"/>
      <c r="M50" s="4" t="s">
        <v>700</v>
      </c>
      <c r="N50" s="3" t="s">
        <v>25</v>
      </c>
      <c r="O50" s="3"/>
      <c r="Q50" s="3"/>
      <c r="R50" s="3"/>
      <c r="Y50" s="4" t="s">
        <v>658</v>
      </c>
      <c r="Z50" s="4" t="s">
        <v>658</v>
      </c>
      <c r="AB50" s="3"/>
      <c r="AC50" s="3"/>
      <c r="AD50" s="3" t="s">
        <v>701</v>
      </c>
      <c r="AE50" s="3">
        <v>5000</v>
      </c>
      <c r="AI50" s="4" t="s">
        <v>660</v>
      </c>
      <c r="AJ50" s="4" t="s">
        <v>660</v>
      </c>
      <c r="AK50" s="3"/>
      <c r="AL50" s="4">
        <v>50786</v>
      </c>
      <c r="AM50" s="5">
        <v>411207.5</v>
      </c>
      <c r="AN50" s="4" t="s">
        <v>31</v>
      </c>
      <c r="AO50" s="4">
        <v>99</v>
      </c>
    </row>
    <row r="51" spans="1:41" x14ac:dyDescent="0.25">
      <c r="A51" s="3">
        <v>4604166</v>
      </c>
      <c r="B51" s="3" t="s">
        <v>671</v>
      </c>
      <c r="C51" s="3" t="s">
        <v>560</v>
      </c>
      <c r="D51" s="3">
        <v>10003882</v>
      </c>
      <c r="E51" s="4">
        <v>4533517</v>
      </c>
      <c r="F51" s="3" t="s">
        <v>19</v>
      </c>
      <c r="G51" s="4" t="s">
        <v>702</v>
      </c>
      <c r="H51" s="4" t="s">
        <v>703</v>
      </c>
      <c r="I51" s="5">
        <v>412500</v>
      </c>
      <c r="J51" s="3" t="s">
        <v>671</v>
      </c>
      <c r="K51" s="3" t="s">
        <v>77</v>
      </c>
      <c r="L51" s="3"/>
      <c r="M51" s="4" t="s">
        <v>704</v>
      </c>
      <c r="N51" s="3" t="s">
        <v>25</v>
      </c>
      <c r="O51" s="3"/>
      <c r="Q51" s="3"/>
      <c r="R51" s="3"/>
      <c r="Y51" s="4" t="s">
        <v>658</v>
      </c>
      <c r="Z51" s="4" t="s">
        <v>658</v>
      </c>
      <c r="AB51" s="3"/>
      <c r="AC51" s="3"/>
      <c r="AD51" s="3" t="s">
        <v>675</v>
      </c>
      <c r="AE51" s="3">
        <v>5000</v>
      </c>
      <c r="AI51" s="4" t="s">
        <v>660</v>
      </c>
      <c r="AJ51" s="4" t="s">
        <v>660</v>
      </c>
      <c r="AK51" s="3"/>
      <c r="AL51" s="4">
        <v>47998</v>
      </c>
      <c r="AM51" s="5">
        <v>412500</v>
      </c>
      <c r="AN51" s="4" t="s">
        <v>31</v>
      </c>
      <c r="AO51" s="4">
        <v>99</v>
      </c>
    </row>
    <row r="52" spans="1:41" x14ac:dyDescent="0.25">
      <c r="A52" s="3">
        <v>4604169</v>
      </c>
      <c r="B52" s="3" t="s">
        <v>697</v>
      </c>
      <c r="C52" s="3" t="s">
        <v>560</v>
      </c>
      <c r="D52" s="3">
        <v>10003865</v>
      </c>
      <c r="E52" s="4">
        <v>4533520</v>
      </c>
      <c r="F52" s="3" t="s">
        <v>19</v>
      </c>
      <c r="G52" s="4" t="s">
        <v>705</v>
      </c>
      <c r="H52" s="4" t="s">
        <v>706</v>
      </c>
      <c r="I52" s="5">
        <v>405900</v>
      </c>
      <c r="J52" s="3" t="s">
        <v>697</v>
      </c>
      <c r="K52" s="3" t="s">
        <v>77</v>
      </c>
      <c r="L52" s="3"/>
      <c r="M52" s="4" t="s">
        <v>707</v>
      </c>
      <c r="N52" s="3" t="s">
        <v>25</v>
      </c>
      <c r="O52" s="3"/>
      <c r="Q52" s="3"/>
      <c r="R52" s="3"/>
      <c r="Y52" s="4" t="s">
        <v>658</v>
      </c>
      <c r="Z52" s="4" t="s">
        <v>658</v>
      </c>
      <c r="AB52" s="3"/>
      <c r="AC52" s="3"/>
      <c r="AD52" s="3" t="s">
        <v>675</v>
      </c>
      <c r="AE52" s="3">
        <v>5000</v>
      </c>
      <c r="AI52" s="4" t="s">
        <v>660</v>
      </c>
      <c r="AJ52" s="4" t="s">
        <v>660</v>
      </c>
      <c r="AK52" s="3"/>
      <c r="AL52" s="4">
        <v>30605</v>
      </c>
      <c r="AM52" s="5">
        <v>405900</v>
      </c>
      <c r="AN52" s="4" t="s">
        <v>31</v>
      </c>
      <c r="AO52" s="4">
        <v>99</v>
      </c>
    </row>
    <row r="53" spans="1:41" x14ac:dyDescent="0.25">
      <c r="A53" s="3">
        <v>4604170</v>
      </c>
      <c r="B53" s="3" t="s">
        <v>671</v>
      </c>
      <c r="C53" s="3" t="s">
        <v>560</v>
      </c>
      <c r="D53" s="3">
        <v>10003884</v>
      </c>
      <c r="E53" s="4">
        <v>4533521</v>
      </c>
      <c r="F53" s="3" t="s">
        <v>19</v>
      </c>
      <c r="G53" s="4" t="s">
        <v>708</v>
      </c>
      <c r="H53" s="4" t="s">
        <v>709</v>
      </c>
      <c r="I53" s="5">
        <v>176641.54</v>
      </c>
      <c r="J53" s="3" t="s">
        <v>671</v>
      </c>
      <c r="K53" s="3" t="s">
        <v>77</v>
      </c>
      <c r="L53" s="3"/>
      <c r="M53" s="4" t="s">
        <v>710</v>
      </c>
      <c r="N53" s="3" t="s">
        <v>25</v>
      </c>
      <c r="O53" s="3"/>
      <c r="Q53" s="3"/>
      <c r="R53" s="3"/>
      <c r="Y53" s="4" t="s">
        <v>688</v>
      </c>
      <c r="Z53" s="4" t="s">
        <v>658</v>
      </c>
      <c r="AB53" s="3"/>
      <c r="AC53" s="3"/>
      <c r="AD53" s="3" t="s">
        <v>711</v>
      </c>
      <c r="AE53" s="3">
        <v>5000</v>
      </c>
      <c r="AI53" s="4" t="s">
        <v>689</v>
      </c>
      <c r="AJ53" s="4" t="s">
        <v>660</v>
      </c>
      <c r="AK53" s="3"/>
      <c r="AL53" s="4">
        <v>50352</v>
      </c>
      <c r="AM53" s="5">
        <v>176641.54</v>
      </c>
      <c r="AN53" s="4" t="s">
        <v>31</v>
      </c>
      <c r="AO53" s="4">
        <v>99</v>
      </c>
    </row>
    <row r="54" spans="1:41" x14ac:dyDescent="0.25">
      <c r="A54" s="3">
        <v>4604209</v>
      </c>
      <c r="B54" s="3" t="s">
        <v>712</v>
      </c>
      <c r="C54" s="3" t="s">
        <v>560</v>
      </c>
      <c r="D54" s="3">
        <v>10003829</v>
      </c>
      <c r="E54" s="4">
        <v>4533560</v>
      </c>
      <c r="F54" s="3" t="s">
        <v>19</v>
      </c>
      <c r="G54" s="4" t="s">
        <v>713</v>
      </c>
      <c r="H54" s="4" t="s">
        <v>714</v>
      </c>
      <c r="I54" s="5">
        <v>440000</v>
      </c>
      <c r="J54" s="3" t="s">
        <v>715</v>
      </c>
      <c r="K54" s="3" t="s">
        <v>575</v>
      </c>
      <c r="L54" s="3"/>
      <c r="M54" s="4" t="s">
        <v>714</v>
      </c>
      <c r="N54" s="3" t="s">
        <v>25</v>
      </c>
      <c r="O54" s="3"/>
      <c r="Q54" s="3"/>
      <c r="R54" s="3"/>
      <c r="Y54" s="4" t="s">
        <v>716</v>
      </c>
      <c r="Z54" s="4" t="s">
        <v>717</v>
      </c>
      <c r="AB54" s="3"/>
      <c r="AC54" s="3"/>
      <c r="AD54" s="3" t="s">
        <v>718</v>
      </c>
      <c r="AE54" s="3">
        <v>5000</v>
      </c>
      <c r="AI54" s="4" t="s">
        <v>719</v>
      </c>
      <c r="AJ54" s="4" t="s">
        <v>720</v>
      </c>
      <c r="AK54" s="3"/>
      <c r="AL54" s="4">
        <v>30932</v>
      </c>
      <c r="AM54" s="5">
        <v>440000</v>
      </c>
      <c r="AN54" s="4" t="s">
        <v>31</v>
      </c>
      <c r="AO54" s="4">
        <v>99</v>
      </c>
    </row>
    <row r="55" spans="1:41" x14ac:dyDescent="0.25">
      <c r="A55" s="3">
        <v>4602625</v>
      </c>
      <c r="B55" s="3" t="s">
        <v>804</v>
      </c>
      <c r="C55" s="3" t="s">
        <v>797</v>
      </c>
      <c r="D55" s="3">
        <v>10002544</v>
      </c>
      <c r="E55" s="4">
        <v>4531976</v>
      </c>
      <c r="F55" s="3" t="s">
        <v>19</v>
      </c>
      <c r="G55" s="4" t="s">
        <v>805</v>
      </c>
      <c r="H55" s="4" t="s">
        <v>806</v>
      </c>
      <c r="I55" s="5">
        <v>297000</v>
      </c>
      <c r="J55" s="3" t="s">
        <v>804</v>
      </c>
      <c r="K55" s="3" t="s">
        <v>807</v>
      </c>
      <c r="L55" s="3"/>
      <c r="M55" s="4" t="s">
        <v>806</v>
      </c>
      <c r="N55" s="3" t="s">
        <v>25</v>
      </c>
      <c r="O55" s="3"/>
      <c r="Q55" s="3"/>
      <c r="R55" s="3"/>
      <c r="Y55" s="4" t="s">
        <v>808</v>
      </c>
      <c r="Z55" s="4" t="s">
        <v>808</v>
      </c>
      <c r="AB55" s="3"/>
      <c r="AC55" s="3"/>
      <c r="AD55" s="3" t="s">
        <v>809</v>
      </c>
      <c r="AE55" s="3">
        <v>5000</v>
      </c>
      <c r="AI55" s="4" t="s">
        <v>810</v>
      </c>
      <c r="AJ55" s="4" t="s">
        <v>810</v>
      </c>
      <c r="AK55" s="3"/>
      <c r="AL55" s="4">
        <v>50656</v>
      </c>
      <c r="AM55" s="5">
        <v>297000</v>
      </c>
      <c r="AN55" s="4" t="s">
        <v>31</v>
      </c>
      <c r="AO55" s="4">
        <v>99</v>
      </c>
    </row>
    <row r="56" spans="1:41" x14ac:dyDescent="0.25">
      <c r="A56" s="3">
        <v>4602627</v>
      </c>
      <c r="B56" s="3" t="s">
        <v>811</v>
      </c>
      <c r="C56" s="3" t="s">
        <v>797</v>
      </c>
      <c r="D56" s="3">
        <v>10002462</v>
      </c>
      <c r="E56" s="4">
        <v>4531978</v>
      </c>
      <c r="F56" s="3" t="s">
        <v>19</v>
      </c>
      <c r="G56" s="4" t="s">
        <v>812</v>
      </c>
      <c r="H56" s="4" t="s">
        <v>813</v>
      </c>
      <c r="I56" s="5">
        <v>604175</v>
      </c>
      <c r="J56" s="3" t="s">
        <v>811</v>
      </c>
      <c r="K56" s="3" t="s">
        <v>807</v>
      </c>
      <c r="L56" s="3"/>
      <c r="M56" s="4" t="s">
        <v>813</v>
      </c>
      <c r="N56" s="3" t="s">
        <v>25</v>
      </c>
      <c r="O56" s="3"/>
      <c r="Q56" s="3"/>
      <c r="R56" s="3"/>
      <c r="Y56" s="4" t="s">
        <v>808</v>
      </c>
      <c r="Z56" s="4" t="s">
        <v>808</v>
      </c>
      <c r="AB56" s="3"/>
      <c r="AC56" s="3"/>
      <c r="AD56" s="3" t="s">
        <v>809</v>
      </c>
      <c r="AE56" s="3">
        <v>5000</v>
      </c>
      <c r="AI56" s="4" t="s">
        <v>810</v>
      </c>
      <c r="AJ56" s="4" t="s">
        <v>810</v>
      </c>
      <c r="AK56" s="3"/>
      <c r="AL56" s="4">
        <v>140786</v>
      </c>
      <c r="AM56" s="5">
        <v>604175</v>
      </c>
      <c r="AN56" s="4" t="s">
        <v>31</v>
      </c>
      <c r="AO56" s="4">
        <v>99</v>
      </c>
    </row>
    <row r="57" spans="1:41" x14ac:dyDescent="0.25">
      <c r="A57" s="3">
        <v>4602628</v>
      </c>
      <c r="B57" s="3" t="s">
        <v>814</v>
      </c>
      <c r="C57" s="3" t="s">
        <v>797</v>
      </c>
      <c r="D57" s="3">
        <v>10002528</v>
      </c>
      <c r="E57" s="4">
        <v>4531979</v>
      </c>
      <c r="F57" s="3" t="s">
        <v>19</v>
      </c>
      <c r="G57" s="4" t="s">
        <v>815</v>
      </c>
      <c r="H57" s="4" t="s">
        <v>816</v>
      </c>
      <c r="I57" s="5">
        <v>515993.94</v>
      </c>
      <c r="J57" s="3" t="s">
        <v>814</v>
      </c>
      <c r="K57" s="3" t="s">
        <v>817</v>
      </c>
      <c r="L57" s="3"/>
      <c r="M57" s="4" t="s">
        <v>816</v>
      </c>
      <c r="N57" s="3" t="s">
        <v>25</v>
      </c>
      <c r="O57" s="3"/>
      <c r="Q57" s="3"/>
      <c r="R57" s="3"/>
      <c r="Y57" s="4" t="s">
        <v>808</v>
      </c>
      <c r="Z57" s="4" t="s">
        <v>808</v>
      </c>
      <c r="AB57" s="3"/>
      <c r="AC57" s="3"/>
      <c r="AD57" s="3" t="s">
        <v>809</v>
      </c>
      <c r="AE57" s="3">
        <v>5000</v>
      </c>
      <c r="AI57" s="4" t="s">
        <v>810</v>
      </c>
      <c r="AJ57" s="4" t="s">
        <v>810</v>
      </c>
      <c r="AK57" s="3"/>
      <c r="AL57" s="4">
        <v>140795</v>
      </c>
      <c r="AM57" s="5">
        <v>515993.94</v>
      </c>
      <c r="AN57" s="4" t="s">
        <v>31</v>
      </c>
      <c r="AO57" s="4">
        <v>99</v>
      </c>
    </row>
    <row r="58" spans="1:41" x14ac:dyDescent="0.25">
      <c r="A58" s="3">
        <v>4602705</v>
      </c>
      <c r="B58" s="3" t="s">
        <v>820</v>
      </c>
      <c r="C58" s="3" t="s">
        <v>797</v>
      </c>
      <c r="D58" s="3">
        <v>10002633</v>
      </c>
      <c r="E58" s="4">
        <v>4532056</v>
      </c>
      <c r="F58" s="3" t="s">
        <v>19</v>
      </c>
      <c r="G58" s="4" t="s">
        <v>821</v>
      </c>
      <c r="H58" s="4" t="s">
        <v>822</v>
      </c>
      <c r="I58" s="5">
        <v>396000</v>
      </c>
      <c r="J58" s="3" t="s">
        <v>820</v>
      </c>
      <c r="K58" s="3" t="s">
        <v>442</v>
      </c>
      <c r="L58" s="3"/>
      <c r="M58" s="4" t="s">
        <v>822</v>
      </c>
      <c r="N58" s="3" t="s">
        <v>25</v>
      </c>
      <c r="O58" s="3"/>
      <c r="Q58" s="3"/>
      <c r="R58" s="3"/>
      <c r="Y58" s="4" t="s">
        <v>716</v>
      </c>
      <c r="Z58" s="4" t="s">
        <v>716</v>
      </c>
      <c r="AB58" s="3"/>
      <c r="AC58" s="3"/>
      <c r="AD58" s="3" t="s">
        <v>823</v>
      </c>
      <c r="AE58" s="3">
        <v>5000</v>
      </c>
      <c r="AI58" s="4" t="s">
        <v>719</v>
      </c>
      <c r="AJ58" s="4" t="s">
        <v>719</v>
      </c>
      <c r="AK58" s="3"/>
      <c r="AL58" s="4">
        <v>50620</v>
      </c>
      <c r="AM58" s="5">
        <v>396000</v>
      </c>
      <c r="AN58" s="4" t="s">
        <v>31</v>
      </c>
      <c r="AO58" s="4">
        <v>99</v>
      </c>
    </row>
    <row r="59" spans="1:41" x14ac:dyDescent="0.25">
      <c r="A59" s="3">
        <v>4602707</v>
      </c>
      <c r="B59" s="3" t="s">
        <v>820</v>
      </c>
      <c r="C59" s="3" t="s">
        <v>797</v>
      </c>
      <c r="D59" s="3">
        <v>10002637</v>
      </c>
      <c r="E59" s="4">
        <v>4532058</v>
      </c>
      <c r="F59" s="3" t="s">
        <v>19</v>
      </c>
      <c r="G59" s="4" t="s">
        <v>824</v>
      </c>
      <c r="H59" s="4" t="s">
        <v>825</v>
      </c>
      <c r="I59" s="5">
        <v>341654.5</v>
      </c>
      <c r="J59" s="3" t="s">
        <v>820</v>
      </c>
      <c r="K59" s="3" t="s">
        <v>807</v>
      </c>
      <c r="L59" s="3"/>
      <c r="M59" s="4" t="s">
        <v>825</v>
      </c>
      <c r="N59" s="3" t="s">
        <v>25</v>
      </c>
      <c r="O59" s="3"/>
      <c r="Q59" s="3"/>
      <c r="R59" s="3"/>
      <c r="Y59" s="4" t="s">
        <v>716</v>
      </c>
      <c r="Z59" s="4" t="s">
        <v>716</v>
      </c>
      <c r="AB59" s="3"/>
      <c r="AC59" s="3"/>
      <c r="AD59" s="3" t="s">
        <v>823</v>
      </c>
      <c r="AE59" s="3">
        <v>5000</v>
      </c>
      <c r="AI59" s="4" t="s">
        <v>719</v>
      </c>
      <c r="AJ59" s="4" t="s">
        <v>719</v>
      </c>
      <c r="AK59" s="3"/>
      <c r="AL59" s="4">
        <v>51632</v>
      </c>
      <c r="AM59" s="5">
        <v>341654.5</v>
      </c>
      <c r="AN59" s="4" t="s">
        <v>31</v>
      </c>
      <c r="AO59" s="4">
        <v>99</v>
      </c>
    </row>
    <row r="60" spans="1:41" x14ac:dyDescent="0.25">
      <c r="A60" s="3">
        <v>4602708</v>
      </c>
      <c r="B60" s="3" t="s">
        <v>820</v>
      </c>
      <c r="C60" s="3" t="s">
        <v>797</v>
      </c>
      <c r="D60" s="3">
        <v>10002623</v>
      </c>
      <c r="E60" s="4">
        <v>4532059</v>
      </c>
      <c r="F60" s="3" t="s">
        <v>19</v>
      </c>
      <c r="G60" s="4" t="s">
        <v>826</v>
      </c>
      <c r="H60" s="4" t="s">
        <v>827</v>
      </c>
      <c r="I60" s="5">
        <v>461451.63</v>
      </c>
      <c r="J60" s="3" t="s">
        <v>828</v>
      </c>
      <c r="K60" s="3" t="s">
        <v>829</v>
      </c>
      <c r="L60" s="3"/>
      <c r="M60" s="4" t="s">
        <v>827</v>
      </c>
      <c r="N60" s="3" t="s">
        <v>25</v>
      </c>
      <c r="O60" s="3"/>
      <c r="Q60" s="3"/>
      <c r="R60" s="3"/>
      <c r="Y60" s="4" t="s">
        <v>716</v>
      </c>
      <c r="Z60" s="4" t="s">
        <v>716</v>
      </c>
      <c r="AB60" s="3"/>
      <c r="AC60" s="3"/>
      <c r="AD60" s="3" t="s">
        <v>823</v>
      </c>
      <c r="AE60" s="3">
        <v>5000</v>
      </c>
      <c r="AI60" s="4" t="s">
        <v>719</v>
      </c>
      <c r="AJ60" s="4" t="s">
        <v>719</v>
      </c>
      <c r="AK60" s="3"/>
      <c r="AL60" s="4">
        <v>31025</v>
      </c>
      <c r="AM60" s="5">
        <v>461451.63</v>
      </c>
      <c r="AN60" s="4" t="s">
        <v>31</v>
      </c>
      <c r="AO60" s="4">
        <v>99</v>
      </c>
    </row>
    <row r="61" spans="1:41" x14ac:dyDescent="0.25">
      <c r="A61" s="3">
        <v>4602709</v>
      </c>
      <c r="B61" s="3" t="s">
        <v>823</v>
      </c>
      <c r="C61" s="3" t="s">
        <v>797</v>
      </c>
      <c r="D61" s="3">
        <v>10002464</v>
      </c>
      <c r="E61" s="4">
        <v>4532060</v>
      </c>
      <c r="F61" s="3" t="s">
        <v>19</v>
      </c>
      <c r="G61" s="4" t="s">
        <v>830</v>
      </c>
      <c r="H61" s="4" t="s">
        <v>831</v>
      </c>
      <c r="I61" s="5">
        <v>507591.7</v>
      </c>
      <c r="J61" s="3" t="s">
        <v>811</v>
      </c>
      <c r="K61" s="3" t="s">
        <v>832</v>
      </c>
      <c r="L61" s="3"/>
      <c r="M61" s="4" t="s">
        <v>831</v>
      </c>
      <c r="N61" s="3" t="s">
        <v>25</v>
      </c>
      <c r="O61" s="3"/>
      <c r="Q61" s="3"/>
      <c r="R61" s="3"/>
      <c r="Y61" s="4" t="s">
        <v>808</v>
      </c>
      <c r="Z61" s="4" t="s">
        <v>808</v>
      </c>
      <c r="AB61" s="3"/>
      <c r="AC61" s="3"/>
      <c r="AD61" s="3" t="s">
        <v>823</v>
      </c>
      <c r="AE61" s="3">
        <v>5000</v>
      </c>
      <c r="AI61" s="4" t="s">
        <v>810</v>
      </c>
      <c r="AJ61" s="4" t="s">
        <v>810</v>
      </c>
      <c r="AK61" s="3"/>
      <c r="AL61" s="4">
        <v>140838</v>
      </c>
      <c r="AM61" s="5">
        <v>507591.7</v>
      </c>
      <c r="AN61" s="4" t="s">
        <v>31</v>
      </c>
      <c r="AO61" s="4">
        <v>99</v>
      </c>
    </row>
    <row r="62" spans="1:41" x14ac:dyDescent="0.25">
      <c r="A62" s="3">
        <v>4602710</v>
      </c>
      <c r="B62" s="3" t="s">
        <v>820</v>
      </c>
      <c r="C62" s="3" t="s">
        <v>797</v>
      </c>
      <c r="D62" s="3">
        <v>10002638</v>
      </c>
      <c r="E62" s="4">
        <v>4532061</v>
      </c>
      <c r="F62" s="3" t="s">
        <v>19</v>
      </c>
      <c r="G62" s="4" t="s">
        <v>833</v>
      </c>
      <c r="H62" s="4" t="s">
        <v>834</v>
      </c>
      <c r="I62" s="5">
        <v>396198</v>
      </c>
      <c r="J62" s="3" t="s">
        <v>820</v>
      </c>
      <c r="K62" s="3" t="s">
        <v>807</v>
      </c>
      <c r="L62" s="3"/>
      <c r="M62" s="4" t="s">
        <v>835</v>
      </c>
      <c r="N62" s="3" t="s">
        <v>25</v>
      </c>
      <c r="O62" s="3"/>
      <c r="Q62" s="3"/>
      <c r="R62" s="3"/>
      <c r="Y62" s="4" t="s">
        <v>716</v>
      </c>
      <c r="Z62" s="4" t="s">
        <v>716</v>
      </c>
      <c r="AB62" s="3"/>
      <c r="AC62" s="3"/>
      <c r="AD62" s="3" t="s">
        <v>823</v>
      </c>
      <c r="AE62" s="3">
        <v>5000</v>
      </c>
      <c r="AI62" s="4" t="s">
        <v>719</v>
      </c>
      <c r="AJ62" s="4" t="s">
        <v>719</v>
      </c>
      <c r="AK62" s="3"/>
      <c r="AL62" s="4">
        <v>51394</v>
      </c>
      <c r="AM62" s="5">
        <v>396198</v>
      </c>
      <c r="AN62" s="4" t="s">
        <v>31</v>
      </c>
      <c r="AO62" s="4">
        <v>99</v>
      </c>
    </row>
    <row r="63" spans="1:41" x14ac:dyDescent="0.25">
      <c r="A63" s="3">
        <v>4602711</v>
      </c>
      <c r="B63" s="3" t="s">
        <v>820</v>
      </c>
      <c r="C63" s="3" t="s">
        <v>797</v>
      </c>
      <c r="D63" s="3">
        <v>10002634</v>
      </c>
      <c r="E63" s="4">
        <v>4532062</v>
      </c>
      <c r="F63" s="3" t="s">
        <v>19</v>
      </c>
      <c r="G63" s="4" t="s">
        <v>836</v>
      </c>
      <c r="H63" s="4" t="s">
        <v>837</v>
      </c>
      <c r="I63" s="5">
        <v>427461.82</v>
      </c>
      <c r="J63" s="3" t="s">
        <v>820</v>
      </c>
      <c r="K63" s="3" t="s">
        <v>442</v>
      </c>
      <c r="L63" s="3"/>
      <c r="M63" s="4" t="s">
        <v>837</v>
      </c>
      <c r="N63" s="3" t="s">
        <v>25</v>
      </c>
      <c r="O63" s="3"/>
      <c r="Q63" s="3"/>
      <c r="R63" s="3"/>
      <c r="Y63" s="4" t="s">
        <v>716</v>
      </c>
      <c r="Z63" s="4" t="s">
        <v>716</v>
      </c>
      <c r="AB63" s="3"/>
      <c r="AC63" s="3"/>
      <c r="AD63" s="3" t="s">
        <v>823</v>
      </c>
      <c r="AE63" s="3">
        <v>5000</v>
      </c>
      <c r="AI63" s="4" t="s">
        <v>719</v>
      </c>
      <c r="AJ63" s="4" t="s">
        <v>719</v>
      </c>
      <c r="AK63" s="3"/>
      <c r="AL63" s="4">
        <v>51366</v>
      </c>
      <c r="AM63" s="5">
        <v>427461.82</v>
      </c>
      <c r="AN63" s="4" t="s">
        <v>31</v>
      </c>
      <c r="AO63" s="4">
        <v>99</v>
      </c>
    </row>
    <row r="64" spans="1:41" x14ac:dyDescent="0.25">
      <c r="A64" s="3">
        <v>4602712</v>
      </c>
      <c r="B64" s="3" t="s">
        <v>341</v>
      </c>
      <c r="C64" s="3" t="s">
        <v>797</v>
      </c>
      <c r="D64" s="3">
        <v>10002547</v>
      </c>
      <c r="E64" s="4">
        <v>4532063</v>
      </c>
      <c r="F64" s="3" t="s">
        <v>19</v>
      </c>
      <c r="G64" s="4" t="s">
        <v>838</v>
      </c>
      <c r="H64" s="4" t="s">
        <v>839</v>
      </c>
      <c r="I64" s="5">
        <v>497861.1</v>
      </c>
      <c r="J64" s="3" t="s">
        <v>804</v>
      </c>
      <c r="K64" s="3" t="s">
        <v>807</v>
      </c>
      <c r="L64" s="3"/>
      <c r="M64" s="4" t="s">
        <v>840</v>
      </c>
      <c r="N64" s="3" t="s">
        <v>25</v>
      </c>
      <c r="O64" s="3"/>
      <c r="Q64" s="3"/>
      <c r="R64" s="3"/>
      <c r="Y64" s="4" t="s">
        <v>716</v>
      </c>
      <c r="Z64" s="4" t="s">
        <v>716</v>
      </c>
      <c r="AB64" s="3"/>
      <c r="AC64" s="3"/>
      <c r="AD64" s="3" t="s">
        <v>841</v>
      </c>
      <c r="AE64" s="3">
        <v>5000</v>
      </c>
      <c r="AI64" s="4" t="s">
        <v>719</v>
      </c>
      <c r="AJ64" s="4" t="s">
        <v>719</v>
      </c>
      <c r="AK64" s="3"/>
      <c r="AL64" s="4">
        <v>140780</v>
      </c>
      <c r="AM64" s="5">
        <v>497861.1</v>
      </c>
      <c r="AN64" s="4" t="s">
        <v>31</v>
      </c>
      <c r="AO64" s="4">
        <v>99</v>
      </c>
    </row>
    <row r="65" spans="1:41" x14ac:dyDescent="0.25">
      <c r="A65" s="3">
        <v>4602713</v>
      </c>
      <c r="B65" s="3" t="s">
        <v>62</v>
      </c>
      <c r="C65" s="3" t="s">
        <v>797</v>
      </c>
      <c r="D65" s="3">
        <v>10002546</v>
      </c>
      <c r="E65" s="4">
        <v>4532064</v>
      </c>
      <c r="F65" s="3" t="s">
        <v>19</v>
      </c>
      <c r="G65" s="4" t="s">
        <v>805</v>
      </c>
      <c r="H65" s="4" t="s">
        <v>842</v>
      </c>
      <c r="I65" s="5">
        <v>395298.2</v>
      </c>
      <c r="J65" s="3" t="s">
        <v>804</v>
      </c>
      <c r="K65" s="3" t="s">
        <v>807</v>
      </c>
      <c r="L65" s="3"/>
      <c r="M65" s="4" t="s">
        <v>843</v>
      </c>
      <c r="N65" s="3" t="s">
        <v>25</v>
      </c>
      <c r="O65" s="3"/>
      <c r="Q65" s="3"/>
      <c r="R65" s="3"/>
      <c r="Y65" s="4" t="s">
        <v>716</v>
      </c>
      <c r="Z65" s="4" t="s">
        <v>716</v>
      </c>
      <c r="AB65" s="3"/>
      <c r="AC65" s="3"/>
      <c r="AD65" s="3" t="s">
        <v>823</v>
      </c>
      <c r="AE65" s="3">
        <v>5000</v>
      </c>
      <c r="AI65" s="4" t="s">
        <v>719</v>
      </c>
      <c r="AJ65" s="4" t="s">
        <v>719</v>
      </c>
      <c r="AK65" s="3"/>
      <c r="AL65" s="4">
        <v>50656</v>
      </c>
      <c r="AM65" s="5">
        <v>395298.2</v>
      </c>
      <c r="AN65" s="4" t="s">
        <v>31</v>
      </c>
      <c r="AO65" s="4">
        <v>99</v>
      </c>
    </row>
    <row r="66" spans="1:41" x14ac:dyDescent="0.25">
      <c r="A66" s="3">
        <v>4602714</v>
      </c>
      <c r="B66" s="3" t="s">
        <v>820</v>
      </c>
      <c r="C66" s="3" t="s">
        <v>797</v>
      </c>
      <c r="D66" s="3">
        <v>10002625</v>
      </c>
      <c r="E66" s="4">
        <v>4532065</v>
      </c>
      <c r="F66" s="3" t="s">
        <v>19</v>
      </c>
      <c r="G66" s="4" t="s">
        <v>844</v>
      </c>
      <c r="H66" s="4" t="s">
        <v>845</v>
      </c>
      <c r="I66" s="5">
        <v>482735</v>
      </c>
      <c r="J66" s="3" t="s">
        <v>828</v>
      </c>
      <c r="K66" s="3" t="s">
        <v>442</v>
      </c>
      <c r="L66" s="3"/>
      <c r="M66" s="4" t="s">
        <v>845</v>
      </c>
      <c r="N66" s="3" t="s">
        <v>25</v>
      </c>
      <c r="O66" s="3"/>
      <c r="Q66" s="3"/>
      <c r="R66" s="3"/>
      <c r="Y66" s="4" t="s">
        <v>846</v>
      </c>
      <c r="Z66" s="4" t="s">
        <v>846</v>
      </c>
      <c r="AB66" s="3"/>
      <c r="AC66" s="3"/>
      <c r="AD66" s="3" t="s">
        <v>847</v>
      </c>
      <c r="AE66" s="3">
        <v>5000</v>
      </c>
      <c r="AI66" s="4" t="s">
        <v>848</v>
      </c>
      <c r="AJ66" s="4" t="s">
        <v>848</v>
      </c>
      <c r="AK66" s="3"/>
      <c r="AL66" s="4">
        <v>50787</v>
      </c>
      <c r="AM66" s="5">
        <v>482735</v>
      </c>
      <c r="AN66" s="4" t="s">
        <v>31</v>
      </c>
      <c r="AO66" s="4">
        <v>99</v>
      </c>
    </row>
    <row r="67" spans="1:41" x14ac:dyDescent="0.25">
      <c r="A67" s="3">
        <v>4602715</v>
      </c>
      <c r="B67" s="3" t="s">
        <v>849</v>
      </c>
      <c r="C67" s="3" t="s">
        <v>797</v>
      </c>
      <c r="D67" s="3">
        <v>10002545</v>
      </c>
      <c r="E67" s="4">
        <v>4532066</v>
      </c>
      <c r="F67" s="3" t="s">
        <v>19</v>
      </c>
      <c r="G67" s="4" t="s">
        <v>850</v>
      </c>
      <c r="H67" s="4" t="s">
        <v>851</v>
      </c>
      <c r="I67" s="5">
        <v>430101.42</v>
      </c>
      <c r="J67" s="3" t="s">
        <v>804</v>
      </c>
      <c r="K67" s="3" t="s">
        <v>807</v>
      </c>
      <c r="L67" s="3"/>
      <c r="M67" s="4" t="s">
        <v>851</v>
      </c>
      <c r="N67" s="3" t="s">
        <v>25</v>
      </c>
      <c r="O67" s="3"/>
      <c r="Q67" s="3"/>
      <c r="R67" s="3"/>
      <c r="Y67" s="4" t="s">
        <v>716</v>
      </c>
      <c r="Z67" s="4" t="s">
        <v>716</v>
      </c>
      <c r="AB67" s="3"/>
      <c r="AC67" s="3"/>
      <c r="AD67" s="3" t="s">
        <v>175</v>
      </c>
      <c r="AE67" s="3">
        <v>5000</v>
      </c>
      <c r="AI67" s="4" t="s">
        <v>719</v>
      </c>
      <c r="AJ67" s="4" t="s">
        <v>719</v>
      </c>
      <c r="AK67" s="3"/>
      <c r="AL67" s="4">
        <v>43407</v>
      </c>
      <c r="AM67" s="5">
        <v>430101.42</v>
      </c>
      <c r="AN67" s="4" t="s">
        <v>31</v>
      </c>
      <c r="AO67" s="4">
        <v>99</v>
      </c>
    </row>
    <row r="68" spans="1:41" x14ac:dyDescent="0.25">
      <c r="A68" s="3">
        <v>4602717</v>
      </c>
      <c r="B68" s="3" t="s">
        <v>72</v>
      </c>
      <c r="C68" s="3" t="s">
        <v>797</v>
      </c>
      <c r="D68" s="3">
        <v>10002531</v>
      </c>
      <c r="E68" s="4">
        <v>4532068</v>
      </c>
      <c r="F68" s="3" t="s">
        <v>19</v>
      </c>
      <c r="G68" s="4" t="s">
        <v>833</v>
      </c>
      <c r="H68" s="4" t="s">
        <v>852</v>
      </c>
      <c r="I68" s="5">
        <v>293150</v>
      </c>
      <c r="J68" s="3" t="s">
        <v>814</v>
      </c>
      <c r="K68" s="3" t="s">
        <v>807</v>
      </c>
      <c r="L68" s="3"/>
      <c r="M68" s="4" t="s">
        <v>852</v>
      </c>
      <c r="N68" s="3" t="s">
        <v>25</v>
      </c>
      <c r="O68" s="3"/>
      <c r="Q68" s="3"/>
      <c r="R68" s="3"/>
      <c r="Y68" s="4" t="s">
        <v>808</v>
      </c>
      <c r="Z68" s="4" t="s">
        <v>808</v>
      </c>
      <c r="AB68" s="3"/>
      <c r="AC68" s="3"/>
      <c r="AD68" s="3" t="s">
        <v>72</v>
      </c>
      <c r="AE68" s="3">
        <v>5000</v>
      </c>
      <c r="AI68" s="4" t="s">
        <v>810</v>
      </c>
      <c r="AJ68" s="4" t="s">
        <v>810</v>
      </c>
      <c r="AK68" s="3"/>
      <c r="AL68" s="4">
        <v>51394</v>
      </c>
      <c r="AM68" s="5">
        <v>293150</v>
      </c>
      <c r="AN68" s="4" t="s">
        <v>31</v>
      </c>
      <c r="AO68" s="4">
        <v>99</v>
      </c>
    </row>
    <row r="69" spans="1:41" x14ac:dyDescent="0.25">
      <c r="A69" s="3">
        <v>4602718</v>
      </c>
      <c r="B69" s="3" t="s">
        <v>68</v>
      </c>
      <c r="C69" s="3" t="s">
        <v>797</v>
      </c>
      <c r="D69" s="3">
        <v>10002624</v>
      </c>
      <c r="E69" s="4">
        <v>4532069</v>
      </c>
      <c r="F69" s="3" t="s">
        <v>19</v>
      </c>
      <c r="G69" s="4" t="s">
        <v>853</v>
      </c>
      <c r="H69" s="4" t="s">
        <v>854</v>
      </c>
      <c r="I69" s="5">
        <v>168448.5</v>
      </c>
      <c r="J69" s="3" t="s">
        <v>828</v>
      </c>
      <c r="K69" s="3" t="s">
        <v>442</v>
      </c>
      <c r="L69" s="3"/>
      <c r="M69" s="4" t="s">
        <v>855</v>
      </c>
      <c r="N69" s="3" t="s">
        <v>25</v>
      </c>
      <c r="O69" s="3"/>
      <c r="Q69" s="3"/>
      <c r="R69" s="3"/>
      <c r="Y69" s="4" t="s">
        <v>846</v>
      </c>
      <c r="Z69" s="4" t="s">
        <v>808</v>
      </c>
      <c r="AB69" s="3"/>
      <c r="AC69" s="3"/>
      <c r="AD69" s="3" t="s">
        <v>847</v>
      </c>
      <c r="AE69" s="3">
        <v>5000</v>
      </c>
      <c r="AI69" s="4" t="s">
        <v>848</v>
      </c>
      <c r="AJ69" s="4" t="s">
        <v>810</v>
      </c>
      <c r="AK69" s="3"/>
      <c r="AL69" s="4">
        <v>140398</v>
      </c>
      <c r="AM69" s="5">
        <v>168448.5</v>
      </c>
      <c r="AN69" s="4" t="s">
        <v>31</v>
      </c>
      <c r="AO69" s="4">
        <v>99</v>
      </c>
    </row>
    <row r="70" spans="1:41" x14ac:dyDescent="0.25">
      <c r="A70" s="3">
        <v>4602719</v>
      </c>
      <c r="B70" s="3" t="s">
        <v>820</v>
      </c>
      <c r="C70" s="3" t="s">
        <v>797</v>
      </c>
      <c r="D70" s="3">
        <v>10002628</v>
      </c>
      <c r="E70" s="4">
        <v>4532070</v>
      </c>
      <c r="F70" s="3" t="s">
        <v>19</v>
      </c>
      <c r="G70" s="4" t="s">
        <v>856</v>
      </c>
      <c r="H70" s="4" t="s">
        <v>857</v>
      </c>
      <c r="I70" s="5">
        <v>902000</v>
      </c>
      <c r="J70" s="3" t="s">
        <v>858</v>
      </c>
      <c r="K70" s="3" t="s">
        <v>859</v>
      </c>
      <c r="L70" s="3"/>
      <c r="M70" s="4" t="s">
        <v>857</v>
      </c>
      <c r="N70" s="3" t="s">
        <v>25</v>
      </c>
      <c r="O70" s="3"/>
      <c r="Q70" s="3"/>
      <c r="R70" s="3"/>
      <c r="Y70" s="4" t="s">
        <v>808</v>
      </c>
      <c r="Z70" s="4" t="s">
        <v>808</v>
      </c>
      <c r="AB70" s="3"/>
      <c r="AC70" s="3"/>
      <c r="AD70" s="3" t="s">
        <v>72</v>
      </c>
      <c r="AE70" s="3">
        <v>5000</v>
      </c>
      <c r="AI70" s="4" t="s">
        <v>810</v>
      </c>
      <c r="AJ70" s="4" t="s">
        <v>810</v>
      </c>
      <c r="AK70" s="3"/>
      <c r="AL70" s="4">
        <v>50127</v>
      </c>
      <c r="AM70" s="5">
        <v>902000</v>
      </c>
      <c r="AN70" s="4" t="s">
        <v>31</v>
      </c>
      <c r="AO70" s="4">
        <v>99</v>
      </c>
    </row>
    <row r="71" spans="1:41" x14ac:dyDescent="0.25">
      <c r="A71" s="3">
        <v>4602720</v>
      </c>
      <c r="B71" s="3" t="s">
        <v>820</v>
      </c>
      <c r="C71" s="3" t="s">
        <v>797</v>
      </c>
      <c r="D71" s="3">
        <v>10002622</v>
      </c>
      <c r="E71" s="4">
        <v>4532071</v>
      </c>
      <c r="F71" s="3" t="s">
        <v>19</v>
      </c>
      <c r="G71" s="4" t="s">
        <v>860</v>
      </c>
      <c r="H71" s="4" t="s">
        <v>861</v>
      </c>
      <c r="I71" s="5">
        <v>384890</v>
      </c>
      <c r="J71" s="3" t="s">
        <v>828</v>
      </c>
      <c r="K71" s="3" t="s">
        <v>829</v>
      </c>
      <c r="L71" s="3"/>
      <c r="M71" s="4" t="s">
        <v>862</v>
      </c>
      <c r="N71" s="3" t="s">
        <v>25</v>
      </c>
      <c r="O71" s="3"/>
      <c r="Q71" s="3"/>
      <c r="R71" s="3"/>
      <c r="Y71" s="4" t="s">
        <v>716</v>
      </c>
      <c r="Z71" s="4" t="s">
        <v>716</v>
      </c>
      <c r="AB71" s="3"/>
      <c r="AC71" s="3"/>
      <c r="AD71" s="3" t="s">
        <v>72</v>
      </c>
      <c r="AE71" s="3">
        <v>5000</v>
      </c>
      <c r="AI71" s="4" t="s">
        <v>719</v>
      </c>
      <c r="AJ71" s="4" t="s">
        <v>719</v>
      </c>
      <c r="AK71" s="3"/>
      <c r="AL71" s="4">
        <v>51211</v>
      </c>
      <c r="AM71" s="5">
        <v>384890</v>
      </c>
      <c r="AN71" s="4" t="s">
        <v>31</v>
      </c>
      <c r="AO71" s="4">
        <v>99</v>
      </c>
    </row>
    <row r="72" spans="1:41" x14ac:dyDescent="0.25">
      <c r="A72" s="3">
        <v>4602721</v>
      </c>
      <c r="B72" s="3" t="s">
        <v>863</v>
      </c>
      <c r="C72" s="3" t="s">
        <v>797</v>
      </c>
      <c r="D72" s="3">
        <v>10002466</v>
      </c>
      <c r="E72" s="4">
        <v>4532072</v>
      </c>
      <c r="F72" s="3" t="s">
        <v>19</v>
      </c>
      <c r="G72" s="4" t="s">
        <v>864</v>
      </c>
      <c r="H72" s="4" t="s">
        <v>865</v>
      </c>
      <c r="I72" s="5">
        <v>34826</v>
      </c>
      <c r="J72" s="3" t="s">
        <v>811</v>
      </c>
      <c r="K72" s="3" t="s">
        <v>832</v>
      </c>
      <c r="L72" s="3"/>
      <c r="M72" s="4" t="s">
        <v>866</v>
      </c>
      <c r="N72" s="3" t="s">
        <v>25</v>
      </c>
      <c r="O72" s="3"/>
      <c r="Q72" s="3"/>
      <c r="R72" s="3"/>
      <c r="Y72" s="4" t="s">
        <v>808</v>
      </c>
      <c r="Z72" s="4" t="s">
        <v>808</v>
      </c>
      <c r="AB72" s="3"/>
      <c r="AC72" s="3"/>
      <c r="AD72" s="3" t="s">
        <v>72</v>
      </c>
      <c r="AE72" s="3">
        <v>5000</v>
      </c>
      <c r="AI72" s="4" t="s">
        <v>810</v>
      </c>
      <c r="AJ72" s="4" t="s">
        <v>810</v>
      </c>
      <c r="AK72" s="3"/>
      <c r="AL72" s="4">
        <v>140787</v>
      </c>
      <c r="AM72" s="5">
        <v>34826</v>
      </c>
      <c r="AN72" s="4" t="s">
        <v>31</v>
      </c>
      <c r="AO72" s="4">
        <v>99</v>
      </c>
    </row>
    <row r="73" spans="1:41" x14ac:dyDescent="0.25">
      <c r="A73" s="3">
        <v>4602722</v>
      </c>
      <c r="B73" s="3" t="s">
        <v>820</v>
      </c>
      <c r="C73" s="3" t="s">
        <v>797</v>
      </c>
      <c r="D73" s="3">
        <v>10002618</v>
      </c>
      <c r="E73" s="4">
        <v>4532073</v>
      </c>
      <c r="F73" s="3" t="s">
        <v>19</v>
      </c>
      <c r="G73" s="4" t="s">
        <v>867</v>
      </c>
      <c r="H73" s="4" t="s">
        <v>868</v>
      </c>
      <c r="I73" s="5">
        <v>417230</v>
      </c>
      <c r="J73" s="3" t="s">
        <v>828</v>
      </c>
      <c r="K73" s="3" t="s">
        <v>442</v>
      </c>
      <c r="L73" s="3"/>
      <c r="M73" s="4" t="s">
        <v>869</v>
      </c>
      <c r="N73" s="3" t="s">
        <v>25</v>
      </c>
      <c r="O73" s="3"/>
      <c r="Q73" s="3"/>
      <c r="R73" s="3"/>
      <c r="Y73" s="4" t="s">
        <v>716</v>
      </c>
      <c r="Z73" s="4" t="s">
        <v>716</v>
      </c>
      <c r="AB73" s="3"/>
      <c r="AC73" s="3"/>
      <c r="AD73" s="3" t="s">
        <v>72</v>
      </c>
      <c r="AE73" s="3">
        <v>5000</v>
      </c>
      <c r="AI73" s="4" t="s">
        <v>719</v>
      </c>
      <c r="AJ73" s="4" t="s">
        <v>719</v>
      </c>
      <c r="AK73" s="3"/>
      <c r="AL73" s="4">
        <v>51001</v>
      </c>
      <c r="AM73" s="5">
        <v>417230</v>
      </c>
      <c r="AN73" s="4" t="s">
        <v>31</v>
      </c>
      <c r="AO73" s="4">
        <v>99</v>
      </c>
    </row>
    <row r="74" spans="1:41" x14ac:dyDescent="0.25">
      <c r="A74" s="3">
        <v>4602723</v>
      </c>
      <c r="B74" s="3" t="s">
        <v>820</v>
      </c>
      <c r="C74" s="3" t="s">
        <v>797</v>
      </c>
      <c r="D74" s="3">
        <v>10002467</v>
      </c>
      <c r="E74" s="4">
        <v>4532074</v>
      </c>
      <c r="F74" s="3" t="s">
        <v>19</v>
      </c>
      <c r="G74" s="4" t="s">
        <v>870</v>
      </c>
      <c r="H74" s="4" t="s">
        <v>871</v>
      </c>
      <c r="I74" s="5">
        <v>383825.2</v>
      </c>
      <c r="J74" s="3" t="s">
        <v>811</v>
      </c>
      <c r="K74" s="3" t="s">
        <v>442</v>
      </c>
      <c r="L74" s="3"/>
      <c r="M74" s="4" t="s">
        <v>872</v>
      </c>
      <c r="N74" s="3" t="s">
        <v>25</v>
      </c>
      <c r="O74" s="3"/>
      <c r="Q74" s="3"/>
      <c r="R74" s="3"/>
      <c r="Y74" s="4" t="s">
        <v>808</v>
      </c>
      <c r="Z74" s="4" t="s">
        <v>808</v>
      </c>
      <c r="AB74" s="3"/>
      <c r="AC74" s="3"/>
      <c r="AD74" s="3" t="s">
        <v>72</v>
      </c>
      <c r="AE74" s="3">
        <v>5000</v>
      </c>
      <c r="AI74" s="4" t="s">
        <v>810</v>
      </c>
      <c r="AJ74" s="4" t="s">
        <v>810</v>
      </c>
      <c r="AK74" s="3"/>
      <c r="AL74" s="4">
        <v>140792</v>
      </c>
      <c r="AM74" s="5">
        <v>383825.2</v>
      </c>
      <c r="AN74" s="4" t="s">
        <v>31</v>
      </c>
      <c r="AO74" s="4">
        <v>99</v>
      </c>
    </row>
    <row r="75" spans="1:41" x14ac:dyDescent="0.25">
      <c r="A75" s="3">
        <v>4602727</v>
      </c>
      <c r="B75" s="3" t="s">
        <v>863</v>
      </c>
      <c r="C75" s="3" t="s">
        <v>797</v>
      </c>
      <c r="D75" s="3">
        <v>10002585</v>
      </c>
      <c r="E75" s="4">
        <v>4532078</v>
      </c>
      <c r="F75" s="3" t="s">
        <v>19</v>
      </c>
      <c r="G75" s="4" t="s">
        <v>873</v>
      </c>
      <c r="H75" s="4" t="s">
        <v>874</v>
      </c>
      <c r="I75" s="5">
        <v>393360</v>
      </c>
      <c r="J75" s="3" t="s">
        <v>863</v>
      </c>
      <c r="K75" s="3" t="s">
        <v>875</v>
      </c>
      <c r="L75" s="3"/>
      <c r="M75" s="4" t="s">
        <v>876</v>
      </c>
      <c r="N75" s="3" t="s">
        <v>25</v>
      </c>
      <c r="O75" s="3"/>
      <c r="Q75" s="3"/>
      <c r="R75" s="3"/>
      <c r="Y75" s="4" t="s">
        <v>716</v>
      </c>
      <c r="Z75" s="4" t="s">
        <v>716</v>
      </c>
      <c r="AB75" s="3"/>
      <c r="AC75" s="3"/>
      <c r="AD75" s="3" t="s">
        <v>72</v>
      </c>
      <c r="AE75" s="3">
        <v>5000</v>
      </c>
      <c r="AI75" s="4" t="s">
        <v>719</v>
      </c>
      <c r="AJ75" s="4" t="s">
        <v>719</v>
      </c>
      <c r="AK75" s="3"/>
      <c r="AL75" s="4">
        <v>140810</v>
      </c>
      <c r="AM75" s="5">
        <v>393360</v>
      </c>
      <c r="AN75" s="4" t="s">
        <v>31</v>
      </c>
      <c r="AO75" s="4">
        <v>99</v>
      </c>
    </row>
    <row r="76" spans="1:41" x14ac:dyDescent="0.25">
      <c r="A76" s="3">
        <v>4602730</v>
      </c>
      <c r="B76" s="3" t="s">
        <v>863</v>
      </c>
      <c r="C76" s="3" t="s">
        <v>797</v>
      </c>
      <c r="D76" s="3">
        <v>10002586</v>
      </c>
      <c r="E76" s="4">
        <v>4532081</v>
      </c>
      <c r="F76" s="3" t="s">
        <v>19</v>
      </c>
      <c r="G76" s="4" t="s">
        <v>877</v>
      </c>
      <c r="H76" s="4" t="s">
        <v>878</v>
      </c>
      <c r="I76" s="5">
        <v>385000</v>
      </c>
      <c r="J76" s="3" t="s">
        <v>863</v>
      </c>
      <c r="K76" s="3" t="s">
        <v>442</v>
      </c>
      <c r="L76" s="3"/>
      <c r="M76" s="4" t="s">
        <v>879</v>
      </c>
      <c r="N76" s="3" t="s">
        <v>25</v>
      </c>
      <c r="O76" s="3"/>
      <c r="Q76" s="3"/>
      <c r="R76" s="3"/>
      <c r="Y76" s="4" t="s">
        <v>716</v>
      </c>
      <c r="Z76" s="4" t="s">
        <v>716</v>
      </c>
      <c r="AB76" s="3"/>
      <c r="AC76" s="3"/>
      <c r="AD76" s="3" t="s">
        <v>72</v>
      </c>
      <c r="AE76" s="3">
        <v>5000</v>
      </c>
      <c r="AI76" s="4" t="s">
        <v>719</v>
      </c>
      <c r="AJ76" s="4" t="s">
        <v>719</v>
      </c>
      <c r="AK76" s="3"/>
      <c r="AL76" s="4">
        <v>140823</v>
      </c>
      <c r="AM76" s="5">
        <v>385000</v>
      </c>
      <c r="AN76" s="4" t="s">
        <v>31</v>
      </c>
      <c r="AO76" s="4">
        <v>99</v>
      </c>
    </row>
    <row r="77" spans="1:41" x14ac:dyDescent="0.25">
      <c r="A77" s="3">
        <v>4602731</v>
      </c>
      <c r="B77" s="3" t="s">
        <v>863</v>
      </c>
      <c r="C77" s="3" t="s">
        <v>797</v>
      </c>
      <c r="D77" s="3">
        <v>10002589</v>
      </c>
      <c r="E77" s="4">
        <v>4532082</v>
      </c>
      <c r="F77" s="3" t="s">
        <v>19</v>
      </c>
      <c r="G77" s="4" t="s">
        <v>880</v>
      </c>
      <c r="H77" s="4" t="s">
        <v>881</v>
      </c>
      <c r="I77" s="5">
        <v>384989</v>
      </c>
      <c r="J77" s="3" t="s">
        <v>863</v>
      </c>
      <c r="K77" s="3" t="s">
        <v>882</v>
      </c>
      <c r="L77" s="3"/>
      <c r="M77" s="4" t="s">
        <v>881</v>
      </c>
      <c r="N77" s="3" t="s">
        <v>25</v>
      </c>
      <c r="O77" s="3"/>
      <c r="Q77" s="3"/>
      <c r="R77" s="3"/>
      <c r="Y77" s="4" t="s">
        <v>716</v>
      </c>
      <c r="Z77" s="4" t="s">
        <v>716</v>
      </c>
      <c r="AB77" s="3"/>
      <c r="AC77" s="3"/>
      <c r="AD77" s="3" t="s">
        <v>72</v>
      </c>
      <c r="AE77" s="3">
        <v>5000</v>
      </c>
      <c r="AI77" s="4" t="s">
        <v>719</v>
      </c>
      <c r="AJ77" s="4" t="s">
        <v>719</v>
      </c>
      <c r="AK77" s="3"/>
      <c r="AL77" s="4">
        <v>42994</v>
      </c>
      <c r="AM77" s="5">
        <v>384989</v>
      </c>
      <c r="AN77" s="4" t="s">
        <v>31</v>
      </c>
      <c r="AO77" s="4">
        <v>99</v>
      </c>
    </row>
    <row r="78" spans="1:41" x14ac:dyDescent="0.25">
      <c r="A78" s="3">
        <v>4602733</v>
      </c>
      <c r="B78" s="3" t="s">
        <v>863</v>
      </c>
      <c r="C78" s="3" t="s">
        <v>797</v>
      </c>
      <c r="D78" s="3">
        <v>10002580</v>
      </c>
      <c r="E78" s="4">
        <v>4532084</v>
      </c>
      <c r="F78" s="3" t="s">
        <v>19</v>
      </c>
      <c r="G78" s="4" t="s">
        <v>883</v>
      </c>
      <c r="H78" s="4" t="s">
        <v>884</v>
      </c>
      <c r="I78" s="5">
        <v>349653.7</v>
      </c>
      <c r="J78" s="3" t="s">
        <v>809</v>
      </c>
      <c r="K78" s="3" t="s">
        <v>442</v>
      </c>
      <c r="L78" s="3"/>
      <c r="M78" s="4" t="s">
        <v>885</v>
      </c>
      <c r="N78" s="3" t="s">
        <v>25</v>
      </c>
      <c r="O78" s="3"/>
      <c r="Q78" s="3"/>
      <c r="R78" s="3"/>
      <c r="Y78" s="4" t="s">
        <v>716</v>
      </c>
      <c r="Z78" s="4" t="s">
        <v>716</v>
      </c>
      <c r="AB78" s="3"/>
      <c r="AC78" s="3"/>
      <c r="AD78" s="3" t="s">
        <v>72</v>
      </c>
      <c r="AE78" s="3">
        <v>5000</v>
      </c>
      <c r="AI78" s="4" t="s">
        <v>719</v>
      </c>
      <c r="AJ78" s="4" t="s">
        <v>719</v>
      </c>
      <c r="AK78" s="3"/>
      <c r="AL78" s="4">
        <v>140796</v>
      </c>
      <c r="AM78" s="5">
        <v>349653.7</v>
      </c>
      <c r="AN78" s="4" t="s">
        <v>31</v>
      </c>
      <c r="AO78" s="4">
        <v>99</v>
      </c>
    </row>
    <row r="79" spans="1:41" x14ac:dyDescent="0.25">
      <c r="A79" s="3">
        <v>4602734</v>
      </c>
      <c r="B79" s="3" t="s">
        <v>863</v>
      </c>
      <c r="C79" s="3" t="s">
        <v>797</v>
      </c>
      <c r="D79" s="3">
        <v>10002529</v>
      </c>
      <c r="E79" s="4">
        <v>4532085</v>
      </c>
      <c r="F79" s="3" t="s">
        <v>19</v>
      </c>
      <c r="G79" s="4" t="s">
        <v>886</v>
      </c>
      <c r="H79" s="4" t="s">
        <v>887</v>
      </c>
      <c r="I79" s="5">
        <v>297000</v>
      </c>
      <c r="J79" s="3" t="s">
        <v>814</v>
      </c>
      <c r="K79" s="3" t="s">
        <v>807</v>
      </c>
      <c r="L79" s="3"/>
      <c r="M79" s="4" t="s">
        <v>887</v>
      </c>
      <c r="N79" s="3" t="s">
        <v>25</v>
      </c>
      <c r="O79" s="3"/>
      <c r="Q79" s="3"/>
      <c r="R79" s="3"/>
      <c r="Y79" s="4" t="s">
        <v>808</v>
      </c>
      <c r="Z79" s="4" t="s">
        <v>846</v>
      </c>
      <c r="AB79" s="3"/>
      <c r="AC79" s="3"/>
      <c r="AD79" s="3" t="s">
        <v>72</v>
      </c>
      <c r="AE79" s="3">
        <v>5000</v>
      </c>
      <c r="AI79" s="4" t="s">
        <v>810</v>
      </c>
      <c r="AJ79" s="4" t="s">
        <v>848</v>
      </c>
      <c r="AK79" s="3"/>
      <c r="AL79" s="4">
        <v>140840</v>
      </c>
      <c r="AM79" s="5">
        <v>297000</v>
      </c>
      <c r="AN79" s="4" t="s">
        <v>31</v>
      </c>
      <c r="AO79" s="4">
        <v>99</v>
      </c>
    </row>
    <row r="80" spans="1:41" x14ac:dyDescent="0.25">
      <c r="A80" s="3">
        <v>4602739</v>
      </c>
      <c r="B80" s="3" t="s">
        <v>863</v>
      </c>
      <c r="C80" s="3" t="s">
        <v>797</v>
      </c>
      <c r="D80" s="3">
        <v>10002581</v>
      </c>
      <c r="E80" s="4">
        <v>4532090</v>
      </c>
      <c r="F80" s="3" t="s">
        <v>19</v>
      </c>
      <c r="G80" s="4" t="s">
        <v>888</v>
      </c>
      <c r="H80" s="4" t="s">
        <v>889</v>
      </c>
      <c r="I80" s="5">
        <v>263756.90000000002</v>
      </c>
      <c r="J80" s="3" t="s">
        <v>809</v>
      </c>
      <c r="K80" s="3" t="s">
        <v>728</v>
      </c>
      <c r="L80" s="3"/>
      <c r="M80" s="4" t="s">
        <v>890</v>
      </c>
      <c r="N80" s="3" t="s">
        <v>25</v>
      </c>
      <c r="O80" s="3"/>
      <c r="Q80" s="3"/>
      <c r="R80" s="3"/>
      <c r="Y80" s="4" t="s">
        <v>716</v>
      </c>
      <c r="Z80" s="4" t="s">
        <v>716</v>
      </c>
      <c r="AB80" s="3"/>
      <c r="AC80" s="3"/>
      <c r="AD80" s="3" t="s">
        <v>72</v>
      </c>
      <c r="AE80" s="3">
        <v>5000</v>
      </c>
      <c r="AI80" s="4" t="s">
        <v>719</v>
      </c>
      <c r="AJ80" s="4" t="s">
        <v>719</v>
      </c>
      <c r="AK80" s="3"/>
      <c r="AL80" s="4">
        <v>140843</v>
      </c>
      <c r="AM80" s="5">
        <v>263756.90000000002</v>
      </c>
      <c r="AN80" s="4" t="s">
        <v>31</v>
      </c>
      <c r="AO80" s="4">
        <v>99</v>
      </c>
    </row>
    <row r="81" spans="1:41" x14ac:dyDescent="0.25">
      <c r="A81" s="3">
        <v>4602743</v>
      </c>
      <c r="B81" s="3" t="s">
        <v>863</v>
      </c>
      <c r="C81" s="3" t="s">
        <v>797</v>
      </c>
      <c r="D81" s="3">
        <v>10002576</v>
      </c>
      <c r="E81" s="4">
        <v>4532094</v>
      </c>
      <c r="F81" s="3" t="s">
        <v>19</v>
      </c>
      <c r="G81" s="4" t="s">
        <v>891</v>
      </c>
      <c r="H81" s="4" t="s">
        <v>892</v>
      </c>
      <c r="I81" s="5">
        <v>421955.37</v>
      </c>
      <c r="J81" s="3" t="s">
        <v>809</v>
      </c>
      <c r="K81" s="3" t="s">
        <v>313</v>
      </c>
      <c r="L81" s="3"/>
      <c r="M81" s="4" t="s">
        <v>893</v>
      </c>
      <c r="N81" s="3" t="s">
        <v>25</v>
      </c>
      <c r="O81" s="3"/>
      <c r="Q81" s="3"/>
      <c r="R81" s="3"/>
      <c r="Y81" s="4" t="s">
        <v>716</v>
      </c>
      <c r="Z81" s="4" t="s">
        <v>716</v>
      </c>
      <c r="AB81" s="3"/>
      <c r="AC81" s="3"/>
      <c r="AD81" s="3" t="s">
        <v>72</v>
      </c>
      <c r="AE81" s="3">
        <v>5000</v>
      </c>
      <c r="AI81" s="4" t="s">
        <v>719</v>
      </c>
      <c r="AJ81" s="4" t="s">
        <v>719</v>
      </c>
      <c r="AK81" s="3"/>
      <c r="AL81" s="4">
        <v>140844</v>
      </c>
      <c r="AM81" s="5">
        <v>421955.37</v>
      </c>
      <c r="AN81" s="4" t="s">
        <v>31</v>
      </c>
      <c r="AO81" s="4">
        <v>99</v>
      </c>
    </row>
    <row r="82" spans="1:41" x14ac:dyDescent="0.25">
      <c r="A82" s="3">
        <v>4602744</v>
      </c>
      <c r="B82" s="3" t="s">
        <v>863</v>
      </c>
      <c r="C82" s="3" t="s">
        <v>797</v>
      </c>
      <c r="D82" s="3">
        <v>10002577</v>
      </c>
      <c r="E82" s="4">
        <v>4532095</v>
      </c>
      <c r="F82" s="3" t="s">
        <v>19</v>
      </c>
      <c r="G82" s="4" t="s">
        <v>894</v>
      </c>
      <c r="H82" s="4" t="s">
        <v>895</v>
      </c>
      <c r="I82" s="5">
        <v>433654.6</v>
      </c>
      <c r="J82" s="3" t="s">
        <v>809</v>
      </c>
      <c r="K82" s="3" t="s">
        <v>817</v>
      </c>
      <c r="L82" s="3"/>
      <c r="M82" s="4" t="s">
        <v>895</v>
      </c>
      <c r="N82" s="3" t="s">
        <v>25</v>
      </c>
      <c r="O82" s="3"/>
      <c r="Q82" s="3"/>
      <c r="R82" s="3"/>
      <c r="Y82" s="4" t="s">
        <v>716</v>
      </c>
      <c r="Z82" s="4" t="s">
        <v>716</v>
      </c>
      <c r="AB82" s="3"/>
      <c r="AC82" s="3"/>
      <c r="AD82" s="3" t="s">
        <v>896</v>
      </c>
      <c r="AE82" s="3">
        <v>5000</v>
      </c>
      <c r="AI82" s="4" t="s">
        <v>719</v>
      </c>
      <c r="AJ82" s="4" t="s">
        <v>719</v>
      </c>
      <c r="AK82" s="3"/>
      <c r="AL82" s="4">
        <v>52592</v>
      </c>
      <c r="AM82" s="5">
        <v>433654.6</v>
      </c>
      <c r="AN82" s="4" t="s">
        <v>31</v>
      </c>
      <c r="AO82" s="4">
        <v>99</v>
      </c>
    </row>
    <row r="83" spans="1:41" x14ac:dyDescent="0.25">
      <c r="A83" s="3">
        <v>4602745</v>
      </c>
      <c r="B83" s="3" t="s">
        <v>863</v>
      </c>
      <c r="C83" s="3" t="s">
        <v>797</v>
      </c>
      <c r="D83" s="3">
        <v>10002575</v>
      </c>
      <c r="E83" s="4">
        <v>4532096</v>
      </c>
      <c r="F83" s="3" t="s">
        <v>19</v>
      </c>
      <c r="G83" s="4" t="s">
        <v>897</v>
      </c>
      <c r="H83" s="4" t="s">
        <v>898</v>
      </c>
      <c r="I83" s="5">
        <v>371602</v>
      </c>
      <c r="J83" s="3" t="s">
        <v>809</v>
      </c>
      <c r="K83" s="3" t="s">
        <v>313</v>
      </c>
      <c r="L83" s="3"/>
      <c r="M83" s="4" t="s">
        <v>898</v>
      </c>
      <c r="N83" s="3" t="s">
        <v>25</v>
      </c>
      <c r="O83" s="3"/>
      <c r="Q83" s="3"/>
      <c r="R83" s="3"/>
      <c r="Y83" s="4" t="s">
        <v>716</v>
      </c>
      <c r="Z83" s="4" t="s">
        <v>716</v>
      </c>
      <c r="AB83" s="3"/>
      <c r="AC83" s="3"/>
      <c r="AD83" s="3" t="s">
        <v>72</v>
      </c>
      <c r="AE83" s="3">
        <v>5000</v>
      </c>
      <c r="AI83" s="4" t="s">
        <v>719</v>
      </c>
      <c r="AJ83" s="4" t="s">
        <v>719</v>
      </c>
      <c r="AK83" s="3"/>
      <c r="AL83" s="4">
        <v>52507</v>
      </c>
      <c r="AM83" s="5">
        <v>371602</v>
      </c>
      <c r="AN83" s="4" t="s">
        <v>31</v>
      </c>
      <c r="AO83" s="4">
        <v>99</v>
      </c>
    </row>
    <row r="84" spans="1:41" x14ac:dyDescent="0.25">
      <c r="A84" s="3">
        <v>4602746</v>
      </c>
      <c r="B84" s="3" t="s">
        <v>72</v>
      </c>
      <c r="C84" s="3" t="s">
        <v>797</v>
      </c>
      <c r="D84" s="3">
        <v>10002651</v>
      </c>
      <c r="E84" s="4">
        <v>4532097</v>
      </c>
      <c r="F84" s="3" t="s">
        <v>19</v>
      </c>
      <c r="G84" s="4" t="s">
        <v>899</v>
      </c>
      <c r="H84" s="4" t="s">
        <v>900</v>
      </c>
      <c r="I84" s="5">
        <v>406230</v>
      </c>
      <c r="J84" s="3" t="s">
        <v>823</v>
      </c>
      <c r="K84" s="3" t="s">
        <v>901</v>
      </c>
      <c r="L84" s="3"/>
      <c r="M84" s="4" t="s">
        <v>900</v>
      </c>
      <c r="N84" s="3" t="s">
        <v>25</v>
      </c>
      <c r="O84" s="3"/>
      <c r="Q84" s="3"/>
      <c r="R84" s="3"/>
      <c r="Y84" s="4" t="s">
        <v>716</v>
      </c>
      <c r="Z84" s="4" t="s">
        <v>716</v>
      </c>
      <c r="AB84" s="3"/>
      <c r="AC84" s="3"/>
      <c r="AD84" s="3" t="s">
        <v>902</v>
      </c>
      <c r="AE84" s="3">
        <v>5000</v>
      </c>
      <c r="AI84" s="4" t="s">
        <v>719</v>
      </c>
      <c r="AJ84" s="4" t="s">
        <v>719</v>
      </c>
      <c r="AK84" s="3"/>
      <c r="AL84" s="4">
        <v>140841</v>
      </c>
      <c r="AM84" s="5">
        <v>406230</v>
      </c>
      <c r="AN84" s="4" t="s">
        <v>31</v>
      </c>
      <c r="AO84" s="4">
        <v>99</v>
      </c>
    </row>
    <row r="85" spans="1:41" x14ac:dyDescent="0.25">
      <c r="A85" s="3">
        <v>4602747</v>
      </c>
      <c r="B85" s="3" t="s">
        <v>841</v>
      </c>
      <c r="C85" s="3" t="s">
        <v>797</v>
      </c>
      <c r="D85" s="3">
        <v>10002657</v>
      </c>
      <c r="E85" s="4">
        <v>4532098</v>
      </c>
      <c r="F85" s="3" t="s">
        <v>19</v>
      </c>
      <c r="G85" s="4" t="s">
        <v>903</v>
      </c>
      <c r="H85" s="4" t="s">
        <v>904</v>
      </c>
      <c r="I85" s="5">
        <v>277773.02</v>
      </c>
      <c r="J85" s="3" t="s">
        <v>823</v>
      </c>
      <c r="K85" s="3" t="s">
        <v>905</v>
      </c>
      <c r="L85" s="3"/>
      <c r="M85" s="4" t="s">
        <v>906</v>
      </c>
      <c r="N85" s="3" t="s">
        <v>25</v>
      </c>
      <c r="O85" s="3"/>
      <c r="Q85" s="3"/>
      <c r="R85" s="3"/>
      <c r="Y85" s="4" t="s">
        <v>907</v>
      </c>
      <c r="Z85" s="4" t="s">
        <v>808</v>
      </c>
      <c r="AB85" s="3"/>
      <c r="AC85" s="3"/>
      <c r="AD85" s="3" t="s">
        <v>317</v>
      </c>
      <c r="AE85" s="3">
        <v>5000</v>
      </c>
      <c r="AI85" s="4" t="s">
        <v>908</v>
      </c>
      <c r="AJ85" s="4" t="s">
        <v>810</v>
      </c>
      <c r="AK85" s="3"/>
      <c r="AL85" s="4">
        <v>140836</v>
      </c>
      <c r="AM85" s="5">
        <v>277773.02</v>
      </c>
      <c r="AN85" s="4" t="s">
        <v>31</v>
      </c>
      <c r="AO85" s="4">
        <v>99</v>
      </c>
    </row>
    <row r="86" spans="1:41" x14ac:dyDescent="0.25">
      <c r="A86" s="3">
        <v>4602749</v>
      </c>
      <c r="B86" s="3" t="s">
        <v>72</v>
      </c>
      <c r="C86" s="3" t="s">
        <v>797</v>
      </c>
      <c r="D86" s="3">
        <v>10002658</v>
      </c>
      <c r="E86" s="4">
        <v>4532100</v>
      </c>
      <c r="F86" s="3" t="s">
        <v>19</v>
      </c>
      <c r="G86" s="4" t="s">
        <v>826</v>
      </c>
      <c r="H86" s="4" t="s">
        <v>909</v>
      </c>
      <c r="I86" s="5">
        <v>273119</v>
      </c>
      <c r="J86" s="3" t="s">
        <v>823</v>
      </c>
      <c r="K86" s="3" t="s">
        <v>910</v>
      </c>
      <c r="L86" s="3"/>
      <c r="M86" s="4" t="s">
        <v>909</v>
      </c>
      <c r="N86" s="3" t="s">
        <v>25</v>
      </c>
      <c r="O86" s="3"/>
      <c r="Q86" s="3"/>
      <c r="R86" s="3"/>
      <c r="Y86" s="4" t="s">
        <v>907</v>
      </c>
      <c r="Z86" s="4" t="s">
        <v>808</v>
      </c>
      <c r="AB86" s="3"/>
      <c r="AC86" s="3"/>
      <c r="AD86" s="3" t="s">
        <v>317</v>
      </c>
      <c r="AE86" s="3">
        <v>5000</v>
      </c>
      <c r="AI86" s="4" t="s">
        <v>908</v>
      </c>
      <c r="AJ86" s="4" t="s">
        <v>810</v>
      </c>
      <c r="AK86" s="3"/>
      <c r="AL86" s="4">
        <v>31025</v>
      </c>
      <c r="AM86" s="5">
        <v>273119</v>
      </c>
      <c r="AN86" s="4" t="s">
        <v>31</v>
      </c>
      <c r="AO86" s="4">
        <v>99</v>
      </c>
    </row>
    <row r="87" spans="1:41" x14ac:dyDescent="0.25">
      <c r="A87" s="3">
        <v>4602761</v>
      </c>
      <c r="B87" s="3" t="s">
        <v>616</v>
      </c>
      <c r="C87" s="3" t="s">
        <v>797</v>
      </c>
      <c r="D87" s="3">
        <v>10002629</v>
      </c>
      <c r="E87" s="4">
        <v>4532112</v>
      </c>
      <c r="F87" s="3" t="s">
        <v>19</v>
      </c>
      <c r="G87" s="4" t="s">
        <v>911</v>
      </c>
      <c r="H87" s="4" t="s">
        <v>912</v>
      </c>
      <c r="I87" s="5">
        <v>291500</v>
      </c>
      <c r="J87" s="3" t="s">
        <v>858</v>
      </c>
      <c r="K87" s="3" t="s">
        <v>442</v>
      </c>
      <c r="L87" s="3"/>
      <c r="M87" s="4" t="s">
        <v>912</v>
      </c>
      <c r="N87" s="3" t="s">
        <v>25</v>
      </c>
      <c r="O87" s="3"/>
      <c r="Q87" s="3"/>
      <c r="R87" s="3"/>
      <c r="Y87" s="4" t="s">
        <v>808</v>
      </c>
      <c r="Z87" s="4" t="s">
        <v>808</v>
      </c>
      <c r="AB87" s="3"/>
      <c r="AC87" s="3"/>
      <c r="AD87" s="3" t="s">
        <v>616</v>
      </c>
      <c r="AE87" s="3">
        <v>5000</v>
      </c>
      <c r="AI87" s="4" t="s">
        <v>810</v>
      </c>
      <c r="AJ87" s="4" t="s">
        <v>810</v>
      </c>
      <c r="AK87" s="3"/>
      <c r="AL87" s="4">
        <v>140848</v>
      </c>
      <c r="AM87" s="5">
        <v>291500</v>
      </c>
      <c r="AN87" s="4" t="s">
        <v>31</v>
      </c>
      <c r="AO87" s="4">
        <v>99</v>
      </c>
    </row>
    <row r="88" spans="1:41" x14ac:dyDescent="0.25">
      <c r="A88" s="3">
        <v>4602762</v>
      </c>
      <c r="B88" s="3" t="s">
        <v>72</v>
      </c>
      <c r="C88" s="3" t="s">
        <v>797</v>
      </c>
      <c r="D88" s="3">
        <v>10002649</v>
      </c>
      <c r="E88" s="4">
        <v>4532113</v>
      </c>
      <c r="F88" s="3" t="s">
        <v>19</v>
      </c>
      <c r="G88" s="4" t="s">
        <v>913</v>
      </c>
      <c r="H88" s="4" t="s">
        <v>914</v>
      </c>
      <c r="I88" s="5">
        <v>430199.89</v>
      </c>
      <c r="J88" s="3" t="s">
        <v>823</v>
      </c>
      <c r="K88" s="3" t="s">
        <v>901</v>
      </c>
      <c r="L88" s="3"/>
      <c r="M88" s="4" t="s">
        <v>914</v>
      </c>
      <c r="N88" s="3" t="s">
        <v>25</v>
      </c>
      <c r="O88" s="3"/>
      <c r="Q88" s="3"/>
      <c r="R88" s="3"/>
      <c r="Y88" s="4" t="s">
        <v>716</v>
      </c>
      <c r="Z88" s="4" t="s">
        <v>716</v>
      </c>
      <c r="AB88" s="3"/>
      <c r="AC88" s="3"/>
      <c r="AD88" s="3" t="s">
        <v>616</v>
      </c>
      <c r="AE88" s="3">
        <v>5000</v>
      </c>
      <c r="AI88" s="4" t="s">
        <v>719</v>
      </c>
      <c r="AJ88" s="4" t="s">
        <v>719</v>
      </c>
      <c r="AK88" s="3"/>
      <c r="AL88" s="4">
        <v>140849</v>
      </c>
      <c r="AM88" s="5">
        <v>430199.89</v>
      </c>
      <c r="AN88" s="4" t="s">
        <v>31</v>
      </c>
      <c r="AO88" s="4">
        <v>99</v>
      </c>
    </row>
    <row r="89" spans="1:41" x14ac:dyDescent="0.25">
      <c r="A89" s="3">
        <v>4602763</v>
      </c>
      <c r="B89" s="3" t="s">
        <v>902</v>
      </c>
      <c r="C89" s="3" t="s">
        <v>797</v>
      </c>
      <c r="D89" s="3">
        <v>10002669</v>
      </c>
      <c r="E89" s="4">
        <v>4532114</v>
      </c>
      <c r="F89" s="3" t="s">
        <v>19</v>
      </c>
      <c r="G89" s="4" t="s">
        <v>915</v>
      </c>
      <c r="H89" s="4" t="s">
        <v>916</v>
      </c>
      <c r="I89" s="5">
        <v>293975</v>
      </c>
      <c r="J89" s="3" t="s">
        <v>902</v>
      </c>
      <c r="K89" s="3" t="s">
        <v>518</v>
      </c>
      <c r="L89" s="3"/>
      <c r="M89" s="4" t="s">
        <v>916</v>
      </c>
      <c r="N89" s="3" t="s">
        <v>25</v>
      </c>
      <c r="O89" s="3"/>
      <c r="Q89" s="3"/>
      <c r="R89" s="3"/>
      <c r="Y89" s="4" t="s">
        <v>808</v>
      </c>
      <c r="Z89" s="4" t="s">
        <v>808</v>
      </c>
      <c r="AB89" s="3"/>
      <c r="AC89" s="3"/>
      <c r="AD89" s="3" t="s">
        <v>616</v>
      </c>
      <c r="AE89" s="3">
        <v>5000</v>
      </c>
      <c r="AI89" s="4" t="s">
        <v>810</v>
      </c>
      <c r="AJ89" s="4" t="s">
        <v>810</v>
      </c>
      <c r="AK89" s="3"/>
      <c r="AL89" s="4">
        <v>140672</v>
      </c>
      <c r="AM89" s="5">
        <v>293975</v>
      </c>
      <c r="AN89" s="4" t="s">
        <v>31</v>
      </c>
      <c r="AO89" s="4">
        <v>99</v>
      </c>
    </row>
    <row r="90" spans="1:41" x14ac:dyDescent="0.25">
      <c r="A90" s="3">
        <v>4602764</v>
      </c>
      <c r="B90" s="3" t="s">
        <v>72</v>
      </c>
      <c r="C90" s="3" t="s">
        <v>797</v>
      </c>
      <c r="D90" s="3">
        <v>10002673</v>
      </c>
      <c r="E90" s="4">
        <v>4532115</v>
      </c>
      <c r="F90" s="3" t="s">
        <v>19</v>
      </c>
      <c r="G90" s="4" t="s">
        <v>836</v>
      </c>
      <c r="H90" s="4" t="s">
        <v>917</v>
      </c>
      <c r="I90" s="5">
        <v>320902.42</v>
      </c>
      <c r="J90" s="3" t="s">
        <v>902</v>
      </c>
      <c r="K90" s="3" t="s">
        <v>321</v>
      </c>
      <c r="L90" s="3"/>
      <c r="M90" s="4" t="s">
        <v>917</v>
      </c>
      <c r="N90" s="3" t="s">
        <v>25</v>
      </c>
      <c r="O90" s="3"/>
      <c r="Q90" s="3"/>
      <c r="R90" s="3"/>
      <c r="Y90" s="4" t="s">
        <v>808</v>
      </c>
      <c r="Z90" s="4" t="s">
        <v>808</v>
      </c>
      <c r="AB90" s="3"/>
      <c r="AC90" s="3"/>
      <c r="AD90" s="3" t="s">
        <v>616</v>
      </c>
      <c r="AE90" s="3">
        <v>5000</v>
      </c>
      <c r="AI90" s="4" t="s">
        <v>810</v>
      </c>
      <c r="AJ90" s="4" t="s">
        <v>810</v>
      </c>
      <c r="AK90" s="3"/>
      <c r="AL90" s="4">
        <v>51366</v>
      </c>
      <c r="AM90" s="5">
        <v>320902.42</v>
      </c>
      <c r="AN90" s="4" t="s">
        <v>31</v>
      </c>
      <c r="AO90" s="4">
        <v>99</v>
      </c>
    </row>
    <row r="91" spans="1:41" x14ac:dyDescent="0.25">
      <c r="A91" s="3">
        <v>4602765</v>
      </c>
      <c r="B91" s="3" t="s">
        <v>902</v>
      </c>
      <c r="C91" s="3" t="s">
        <v>797</v>
      </c>
      <c r="D91" s="3">
        <v>10002670</v>
      </c>
      <c r="E91" s="4">
        <v>4532116</v>
      </c>
      <c r="F91" s="3" t="s">
        <v>19</v>
      </c>
      <c r="G91" s="4" t="s">
        <v>918</v>
      </c>
      <c r="H91" s="4" t="s">
        <v>919</v>
      </c>
      <c r="I91" s="5">
        <v>296780</v>
      </c>
      <c r="J91" s="3" t="s">
        <v>902</v>
      </c>
      <c r="K91" s="3" t="s">
        <v>807</v>
      </c>
      <c r="L91" s="3"/>
      <c r="M91" s="4" t="s">
        <v>919</v>
      </c>
      <c r="N91" s="3" t="s">
        <v>25</v>
      </c>
      <c r="O91" s="3"/>
      <c r="Q91" s="3"/>
      <c r="R91" s="3"/>
      <c r="Y91" s="4" t="s">
        <v>808</v>
      </c>
      <c r="Z91" s="4" t="s">
        <v>808</v>
      </c>
      <c r="AB91" s="3"/>
      <c r="AC91" s="3"/>
      <c r="AD91" s="3" t="s">
        <v>616</v>
      </c>
      <c r="AE91" s="3">
        <v>5000</v>
      </c>
      <c r="AI91" s="4" t="s">
        <v>810</v>
      </c>
      <c r="AJ91" s="4" t="s">
        <v>810</v>
      </c>
      <c r="AK91" s="3"/>
      <c r="AL91" s="4">
        <v>140785</v>
      </c>
      <c r="AM91" s="5">
        <v>296780</v>
      </c>
      <c r="AN91" s="4" t="s">
        <v>31</v>
      </c>
      <c r="AO91" s="4">
        <v>99</v>
      </c>
    </row>
    <row r="92" spans="1:41" x14ac:dyDescent="0.25">
      <c r="A92" s="3">
        <v>4602766</v>
      </c>
      <c r="B92" s="3" t="s">
        <v>72</v>
      </c>
      <c r="C92" s="3" t="s">
        <v>797</v>
      </c>
      <c r="D92" s="3">
        <v>10002648</v>
      </c>
      <c r="E92" s="4">
        <v>4532117</v>
      </c>
      <c r="F92" s="3" t="s">
        <v>19</v>
      </c>
      <c r="G92" s="4" t="s">
        <v>920</v>
      </c>
      <c r="H92" s="4" t="s">
        <v>921</v>
      </c>
      <c r="I92" s="5">
        <v>387747.37</v>
      </c>
      <c r="J92" s="3" t="s">
        <v>823</v>
      </c>
      <c r="K92" s="3" t="s">
        <v>901</v>
      </c>
      <c r="L92" s="3"/>
      <c r="M92" s="4" t="s">
        <v>921</v>
      </c>
      <c r="N92" s="3" t="s">
        <v>25</v>
      </c>
      <c r="O92" s="3"/>
      <c r="Q92" s="3"/>
      <c r="R92" s="3"/>
      <c r="Y92" s="4" t="s">
        <v>716</v>
      </c>
      <c r="Z92" s="4" t="s">
        <v>716</v>
      </c>
      <c r="AB92" s="3"/>
      <c r="AC92" s="3"/>
      <c r="AD92" s="3" t="s">
        <v>616</v>
      </c>
      <c r="AE92" s="3">
        <v>5000</v>
      </c>
      <c r="AI92" s="4" t="s">
        <v>719</v>
      </c>
      <c r="AJ92" s="4" t="s">
        <v>719</v>
      </c>
      <c r="AK92" s="3"/>
      <c r="AL92" s="4">
        <v>140850</v>
      </c>
      <c r="AM92" s="5">
        <v>387747.37</v>
      </c>
      <c r="AN92" s="4" t="s">
        <v>31</v>
      </c>
      <c r="AO92" s="4">
        <v>99</v>
      </c>
    </row>
    <row r="93" spans="1:41" x14ac:dyDescent="0.25">
      <c r="A93" s="3">
        <v>4602769</v>
      </c>
      <c r="B93" s="3" t="s">
        <v>820</v>
      </c>
      <c r="C93" s="3" t="s">
        <v>797</v>
      </c>
      <c r="D93" s="3">
        <v>10002621</v>
      </c>
      <c r="E93" s="4">
        <v>4532120</v>
      </c>
      <c r="F93" s="3" t="s">
        <v>19</v>
      </c>
      <c r="G93" s="4" t="s">
        <v>844</v>
      </c>
      <c r="H93" s="4" t="s">
        <v>922</v>
      </c>
      <c r="I93" s="5">
        <v>300014.90999999997</v>
      </c>
      <c r="J93" s="3" t="s">
        <v>828</v>
      </c>
      <c r="K93" s="3" t="s">
        <v>479</v>
      </c>
      <c r="L93" s="3"/>
      <c r="M93" s="4" t="s">
        <v>922</v>
      </c>
      <c r="N93" s="3" t="s">
        <v>25</v>
      </c>
      <c r="O93" s="3"/>
      <c r="Q93" s="3"/>
      <c r="R93" s="3"/>
      <c r="Y93" s="4" t="s">
        <v>716</v>
      </c>
      <c r="Z93" s="4" t="s">
        <v>716</v>
      </c>
      <c r="AB93" s="3"/>
      <c r="AC93" s="3"/>
      <c r="AD93" s="3" t="s">
        <v>616</v>
      </c>
      <c r="AE93" s="3">
        <v>5000</v>
      </c>
      <c r="AI93" s="4" t="s">
        <v>719</v>
      </c>
      <c r="AJ93" s="4" t="s">
        <v>719</v>
      </c>
      <c r="AK93" s="3"/>
      <c r="AL93" s="4">
        <v>50787</v>
      </c>
      <c r="AM93" s="5">
        <v>300014.90999999997</v>
      </c>
      <c r="AN93" s="4" t="s">
        <v>31</v>
      </c>
      <c r="AO93" s="4">
        <v>99</v>
      </c>
    </row>
    <row r="94" spans="1:41" x14ac:dyDescent="0.25">
      <c r="A94" s="3">
        <v>4602772</v>
      </c>
      <c r="B94" s="3" t="s">
        <v>72</v>
      </c>
      <c r="C94" s="3" t="s">
        <v>797</v>
      </c>
      <c r="D94" s="3">
        <v>10002655</v>
      </c>
      <c r="E94" s="4">
        <v>4532123</v>
      </c>
      <c r="F94" s="3" t="s">
        <v>19</v>
      </c>
      <c r="G94" s="4" t="s">
        <v>923</v>
      </c>
      <c r="H94" s="4" t="s">
        <v>924</v>
      </c>
      <c r="I94" s="5">
        <v>297000</v>
      </c>
      <c r="J94" s="3" t="s">
        <v>823</v>
      </c>
      <c r="K94" s="3" t="s">
        <v>901</v>
      </c>
      <c r="L94" s="3"/>
      <c r="M94" s="4" t="s">
        <v>924</v>
      </c>
      <c r="N94" s="3" t="s">
        <v>25</v>
      </c>
      <c r="O94" s="3"/>
      <c r="Q94" s="3"/>
      <c r="R94" s="3"/>
      <c r="Y94" s="4" t="s">
        <v>808</v>
      </c>
      <c r="Z94" s="4" t="s">
        <v>808</v>
      </c>
      <c r="AB94" s="3"/>
      <c r="AC94" s="3"/>
      <c r="AD94" s="3" t="s">
        <v>925</v>
      </c>
      <c r="AE94" s="3">
        <v>5000</v>
      </c>
      <c r="AI94" s="4" t="s">
        <v>810</v>
      </c>
      <c r="AJ94" s="4" t="s">
        <v>810</v>
      </c>
      <c r="AK94" s="3"/>
      <c r="AL94" s="4">
        <v>41082</v>
      </c>
      <c r="AM94" s="5">
        <v>297000</v>
      </c>
      <c r="AN94" s="4" t="s">
        <v>31</v>
      </c>
      <c r="AO94" s="4">
        <v>99</v>
      </c>
    </row>
    <row r="95" spans="1:41" x14ac:dyDescent="0.25">
      <c r="A95" s="3">
        <v>4602773</v>
      </c>
      <c r="B95" s="3" t="s">
        <v>72</v>
      </c>
      <c r="C95" s="3" t="s">
        <v>797</v>
      </c>
      <c r="D95" s="3">
        <v>10002656</v>
      </c>
      <c r="E95" s="4">
        <v>4532124</v>
      </c>
      <c r="F95" s="3" t="s">
        <v>19</v>
      </c>
      <c r="G95" s="4" t="s">
        <v>926</v>
      </c>
      <c r="H95" s="4" t="s">
        <v>927</v>
      </c>
      <c r="I95" s="5">
        <v>316329.67</v>
      </c>
      <c r="J95" s="3" t="s">
        <v>823</v>
      </c>
      <c r="K95" s="3" t="s">
        <v>324</v>
      </c>
      <c r="L95" s="3"/>
      <c r="M95" s="4" t="s">
        <v>927</v>
      </c>
      <c r="N95" s="3" t="s">
        <v>25</v>
      </c>
      <c r="O95" s="3"/>
      <c r="Q95" s="3"/>
      <c r="R95" s="3"/>
      <c r="Y95" s="4" t="s">
        <v>907</v>
      </c>
      <c r="Z95" s="4" t="s">
        <v>808</v>
      </c>
      <c r="AB95" s="3"/>
      <c r="AC95" s="3"/>
      <c r="AD95" s="3" t="s">
        <v>928</v>
      </c>
      <c r="AE95" s="3">
        <v>5000</v>
      </c>
      <c r="AI95" s="4" t="s">
        <v>908</v>
      </c>
      <c r="AJ95" s="4" t="s">
        <v>810</v>
      </c>
      <c r="AK95" s="3"/>
      <c r="AL95" s="4">
        <v>140854</v>
      </c>
      <c r="AM95" s="5">
        <v>316329.67</v>
      </c>
      <c r="AN95" s="4" t="s">
        <v>31</v>
      </c>
      <c r="AO95" s="4">
        <v>99</v>
      </c>
    </row>
    <row r="96" spans="1:41" x14ac:dyDescent="0.25">
      <c r="A96" s="3">
        <v>4602776</v>
      </c>
      <c r="B96" s="3" t="s">
        <v>72</v>
      </c>
      <c r="C96" s="3" t="s">
        <v>797</v>
      </c>
      <c r="D96" s="3">
        <v>10002647</v>
      </c>
      <c r="E96" s="4">
        <v>4532127</v>
      </c>
      <c r="F96" s="3" t="s">
        <v>19</v>
      </c>
      <c r="G96" s="4" t="s">
        <v>929</v>
      </c>
      <c r="H96" s="4" t="s">
        <v>930</v>
      </c>
      <c r="I96" s="5">
        <v>480480</v>
      </c>
      <c r="J96" s="3" t="s">
        <v>823</v>
      </c>
      <c r="K96" s="3" t="s">
        <v>901</v>
      </c>
      <c r="L96" s="3"/>
      <c r="M96" s="4" t="s">
        <v>930</v>
      </c>
      <c r="N96" s="3" t="s">
        <v>25</v>
      </c>
      <c r="O96" s="3"/>
      <c r="Q96" s="3"/>
      <c r="R96" s="3"/>
      <c r="Y96" s="4" t="s">
        <v>716</v>
      </c>
      <c r="Z96" s="4" t="s">
        <v>716</v>
      </c>
      <c r="AB96" s="3"/>
      <c r="AC96" s="3"/>
      <c r="AD96" s="3" t="s">
        <v>925</v>
      </c>
      <c r="AE96" s="3">
        <v>5000</v>
      </c>
      <c r="AI96" s="4" t="s">
        <v>719</v>
      </c>
      <c r="AJ96" s="4" t="s">
        <v>719</v>
      </c>
      <c r="AK96" s="3"/>
      <c r="AL96" s="4">
        <v>140851</v>
      </c>
      <c r="AM96" s="5">
        <v>480480</v>
      </c>
      <c r="AN96" s="4" t="s">
        <v>31</v>
      </c>
      <c r="AO96" s="4">
        <v>99</v>
      </c>
    </row>
    <row r="97" spans="1:41" x14ac:dyDescent="0.25">
      <c r="A97" s="3">
        <v>4602788</v>
      </c>
      <c r="B97" s="3" t="s">
        <v>828</v>
      </c>
      <c r="C97" s="3" t="s">
        <v>797</v>
      </c>
      <c r="D97" s="3">
        <v>10002684</v>
      </c>
      <c r="E97" s="4">
        <v>4532139</v>
      </c>
      <c r="F97" s="3" t="s">
        <v>19</v>
      </c>
      <c r="G97" s="4" t="s">
        <v>883</v>
      </c>
      <c r="H97" s="4" t="s">
        <v>931</v>
      </c>
      <c r="I97" s="5">
        <v>254595</v>
      </c>
      <c r="J97" s="3" t="s">
        <v>925</v>
      </c>
      <c r="K97" s="3" t="s">
        <v>932</v>
      </c>
      <c r="L97" s="3"/>
      <c r="M97" s="4" t="s">
        <v>931</v>
      </c>
      <c r="N97" s="3" t="s">
        <v>25</v>
      </c>
      <c r="O97" s="3"/>
      <c r="Q97" s="3"/>
      <c r="R97" s="3"/>
      <c r="Y97" s="4" t="s">
        <v>933</v>
      </c>
      <c r="Z97" s="4" t="s">
        <v>808</v>
      </c>
      <c r="AB97" s="3"/>
      <c r="AC97" s="3"/>
      <c r="AD97" s="3" t="s">
        <v>896</v>
      </c>
      <c r="AE97" s="3">
        <v>5000</v>
      </c>
      <c r="AI97" s="4" t="s">
        <v>934</v>
      </c>
      <c r="AJ97" s="4" t="s">
        <v>810</v>
      </c>
      <c r="AK97" s="3"/>
      <c r="AL97" s="4">
        <v>140796</v>
      </c>
      <c r="AM97" s="5">
        <v>254595</v>
      </c>
      <c r="AN97" s="4" t="s">
        <v>31</v>
      </c>
      <c r="AO97" s="4">
        <v>99</v>
      </c>
    </row>
    <row r="98" spans="1:41" x14ac:dyDescent="0.25">
      <c r="A98" s="3">
        <v>4602793</v>
      </c>
      <c r="B98" s="3" t="s">
        <v>72</v>
      </c>
      <c r="C98" s="3" t="s">
        <v>797</v>
      </c>
      <c r="D98" s="3">
        <v>10002650</v>
      </c>
      <c r="E98" s="4">
        <v>4532144</v>
      </c>
      <c r="F98" s="3" t="s">
        <v>19</v>
      </c>
      <c r="G98" s="4" t="s">
        <v>935</v>
      </c>
      <c r="H98" s="4" t="s">
        <v>936</v>
      </c>
      <c r="I98" s="5">
        <v>434337.2</v>
      </c>
      <c r="J98" s="3" t="s">
        <v>823</v>
      </c>
      <c r="K98" s="3" t="s">
        <v>901</v>
      </c>
      <c r="L98" s="3"/>
      <c r="M98" s="4" t="s">
        <v>936</v>
      </c>
      <c r="N98" s="3" t="s">
        <v>25</v>
      </c>
      <c r="O98" s="3"/>
      <c r="Q98" s="3"/>
      <c r="R98" s="3"/>
      <c r="Y98" s="4" t="s">
        <v>716</v>
      </c>
      <c r="Z98" s="4" t="s">
        <v>808</v>
      </c>
      <c r="AB98" s="3"/>
      <c r="AC98" s="3"/>
      <c r="AD98" s="3" t="s">
        <v>937</v>
      </c>
      <c r="AE98" s="3">
        <v>5000</v>
      </c>
      <c r="AI98" s="4" t="s">
        <v>719</v>
      </c>
      <c r="AJ98" s="4" t="s">
        <v>810</v>
      </c>
      <c r="AK98" s="3"/>
      <c r="AL98" s="4">
        <v>50896</v>
      </c>
      <c r="AM98" s="5">
        <v>434337.2</v>
      </c>
      <c r="AN98" s="4" t="s">
        <v>31</v>
      </c>
      <c r="AO98" s="4">
        <v>99</v>
      </c>
    </row>
    <row r="99" spans="1:41" x14ac:dyDescent="0.25">
      <c r="A99" s="3">
        <v>4602809</v>
      </c>
      <c r="B99" s="3" t="s">
        <v>937</v>
      </c>
      <c r="C99" s="3" t="s">
        <v>797</v>
      </c>
      <c r="D99" s="3">
        <v>10002699</v>
      </c>
      <c r="E99" s="4">
        <v>4532160</v>
      </c>
      <c r="F99" s="3" t="s">
        <v>19</v>
      </c>
      <c r="G99" s="4" t="s">
        <v>938</v>
      </c>
      <c r="H99" s="4" t="s">
        <v>939</v>
      </c>
      <c r="I99" s="5">
        <v>413457</v>
      </c>
      <c r="J99" s="3" t="s">
        <v>937</v>
      </c>
      <c r="K99" s="3" t="s">
        <v>498</v>
      </c>
      <c r="L99" s="3"/>
      <c r="M99" s="4" t="s">
        <v>939</v>
      </c>
      <c r="N99" s="3" t="s">
        <v>25</v>
      </c>
      <c r="O99" s="3"/>
      <c r="Q99" s="3"/>
      <c r="R99" s="3"/>
      <c r="Y99" s="4" t="s">
        <v>716</v>
      </c>
      <c r="Z99" s="4" t="s">
        <v>716</v>
      </c>
      <c r="AB99" s="3"/>
      <c r="AC99" s="3"/>
      <c r="AD99" s="3" t="s">
        <v>610</v>
      </c>
      <c r="AE99" s="3">
        <v>5000</v>
      </c>
      <c r="AI99" s="4" t="s">
        <v>719</v>
      </c>
      <c r="AJ99" s="4" t="s">
        <v>719</v>
      </c>
      <c r="AK99" s="3"/>
      <c r="AL99" s="4">
        <v>50379</v>
      </c>
      <c r="AM99" s="5">
        <v>413457</v>
      </c>
      <c r="AN99" s="4" t="s">
        <v>31</v>
      </c>
      <c r="AO99" s="4">
        <v>99</v>
      </c>
    </row>
    <row r="100" spans="1:41" x14ac:dyDescent="0.25">
      <c r="A100" s="3">
        <v>4602815</v>
      </c>
      <c r="B100" s="3" t="s">
        <v>902</v>
      </c>
      <c r="C100" s="3" t="s">
        <v>797</v>
      </c>
      <c r="D100" s="3">
        <v>10002672</v>
      </c>
      <c r="E100" s="4">
        <v>4532166</v>
      </c>
      <c r="F100" s="3" t="s">
        <v>19</v>
      </c>
      <c r="G100" s="4" t="s">
        <v>940</v>
      </c>
      <c r="H100" s="4" t="s">
        <v>941</v>
      </c>
      <c r="I100" s="5">
        <v>440000</v>
      </c>
      <c r="J100" s="3" t="s">
        <v>902</v>
      </c>
      <c r="K100" s="3" t="s">
        <v>807</v>
      </c>
      <c r="L100" s="3"/>
      <c r="M100" s="4" t="s">
        <v>941</v>
      </c>
      <c r="N100" s="3" t="s">
        <v>25</v>
      </c>
      <c r="O100" s="3"/>
      <c r="Q100" s="3"/>
      <c r="R100" s="3"/>
      <c r="Y100" s="4" t="s">
        <v>846</v>
      </c>
      <c r="Z100" s="4" t="s">
        <v>808</v>
      </c>
      <c r="AB100" s="3"/>
      <c r="AC100" s="3"/>
      <c r="AD100" s="3" t="s">
        <v>847</v>
      </c>
      <c r="AE100" s="3">
        <v>5000</v>
      </c>
      <c r="AI100" s="4" t="s">
        <v>848</v>
      </c>
      <c r="AJ100" s="4" t="s">
        <v>810</v>
      </c>
      <c r="AK100" s="3"/>
      <c r="AL100" s="4">
        <v>140869</v>
      </c>
      <c r="AM100" s="5">
        <v>440000</v>
      </c>
      <c r="AN100" s="4" t="s">
        <v>31</v>
      </c>
      <c r="AO100" s="4">
        <v>99</v>
      </c>
    </row>
    <row r="101" spans="1:41" x14ac:dyDescent="0.25">
      <c r="A101" s="3">
        <v>4603062</v>
      </c>
      <c r="B101" s="3" t="s">
        <v>942</v>
      </c>
      <c r="C101" s="3" t="s">
        <v>797</v>
      </c>
      <c r="D101" s="3">
        <v>10002903</v>
      </c>
      <c r="E101" s="4">
        <v>4532413</v>
      </c>
      <c r="F101" s="3" t="s">
        <v>19</v>
      </c>
      <c r="G101" s="4" t="s">
        <v>702</v>
      </c>
      <c r="H101" s="4" t="s">
        <v>943</v>
      </c>
      <c r="I101" s="5">
        <v>462394.95</v>
      </c>
      <c r="J101" s="3" t="s">
        <v>942</v>
      </c>
      <c r="K101" s="3" t="s">
        <v>901</v>
      </c>
      <c r="L101" s="3"/>
      <c r="M101" s="4" t="s">
        <v>943</v>
      </c>
      <c r="N101" s="3" t="s">
        <v>25</v>
      </c>
      <c r="O101" s="3"/>
      <c r="Q101" s="3"/>
      <c r="R101" s="3"/>
      <c r="Y101" s="4" t="s">
        <v>716</v>
      </c>
      <c r="Z101" s="4" t="s">
        <v>716</v>
      </c>
      <c r="AB101" s="3"/>
      <c r="AC101" s="3"/>
      <c r="AD101" s="3" t="s">
        <v>944</v>
      </c>
      <c r="AE101" s="3">
        <v>5000</v>
      </c>
      <c r="AI101" s="4" t="s">
        <v>719</v>
      </c>
      <c r="AJ101" s="4" t="s">
        <v>719</v>
      </c>
      <c r="AK101" s="3"/>
      <c r="AL101" s="4">
        <v>47998</v>
      </c>
      <c r="AM101" s="5">
        <v>462394.95</v>
      </c>
      <c r="AN101" s="4" t="s">
        <v>31</v>
      </c>
      <c r="AO101" s="4">
        <v>99</v>
      </c>
    </row>
    <row r="102" spans="1:41" x14ac:dyDescent="0.25">
      <c r="A102" s="3">
        <v>4603185</v>
      </c>
      <c r="B102" s="3" t="s">
        <v>98</v>
      </c>
      <c r="C102" s="3" t="s">
        <v>797</v>
      </c>
      <c r="D102" s="3">
        <v>10003038</v>
      </c>
      <c r="E102" s="4">
        <v>4532536</v>
      </c>
      <c r="F102" s="3" t="s">
        <v>19</v>
      </c>
      <c r="G102" s="4" t="s">
        <v>945</v>
      </c>
      <c r="H102" s="4" t="s">
        <v>946</v>
      </c>
      <c r="I102" s="5">
        <v>1167851.04</v>
      </c>
      <c r="J102" s="3" t="s">
        <v>98</v>
      </c>
      <c r="K102" s="3" t="s">
        <v>807</v>
      </c>
      <c r="L102" s="3"/>
      <c r="M102" s="4" t="s">
        <v>946</v>
      </c>
      <c r="N102" s="3" t="s">
        <v>25</v>
      </c>
      <c r="O102" s="3"/>
      <c r="Q102" s="3"/>
      <c r="R102" s="3"/>
      <c r="Y102" s="4" t="s">
        <v>716</v>
      </c>
      <c r="Z102" s="4" t="s">
        <v>716</v>
      </c>
      <c r="AB102" s="3"/>
      <c r="AC102" s="3"/>
      <c r="AD102" s="3" t="s">
        <v>317</v>
      </c>
      <c r="AE102" s="3">
        <v>5000</v>
      </c>
      <c r="AI102" s="4" t="s">
        <v>719</v>
      </c>
      <c r="AJ102" s="4" t="s">
        <v>719</v>
      </c>
      <c r="AK102" s="3"/>
      <c r="AL102" s="4">
        <v>140985</v>
      </c>
      <c r="AM102" s="5">
        <v>1167851.04</v>
      </c>
      <c r="AN102" s="4" t="s">
        <v>31</v>
      </c>
      <c r="AO102" s="4">
        <v>99</v>
      </c>
    </row>
    <row r="103" spans="1:41" x14ac:dyDescent="0.25">
      <c r="A103" s="3">
        <v>4603284</v>
      </c>
      <c r="B103" s="3" t="s">
        <v>947</v>
      </c>
      <c r="C103" s="3" t="s">
        <v>797</v>
      </c>
      <c r="D103" s="3">
        <v>10002966</v>
      </c>
      <c r="E103" s="4">
        <v>4532635</v>
      </c>
      <c r="F103" s="3" t="s">
        <v>19</v>
      </c>
      <c r="G103" s="4" t="s">
        <v>948</v>
      </c>
      <c r="H103" s="4" t="s">
        <v>949</v>
      </c>
      <c r="I103" s="5">
        <v>573192.4</v>
      </c>
      <c r="J103" s="3" t="s">
        <v>950</v>
      </c>
      <c r="K103" s="3" t="s">
        <v>951</v>
      </c>
      <c r="L103" s="3"/>
      <c r="M103" s="4" t="s">
        <v>949</v>
      </c>
      <c r="N103" s="3" t="s">
        <v>25</v>
      </c>
      <c r="O103" s="3"/>
      <c r="Q103" s="3"/>
      <c r="R103" s="3"/>
      <c r="Y103" s="4" t="s">
        <v>846</v>
      </c>
      <c r="Z103" s="4" t="s">
        <v>808</v>
      </c>
      <c r="AB103" s="3"/>
      <c r="AC103" s="3"/>
      <c r="AD103" s="3" t="s">
        <v>847</v>
      </c>
      <c r="AE103" s="3">
        <v>5000</v>
      </c>
      <c r="AI103" s="4" t="s">
        <v>848</v>
      </c>
      <c r="AJ103" s="4" t="s">
        <v>810</v>
      </c>
      <c r="AK103" s="3"/>
      <c r="AL103" s="4">
        <v>140941</v>
      </c>
      <c r="AM103" s="5">
        <v>573192.4</v>
      </c>
      <c r="AN103" s="4" t="s">
        <v>31</v>
      </c>
      <c r="AO103" s="4">
        <v>99</v>
      </c>
    </row>
    <row r="104" spans="1:41" x14ac:dyDescent="0.25">
      <c r="A104" s="3">
        <v>4603395</v>
      </c>
      <c r="B104" s="3" t="s">
        <v>952</v>
      </c>
      <c r="C104" s="3" t="s">
        <v>797</v>
      </c>
      <c r="D104" s="3">
        <v>10003204</v>
      </c>
      <c r="E104" s="4">
        <v>4532746</v>
      </c>
      <c r="F104" s="3" t="s">
        <v>19</v>
      </c>
      <c r="G104" s="4" t="s">
        <v>655</v>
      </c>
      <c r="H104" s="4" t="s">
        <v>953</v>
      </c>
      <c r="I104" s="5">
        <v>440112.66</v>
      </c>
      <c r="J104" s="3" t="s">
        <v>954</v>
      </c>
      <c r="K104" s="3" t="s">
        <v>901</v>
      </c>
      <c r="L104" s="3"/>
      <c r="M104" s="4" t="s">
        <v>953</v>
      </c>
      <c r="N104" s="3" t="s">
        <v>25</v>
      </c>
      <c r="O104" s="3"/>
      <c r="Q104" s="3"/>
      <c r="R104" s="3"/>
      <c r="Y104" s="4" t="s">
        <v>716</v>
      </c>
      <c r="Z104" s="4" t="s">
        <v>716</v>
      </c>
      <c r="AB104" s="3"/>
      <c r="AC104" s="3"/>
      <c r="AD104" s="3" t="s">
        <v>317</v>
      </c>
      <c r="AE104" s="3">
        <v>5000</v>
      </c>
      <c r="AI104" s="4" t="s">
        <v>719</v>
      </c>
      <c r="AJ104" s="4" t="s">
        <v>719</v>
      </c>
      <c r="AK104" s="3"/>
      <c r="AL104" s="4">
        <v>31060</v>
      </c>
      <c r="AM104" s="5">
        <v>440112.66</v>
      </c>
      <c r="AN104" s="4" t="s">
        <v>31</v>
      </c>
      <c r="AO104" s="4">
        <v>99</v>
      </c>
    </row>
    <row r="105" spans="1:41" x14ac:dyDescent="0.25">
      <c r="A105" s="3">
        <v>4603612</v>
      </c>
      <c r="B105" s="3" t="s">
        <v>955</v>
      </c>
      <c r="C105" s="3" t="s">
        <v>797</v>
      </c>
      <c r="D105" s="3">
        <v>10003437</v>
      </c>
      <c r="E105" s="4">
        <v>4532963</v>
      </c>
      <c r="F105" s="3" t="s">
        <v>19</v>
      </c>
      <c r="G105" s="4" t="s">
        <v>956</v>
      </c>
      <c r="H105" s="4" t="s">
        <v>957</v>
      </c>
      <c r="I105" s="5">
        <v>389388.78</v>
      </c>
      <c r="J105" s="3" t="s">
        <v>958</v>
      </c>
      <c r="K105" s="3" t="s">
        <v>901</v>
      </c>
      <c r="L105" s="3"/>
      <c r="M105" s="4" t="s">
        <v>957</v>
      </c>
      <c r="N105" s="3" t="s">
        <v>25</v>
      </c>
      <c r="O105" s="3"/>
      <c r="Q105" s="3"/>
      <c r="R105" s="3"/>
      <c r="Y105" s="4" t="s">
        <v>716</v>
      </c>
      <c r="Z105" s="4" t="s">
        <v>716</v>
      </c>
      <c r="AB105" s="3"/>
      <c r="AC105" s="3"/>
      <c r="AD105" s="3" t="s">
        <v>955</v>
      </c>
      <c r="AE105" s="3">
        <v>5000</v>
      </c>
      <c r="AI105" s="4" t="s">
        <v>719</v>
      </c>
      <c r="AJ105" s="4" t="s">
        <v>719</v>
      </c>
      <c r="AK105" s="3"/>
      <c r="AL105" s="4">
        <v>141220</v>
      </c>
      <c r="AM105" s="5">
        <v>389388.78</v>
      </c>
      <c r="AN105" s="4" t="s">
        <v>31</v>
      </c>
      <c r="AO105" s="4">
        <v>99</v>
      </c>
    </row>
    <row r="106" spans="1:41" x14ac:dyDescent="0.25">
      <c r="A106" s="3">
        <v>4603650</v>
      </c>
      <c r="B106" s="3" t="s">
        <v>959</v>
      </c>
      <c r="C106" s="3" t="s">
        <v>797</v>
      </c>
      <c r="D106" s="3">
        <v>10003438</v>
      </c>
      <c r="E106" s="4">
        <v>4533001</v>
      </c>
      <c r="F106" s="3" t="s">
        <v>19</v>
      </c>
      <c r="G106" s="4" t="s">
        <v>960</v>
      </c>
      <c r="H106" s="4" t="s">
        <v>961</v>
      </c>
      <c r="I106" s="5">
        <v>383884.6</v>
      </c>
      <c r="J106" s="3" t="s">
        <v>958</v>
      </c>
      <c r="K106" s="3" t="s">
        <v>901</v>
      </c>
      <c r="L106" s="3"/>
      <c r="M106" s="4" t="s">
        <v>961</v>
      </c>
      <c r="N106" s="3" t="s">
        <v>25</v>
      </c>
      <c r="O106" s="3"/>
      <c r="Q106" s="3"/>
      <c r="R106" s="3"/>
      <c r="Y106" s="4" t="s">
        <v>178</v>
      </c>
      <c r="Z106" s="4" t="s">
        <v>178</v>
      </c>
      <c r="AB106" s="3"/>
      <c r="AC106" s="3"/>
      <c r="AD106" s="3" t="s">
        <v>959</v>
      </c>
      <c r="AE106" s="3">
        <v>5000</v>
      </c>
      <c r="AI106" s="4" t="s">
        <v>181</v>
      </c>
      <c r="AJ106" s="4" t="s">
        <v>181</v>
      </c>
      <c r="AK106" s="3"/>
      <c r="AL106" s="4">
        <v>47621</v>
      </c>
      <c r="AM106" s="5">
        <v>383884.6</v>
      </c>
      <c r="AN106" s="4" t="s">
        <v>31</v>
      </c>
      <c r="AO106" s="4">
        <v>97</v>
      </c>
    </row>
    <row r="107" spans="1:41" x14ac:dyDescent="0.25">
      <c r="A107" s="3">
        <v>4603972</v>
      </c>
      <c r="B107" s="3" t="s">
        <v>150</v>
      </c>
      <c r="C107" s="3" t="s">
        <v>797</v>
      </c>
      <c r="D107" s="3">
        <v>10003711</v>
      </c>
      <c r="E107" s="4">
        <v>4533323</v>
      </c>
      <c r="F107" s="3" t="s">
        <v>19</v>
      </c>
      <c r="G107" s="4" t="s">
        <v>962</v>
      </c>
      <c r="H107" s="4" t="s">
        <v>963</v>
      </c>
      <c r="I107" s="5">
        <v>273350</v>
      </c>
      <c r="J107" s="3" t="s">
        <v>150</v>
      </c>
      <c r="K107" s="3" t="s">
        <v>498</v>
      </c>
      <c r="L107" s="3"/>
      <c r="M107" s="4" t="s">
        <v>964</v>
      </c>
      <c r="N107" s="3" t="s">
        <v>25</v>
      </c>
      <c r="O107" s="3"/>
      <c r="Q107" s="3"/>
      <c r="R107" s="3"/>
      <c r="Y107" s="4" t="s">
        <v>846</v>
      </c>
      <c r="Z107" s="4" t="s">
        <v>846</v>
      </c>
      <c r="AB107" s="3"/>
      <c r="AC107" s="3"/>
      <c r="AD107" s="3" t="s">
        <v>965</v>
      </c>
      <c r="AE107" s="3">
        <v>5000</v>
      </c>
      <c r="AI107" s="4" t="s">
        <v>848</v>
      </c>
      <c r="AJ107" s="4" t="s">
        <v>848</v>
      </c>
      <c r="AK107" s="3"/>
      <c r="AL107" s="4">
        <v>141442</v>
      </c>
      <c r="AM107" s="5">
        <v>273350</v>
      </c>
      <c r="AN107" s="4" t="s">
        <v>31</v>
      </c>
      <c r="AO107" s="4">
        <v>99</v>
      </c>
    </row>
    <row r="108" spans="1:41" x14ac:dyDescent="0.25">
      <c r="A108" s="3">
        <v>4603973</v>
      </c>
      <c r="B108" s="3" t="s">
        <v>150</v>
      </c>
      <c r="C108" s="3" t="s">
        <v>797</v>
      </c>
      <c r="D108" s="3">
        <v>10003707</v>
      </c>
      <c r="E108" s="4">
        <v>4533324</v>
      </c>
      <c r="F108" s="3" t="s">
        <v>19</v>
      </c>
      <c r="G108" s="4" t="s">
        <v>966</v>
      </c>
      <c r="H108" s="4" t="s">
        <v>967</v>
      </c>
      <c r="I108" s="5">
        <v>313231.2</v>
      </c>
      <c r="J108" s="3" t="s">
        <v>150</v>
      </c>
      <c r="K108" s="3" t="s">
        <v>901</v>
      </c>
      <c r="L108" s="3"/>
      <c r="M108" s="4" t="s">
        <v>968</v>
      </c>
      <c r="N108" s="3" t="s">
        <v>25</v>
      </c>
      <c r="O108" s="3"/>
      <c r="Q108" s="3"/>
      <c r="R108" s="3"/>
      <c r="Y108" s="4" t="s">
        <v>846</v>
      </c>
      <c r="Z108" s="4" t="s">
        <v>846</v>
      </c>
      <c r="AB108" s="3"/>
      <c r="AC108" s="3"/>
      <c r="AD108" s="3" t="s">
        <v>965</v>
      </c>
      <c r="AE108" s="3">
        <v>5000</v>
      </c>
      <c r="AI108" s="4" t="s">
        <v>848</v>
      </c>
      <c r="AJ108" s="4" t="s">
        <v>848</v>
      </c>
      <c r="AK108" s="3"/>
      <c r="AL108" s="4">
        <v>141444</v>
      </c>
      <c r="AM108" s="5">
        <v>313231.2</v>
      </c>
      <c r="AN108" s="4" t="s">
        <v>31</v>
      </c>
      <c r="AO108" s="4">
        <v>99</v>
      </c>
    </row>
    <row r="109" spans="1:41" x14ac:dyDescent="0.25">
      <c r="A109" s="3">
        <v>4603974</v>
      </c>
      <c r="B109" s="3" t="s">
        <v>150</v>
      </c>
      <c r="C109" s="3" t="s">
        <v>797</v>
      </c>
      <c r="D109" s="3">
        <v>10003706</v>
      </c>
      <c r="E109" s="4">
        <v>4533325</v>
      </c>
      <c r="F109" s="3" t="s">
        <v>19</v>
      </c>
      <c r="G109" s="4" t="s">
        <v>969</v>
      </c>
      <c r="H109" s="4" t="s">
        <v>970</v>
      </c>
      <c r="I109" s="5">
        <v>307726.76</v>
      </c>
      <c r="J109" s="3" t="s">
        <v>150</v>
      </c>
      <c r="K109" s="3" t="s">
        <v>901</v>
      </c>
      <c r="L109" s="3"/>
      <c r="M109" s="4" t="s">
        <v>971</v>
      </c>
      <c r="N109" s="3" t="s">
        <v>25</v>
      </c>
      <c r="O109" s="3"/>
      <c r="Q109" s="3"/>
      <c r="R109" s="3"/>
      <c r="Y109" s="4" t="s">
        <v>846</v>
      </c>
      <c r="Z109" s="4" t="s">
        <v>846</v>
      </c>
      <c r="AB109" s="3"/>
      <c r="AC109" s="3"/>
      <c r="AD109" s="3" t="s">
        <v>965</v>
      </c>
      <c r="AE109" s="3">
        <v>5000</v>
      </c>
      <c r="AI109" s="4" t="s">
        <v>848</v>
      </c>
      <c r="AJ109" s="4" t="s">
        <v>848</v>
      </c>
      <c r="AK109" s="3"/>
      <c r="AL109" s="4">
        <v>141441</v>
      </c>
      <c r="AM109" s="5">
        <v>307726.76</v>
      </c>
      <c r="AN109" s="4" t="s">
        <v>31</v>
      </c>
      <c r="AO109" s="4">
        <v>99</v>
      </c>
    </row>
    <row r="110" spans="1:41" x14ac:dyDescent="0.25">
      <c r="A110" s="3">
        <v>4604053</v>
      </c>
      <c r="B110" s="3" t="s">
        <v>647</v>
      </c>
      <c r="C110" s="3" t="s">
        <v>797</v>
      </c>
      <c r="D110" s="3">
        <v>10003795</v>
      </c>
      <c r="E110" s="4">
        <v>4533404</v>
      </c>
      <c r="F110" s="3" t="s">
        <v>19</v>
      </c>
      <c r="G110" s="4" t="s">
        <v>972</v>
      </c>
      <c r="H110" s="4" t="s">
        <v>973</v>
      </c>
      <c r="I110" s="5">
        <v>313500</v>
      </c>
      <c r="J110" s="3" t="s">
        <v>645</v>
      </c>
      <c r="K110" s="3" t="s">
        <v>575</v>
      </c>
      <c r="L110" s="3"/>
      <c r="M110" s="4" t="s">
        <v>973</v>
      </c>
      <c r="N110" s="3" t="s">
        <v>25</v>
      </c>
      <c r="O110" s="3"/>
      <c r="Q110" s="3"/>
      <c r="R110" s="3"/>
      <c r="Y110" s="4" t="s">
        <v>974</v>
      </c>
      <c r="Z110" s="4" t="s">
        <v>974</v>
      </c>
      <c r="AB110" s="3"/>
      <c r="AC110" s="3"/>
      <c r="AD110" s="3" t="s">
        <v>975</v>
      </c>
      <c r="AE110" s="3">
        <v>5000</v>
      </c>
      <c r="AI110" s="4" t="s">
        <v>976</v>
      </c>
      <c r="AJ110" s="4" t="s">
        <v>976</v>
      </c>
      <c r="AK110" s="3"/>
      <c r="AL110" s="4">
        <v>141527</v>
      </c>
      <c r="AM110" s="5">
        <v>313500</v>
      </c>
      <c r="AN110" s="4" t="s">
        <v>31</v>
      </c>
      <c r="AO110" s="4">
        <v>99</v>
      </c>
    </row>
    <row r="111" spans="1:41" x14ac:dyDescent="0.25">
      <c r="A111" s="3">
        <v>4604054</v>
      </c>
      <c r="B111" s="3" t="s">
        <v>647</v>
      </c>
      <c r="C111" s="3" t="s">
        <v>797</v>
      </c>
      <c r="D111" s="3">
        <v>10003789</v>
      </c>
      <c r="E111" s="4">
        <v>4533405</v>
      </c>
      <c r="F111" s="3" t="s">
        <v>19</v>
      </c>
      <c r="G111" s="4" t="s">
        <v>977</v>
      </c>
      <c r="H111" s="4" t="s">
        <v>978</v>
      </c>
      <c r="I111" s="5">
        <v>275000</v>
      </c>
      <c r="J111" s="3" t="s">
        <v>645</v>
      </c>
      <c r="K111" s="3" t="s">
        <v>575</v>
      </c>
      <c r="L111" s="3"/>
      <c r="M111" s="4" t="s">
        <v>978</v>
      </c>
      <c r="N111" s="3" t="s">
        <v>25</v>
      </c>
      <c r="O111" s="3"/>
      <c r="Q111" s="3"/>
      <c r="R111" s="3"/>
      <c r="Y111" s="4" t="s">
        <v>974</v>
      </c>
      <c r="Z111" s="4" t="s">
        <v>974</v>
      </c>
      <c r="AB111" s="3"/>
      <c r="AC111" s="3"/>
      <c r="AD111" s="3" t="s">
        <v>975</v>
      </c>
      <c r="AE111" s="3">
        <v>5000</v>
      </c>
      <c r="AI111" s="4" t="s">
        <v>976</v>
      </c>
      <c r="AJ111" s="4" t="s">
        <v>976</v>
      </c>
      <c r="AK111" s="3"/>
      <c r="AL111" s="4">
        <v>31076</v>
      </c>
      <c r="AM111" s="5">
        <v>275000</v>
      </c>
      <c r="AN111" s="4" t="s">
        <v>31</v>
      </c>
      <c r="AO111" s="4">
        <v>99</v>
      </c>
    </row>
    <row r="112" spans="1:41" x14ac:dyDescent="0.25">
      <c r="A112" s="3">
        <v>4604055</v>
      </c>
      <c r="B112" s="3" t="s">
        <v>647</v>
      </c>
      <c r="C112" s="3" t="s">
        <v>797</v>
      </c>
      <c r="D112" s="3">
        <v>10003798</v>
      </c>
      <c r="E112" s="4">
        <v>4533406</v>
      </c>
      <c r="F112" s="3" t="s">
        <v>19</v>
      </c>
      <c r="G112" s="4" t="s">
        <v>979</v>
      </c>
      <c r="H112" s="4" t="s">
        <v>980</v>
      </c>
      <c r="I112" s="5">
        <v>313496.7</v>
      </c>
      <c r="J112" s="3" t="s">
        <v>647</v>
      </c>
      <c r="K112" s="3" t="s">
        <v>575</v>
      </c>
      <c r="L112" s="3"/>
      <c r="M112" s="4" t="s">
        <v>980</v>
      </c>
      <c r="N112" s="3" t="s">
        <v>25</v>
      </c>
      <c r="O112" s="3"/>
      <c r="Q112" s="3"/>
      <c r="R112" s="3"/>
      <c r="Y112" s="4" t="s">
        <v>974</v>
      </c>
      <c r="Z112" s="4" t="s">
        <v>974</v>
      </c>
      <c r="AB112" s="3"/>
      <c r="AC112" s="3"/>
      <c r="AD112" s="3" t="s">
        <v>975</v>
      </c>
      <c r="AE112" s="3">
        <v>5000</v>
      </c>
      <c r="AI112" s="4" t="s">
        <v>976</v>
      </c>
      <c r="AJ112" s="4" t="s">
        <v>976</v>
      </c>
      <c r="AK112" s="3"/>
      <c r="AL112" s="4">
        <v>141528</v>
      </c>
      <c r="AM112" s="5">
        <v>313496.7</v>
      </c>
      <c r="AN112" s="4" t="s">
        <v>31</v>
      </c>
      <c r="AO112" s="4">
        <v>99</v>
      </c>
    </row>
    <row r="113" spans="1:41" x14ac:dyDescent="0.25">
      <c r="A113" s="3">
        <v>4604056</v>
      </c>
      <c r="B113" s="3" t="s">
        <v>647</v>
      </c>
      <c r="C113" s="3" t="s">
        <v>797</v>
      </c>
      <c r="D113" s="3">
        <v>10003796</v>
      </c>
      <c r="E113" s="4">
        <v>4533407</v>
      </c>
      <c r="F113" s="3" t="s">
        <v>19</v>
      </c>
      <c r="G113" s="4" t="s">
        <v>812</v>
      </c>
      <c r="H113" s="4" t="s">
        <v>981</v>
      </c>
      <c r="I113" s="5">
        <v>703450</v>
      </c>
      <c r="J113" s="3" t="s">
        <v>645</v>
      </c>
      <c r="K113" s="3" t="s">
        <v>575</v>
      </c>
      <c r="L113" s="3"/>
      <c r="M113" s="4" t="s">
        <v>981</v>
      </c>
      <c r="N113" s="3" t="s">
        <v>25</v>
      </c>
      <c r="O113" s="3"/>
      <c r="Q113" s="3"/>
      <c r="R113" s="3"/>
      <c r="Y113" s="4" t="s">
        <v>974</v>
      </c>
      <c r="Z113" s="4" t="s">
        <v>974</v>
      </c>
      <c r="AB113" s="3"/>
      <c r="AC113" s="3"/>
      <c r="AD113" s="3" t="s">
        <v>975</v>
      </c>
      <c r="AE113" s="3">
        <v>5000</v>
      </c>
      <c r="AI113" s="4" t="s">
        <v>976</v>
      </c>
      <c r="AJ113" s="4" t="s">
        <v>976</v>
      </c>
      <c r="AK113" s="3"/>
      <c r="AL113" s="4">
        <v>140786</v>
      </c>
      <c r="AM113" s="5">
        <v>703450</v>
      </c>
      <c r="AN113" s="4" t="s">
        <v>31</v>
      </c>
      <c r="AO113" s="4">
        <v>99</v>
      </c>
    </row>
    <row r="114" spans="1:41" x14ac:dyDescent="0.25">
      <c r="A114" s="3">
        <v>4604057</v>
      </c>
      <c r="B114" s="3" t="s">
        <v>645</v>
      </c>
      <c r="C114" s="3" t="s">
        <v>797</v>
      </c>
      <c r="D114" s="3">
        <v>10003794</v>
      </c>
      <c r="E114" s="4">
        <v>4533408</v>
      </c>
      <c r="F114" s="3" t="s">
        <v>19</v>
      </c>
      <c r="G114" s="4" t="s">
        <v>982</v>
      </c>
      <c r="H114" s="4" t="s">
        <v>983</v>
      </c>
      <c r="I114" s="5">
        <v>721168.8</v>
      </c>
      <c r="J114" s="3" t="s">
        <v>645</v>
      </c>
      <c r="K114" s="3" t="s">
        <v>575</v>
      </c>
      <c r="L114" s="3"/>
      <c r="M114" s="4" t="s">
        <v>983</v>
      </c>
      <c r="N114" s="3" t="s">
        <v>25</v>
      </c>
      <c r="O114" s="3"/>
      <c r="Q114" s="3"/>
      <c r="R114" s="3"/>
      <c r="Y114" s="4" t="s">
        <v>974</v>
      </c>
      <c r="Z114" s="4" t="s">
        <v>974</v>
      </c>
      <c r="AB114" s="3"/>
      <c r="AC114" s="3"/>
      <c r="AD114" s="3" t="s">
        <v>975</v>
      </c>
      <c r="AE114" s="3">
        <v>5000</v>
      </c>
      <c r="AI114" s="4" t="s">
        <v>976</v>
      </c>
      <c r="AJ114" s="4" t="s">
        <v>976</v>
      </c>
      <c r="AK114" s="3"/>
      <c r="AL114" s="4">
        <v>141533</v>
      </c>
      <c r="AM114" s="5">
        <v>721168.8</v>
      </c>
      <c r="AN114" s="4" t="s">
        <v>31</v>
      </c>
      <c r="AO114" s="4">
        <v>99</v>
      </c>
    </row>
    <row r="115" spans="1:41" x14ac:dyDescent="0.25">
      <c r="A115" s="3">
        <v>4604062</v>
      </c>
      <c r="B115" s="3" t="s">
        <v>647</v>
      </c>
      <c r="C115" s="3" t="s">
        <v>797</v>
      </c>
      <c r="D115" s="3">
        <v>10003803</v>
      </c>
      <c r="E115" s="4">
        <v>4533413</v>
      </c>
      <c r="F115" s="3" t="s">
        <v>19</v>
      </c>
      <c r="G115" s="4" t="s">
        <v>984</v>
      </c>
      <c r="H115" s="4" t="s">
        <v>985</v>
      </c>
      <c r="I115" s="5">
        <v>615890</v>
      </c>
      <c r="J115" s="3" t="s">
        <v>645</v>
      </c>
      <c r="K115" s="3" t="s">
        <v>575</v>
      </c>
      <c r="L115" s="3"/>
      <c r="M115" s="4" t="s">
        <v>985</v>
      </c>
      <c r="N115" s="3" t="s">
        <v>25</v>
      </c>
      <c r="O115" s="3"/>
      <c r="Q115" s="3"/>
      <c r="R115" s="3"/>
      <c r="Y115" s="4" t="s">
        <v>907</v>
      </c>
      <c r="Z115" s="4" t="s">
        <v>974</v>
      </c>
      <c r="AB115" s="3"/>
      <c r="AC115" s="3"/>
      <c r="AD115" s="3" t="s">
        <v>543</v>
      </c>
      <c r="AE115" s="3">
        <v>5000</v>
      </c>
      <c r="AI115" s="4" t="s">
        <v>908</v>
      </c>
      <c r="AJ115" s="4" t="s">
        <v>976</v>
      </c>
      <c r="AK115" s="3"/>
      <c r="AL115" s="4">
        <v>141526</v>
      </c>
      <c r="AM115" s="5">
        <v>615890</v>
      </c>
      <c r="AN115" s="4" t="s">
        <v>31</v>
      </c>
      <c r="AO115" s="4">
        <v>98</v>
      </c>
    </row>
    <row r="116" spans="1:41" x14ac:dyDescent="0.25">
      <c r="A116" s="3">
        <v>4604063</v>
      </c>
      <c r="B116" s="3" t="s">
        <v>647</v>
      </c>
      <c r="C116" s="3" t="s">
        <v>797</v>
      </c>
      <c r="D116" s="3">
        <v>10003793</v>
      </c>
      <c r="E116" s="4">
        <v>4533414</v>
      </c>
      <c r="F116" s="3" t="s">
        <v>19</v>
      </c>
      <c r="G116" s="4" t="s">
        <v>948</v>
      </c>
      <c r="H116" s="4" t="s">
        <v>986</v>
      </c>
      <c r="I116" s="5">
        <v>313500</v>
      </c>
      <c r="J116" s="3" t="s">
        <v>645</v>
      </c>
      <c r="K116" s="3" t="s">
        <v>575</v>
      </c>
      <c r="L116" s="3"/>
      <c r="M116" s="4" t="s">
        <v>986</v>
      </c>
      <c r="N116" s="3" t="s">
        <v>25</v>
      </c>
      <c r="O116" s="3"/>
      <c r="Q116" s="3"/>
      <c r="R116" s="3"/>
      <c r="Y116" s="4" t="s">
        <v>974</v>
      </c>
      <c r="Z116" s="4" t="s">
        <v>974</v>
      </c>
      <c r="AB116" s="3"/>
      <c r="AC116" s="3"/>
      <c r="AD116" s="3" t="s">
        <v>652</v>
      </c>
      <c r="AE116" s="3">
        <v>5000</v>
      </c>
      <c r="AI116" s="4" t="s">
        <v>976</v>
      </c>
      <c r="AJ116" s="4" t="s">
        <v>976</v>
      </c>
      <c r="AK116" s="3"/>
      <c r="AL116" s="4">
        <v>140941</v>
      </c>
      <c r="AM116" s="5">
        <v>313500</v>
      </c>
      <c r="AN116" s="4" t="s">
        <v>31</v>
      </c>
      <c r="AO116" s="4">
        <v>99</v>
      </c>
    </row>
    <row r="117" spans="1:41" x14ac:dyDescent="0.25">
      <c r="A117" s="3">
        <v>4604064</v>
      </c>
      <c r="B117" s="3" t="s">
        <v>647</v>
      </c>
      <c r="C117" s="3" t="s">
        <v>797</v>
      </c>
      <c r="D117" s="3">
        <v>10003791</v>
      </c>
      <c r="E117" s="4">
        <v>4533415</v>
      </c>
      <c r="F117" s="3" t="s">
        <v>19</v>
      </c>
      <c r="G117" s="4" t="s">
        <v>987</v>
      </c>
      <c r="H117" s="4" t="s">
        <v>988</v>
      </c>
      <c r="I117" s="5">
        <v>1218726.6599999999</v>
      </c>
      <c r="J117" s="3" t="s">
        <v>645</v>
      </c>
      <c r="K117" s="3" t="s">
        <v>575</v>
      </c>
      <c r="L117" s="3"/>
      <c r="M117" s="4" t="s">
        <v>988</v>
      </c>
      <c r="N117" s="3" t="s">
        <v>25</v>
      </c>
      <c r="O117" s="3"/>
      <c r="Q117" s="3"/>
      <c r="R117" s="3"/>
      <c r="Y117" s="4" t="s">
        <v>974</v>
      </c>
      <c r="Z117" s="4" t="s">
        <v>974</v>
      </c>
      <c r="AB117" s="3"/>
      <c r="AC117" s="3"/>
      <c r="AD117" s="3" t="s">
        <v>652</v>
      </c>
      <c r="AE117" s="3">
        <v>5000</v>
      </c>
      <c r="AI117" s="4" t="s">
        <v>976</v>
      </c>
      <c r="AJ117" s="4" t="s">
        <v>976</v>
      </c>
      <c r="AK117" s="3"/>
      <c r="AL117" s="4">
        <v>141530</v>
      </c>
      <c r="AM117" s="5">
        <v>1218726.6599999999</v>
      </c>
      <c r="AN117" s="4" t="s">
        <v>31</v>
      </c>
      <c r="AO117" s="4">
        <v>99</v>
      </c>
    </row>
    <row r="118" spans="1:41" x14ac:dyDescent="0.25">
      <c r="A118" s="3">
        <v>4604065</v>
      </c>
      <c r="B118" s="3" t="s">
        <v>647</v>
      </c>
      <c r="C118" s="3" t="s">
        <v>797</v>
      </c>
      <c r="D118" s="3">
        <v>10003804</v>
      </c>
      <c r="E118" s="4">
        <v>4533416</v>
      </c>
      <c r="F118" s="3" t="s">
        <v>19</v>
      </c>
      <c r="G118" s="4" t="s">
        <v>989</v>
      </c>
      <c r="H118" s="4" t="s">
        <v>990</v>
      </c>
      <c r="I118" s="5">
        <v>118800</v>
      </c>
      <c r="J118" s="3" t="s">
        <v>645</v>
      </c>
      <c r="K118" s="3" t="s">
        <v>807</v>
      </c>
      <c r="L118" s="3"/>
      <c r="M118" s="4" t="s">
        <v>990</v>
      </c>
      <c r="N118" s="3" t="s">
        <v>25</v>
      </c>
      <c r="O118" s="3"/>
      <c r="Q118" s="3"/>
      <c r="R118" s="3"/>
      <c r="Y118" s="4" t="s">
        <v>298</v>
      </c>
      <c r="Z118" s="4" t="s">
        <v>974</v>
      </c>
      <c r="AB118" s="3"/>
      <c r="AC118" s="3"/>
      <c r="AD118" s="3" t="s">
        <v>905</v>
      </c>
      <c r="AE118" s="3">
        <v>5000</v>
      </c>
      <c r="AI118" s="4" t="s">
        <v>300</v>
      </c>
      <c r="AJ118" s="4" t="s">
        <v>976</v>
      </c>
      <c r="AK118" s="3"/>
      <c r="AL118" s="4">
        <v>141531</v>
      </c>
      <c r="AM118" s="5">
        <v>118800</v>
      </c>
      <c r="AN118" s="4" t="s">
        <v>31</v>
      </c>
      <c r="AO118" s="4">
        <v>99</v>
      </c>
    </row>
    <row r="119" spans="1:41" x14ac:dyDescent="0.25">
      <c r="A119" s="3">
        <v>4604066</v>
      </c>
      <c r="B119" s="3" t="s">
        <v>647</v>
      </c>
      <c r="C119" s="3" t="s">
        <v>797</v>
      </c>
      <c r="D119" s="3">
        <v>10003801</v>
      </c>
      <c r="E119" s="4">
        <v>4533417</v>
      </c>
      <c r="F119" s="3" t="s">
        <v>19</v>
      </c>
      <c r="G119" s="4" t="s">
        <v>991</v>
      </c>
      <c r="H119" s="4" t="s">
        <v>992</v>
      </c>
      <c r="I119" s="5">
        <v>627000</v>
      </c>
      <c r="J119" s="3" t="s">
        <v>645</v>
      </c>
      <c r="K119" s="3" t="s">
        <v>575</v>
      </c>
      <c r="L119" s="3"/>
      <c r="M119" s="4" t="s">
        <v>992</v>
      </c>
      <c r="N119" s="3" t="s">
        <v>25</v>
      </c>
      <c r="O119" s="3"/>
      <c r="Q119" s="3"/>
      <c r="R119" s="3"/>
      <c r="Y119" s="4" t="s">
        <v>974</v>
      </c>
      <c r="Z119" s="4" t="s">
        <v>974</v>
      </c>
      <c r="AB119" s="3"/>
      <c r="AC119" s="3"/>
      <c r="AD119" s="3" t="s">
        <v>652</v>
      </c>
      <c r="AE119" s="3">
        <v>5000</v>
      </c>
      <c r="AI119" s="4" t="s">
        <v>976</v>
      </c>
      <c r="AJ119" s="4" t="s">
        <v>976</v>
      </c>
      <c r="AK119" s="3"/>
      <c r="AL119" s="4">
        <v>141532</v>
      </c>
      <c r="AM119" s="5">
        <v>627000</v>
      </c>
      <c r="AN119" s="4" t="s">
        <v>31</v>
      </c>
      <c r="AO119" s="4">
        <v>99</v>
      </c>
    </row>
    <row r="120" spans="1:41" x14ac:dyDescent="0.25">
      <c r="A120" s="3">
        <v>4604067</v>
      </c>
      <c r="B120" s="3" t="s">
        <v>647</v>
      </c>
      <c r="C120" s="3" t="s">
        <v>797</v>
      </c>
      <c r="D120" s="3">
        <v>10003797</v>
      </c>
      <c r="E120" s="4">
        <v>4533418</v>
      </c>
      <c r="F120" s="3" t="s">
        <v>19</v>
      </c>
      <c r="G120" s="4" t="s">
        <v>993</v>
      </c>
      <c r="H120" s="4" t="s">
        <v>994</v>
      </c>
      <c r="I120" s="5">
        <v>298620.3</v>
      </c>
      <c r="J120" s="3" t="s">
        <v>645</v>
      </c>
      <c r="K120" s="3" t="s">
        <v>575</v>
      </c>
      <c r="L120" s="3"/>
      <c r="M120" s="4" t="s">
        <v>994</v>
      </c>
      <c r="N120" s="3" t="s">
        <v>25</v>
      </c>
      <c r="O120" s="3"/>
      <c r="Q120" s="3"/>
      <c r="R120" s="3"/>
      <c r="Y120" s="4" t="s">
        <v>974</v>
      </c>
      <c r="Z120" s="4" t="s">
        <v>974</v>
      </c>
      <c r="AB120" s="3"/>
      <c r="AC120" s="3"/>
      <c r="AD120" s="3" t="s">
        <v>652</v>
      </c>
      <c r="AE120" s="3">
        <v>5000</v>
      </c>
      <c r="AI120" s="4" t="s">
        <v>976</v>
      </c>
      <c r="AJ120" s="4" t="s">
        <v>976</v>
      </c>
      <c r="AK120" s="3"/>
      <c r="AL120" s="4">
        <v>141529</v>
      </c>
      <c r="AM120" s="5">
        <v>298620.3</v>
      </c>
      <c r="AN120" s="4" t="s">
        <v>31</v>
      </c>
      <c r="AO120" s="4">
        <v>99</v>
      </c>
    </row>
    <row r="121" spans="1:41" x14ac:dyDescent="0.25">
      <c r="A121" s="3">
        <v>4604097</v>
      </c>
      <c r="B121" s="3" t="s">
        <v>647</v>
      </c>
      <c r="C121" s="3" t="s">
        <v>797</v>
      </c>
      <c r="D121" s="3">
        <v>10003792</v>
      </c>
      <c r="E121" s="4">
        <v>4533448</v>
      </c>
      <c r="F121" s="3" t="s">
        <v>19</v>
      </c>
      <c r="G121" s="4" t="s">
        <v>999</v>
      </c>
      <c r="H121" s="4" t="s">
        <v>1000</v>
      </c>
      <c r="I121" s="5">
        <v>313818.78000000003</v>
      </c>
      <c r="J121" s="3" t="s">
        <v>645</v>
      </c>
      <c r="K121" s="3" t="s">
        <v>575</v>
      </c>
      <c r="L121" s="3"/>
      <c r="M121" s="4" t="s">
        <v>1001</v>
      </c>
      <c r="N121" s="3" t="s">
        <v>25</v>
      </c>
      <c r="O121" s="3"/>
      <c r="Q121" s="3"/>
      <c r="R121" s="3"/>
      <c r="Y121" s="4" t="s">
        <v>974</v>
      </c>
      <c r="Z121" s="4" t="s">
        <v>933</v>
      </c>
      <c r="AB121" s="3"/>
      <c r="AC121" s="3"/>
      <c r="AD121" s="3" t="s">
        <v>1002</v>
      </c>
      <c r="AE121" s="3">
        <v>5000</v>
      </c>
      <c r="AI121" s="4" t="s">
        <v>976</v>
      </c>
      <c r="AJ121" s="4" t="s">
        <v>934</v>
      </c>
      <c r="AK121" s="3"/>
      <c r="AL121" s="4">
        <v>30880</v>
      </c>
      <c r="AM121" s="5">
        <v>313818.78000000003</v>
      </c>
      <c r="AN121" s="4" t="s">
        <v>31</v>
      </c>
      <c r="AO121" s="4">
        <v>99</v>
      </c>
    </row>
    <row r="122" spans="1:41" x14ac:dyDescent="0.25">
      <c r="A122" s="3">
        <v>4604098</v>
      </c>
      <c r="B122" s="3" t="s">
        <v>1003</v>
      </c>
      <c r="C122" s="3" t="s">
        <v>797</v>
      </c>
      <c r="D122" s="3">
        <v>10003790</v>
      </c>
      <c r="E122" s="4">
        <v>4533449</v>
      </c>
      <c r="F122" s="3" t="s">
        <v>19</v>
      </c>
      <c r="G122" s="4" t="s">
        <v>1004</v>
      </c>
      <c r="H122" s="4" t="s">
        <v>1005</v>
      </c>
      <c r="I122" s="5">
        <v>317063.76</v>
      </c>
      <c r="J122" s="3" t="s">
        <v>645</v>
      </c>
      <c r="K122" s="3" t="s">
        <v>575</v>
      </c>
      <c r="L122" s="3"/>
      <c r="M122" s="4" t="s">
        <v>1005</v>
      </c>
      <c r="N122" s="3" t="s">
        <v>25</v>
      </c>
      <c r="O122" s="3"/>
      <c r="Q122" s="3"/>
      <c r="R122" s="3"/>
      <c r="Y122" s="4" t="s">
        <v>974</v>
      </c>
      <c r="Z122" s="4" t="s">
        <v>933</v>
      </c>
      <c r="AB122" s="3"/>
      <c r="AC122" s="3"/>
      <c r="AD122" s="3" t="s">
        <v>1002</v>
      </c>
      <c r="AE122" s="3">
        <v>5000</v>
      </c>
      <c r="AI122" s="4" t="s">
        <v>976</v>
      </c>
      <c r="AJ122" s="4" t="s">
        <v>934</v>
      </c>
      <c r="AK122" s="3"/>
      <c r="AL122" s="4">
        <v>31075</v>
      </c>
      <c r="AM122" s="5">
        <v>317063.76</v>
      </c>
      <c r="AN122" s="4" t="s">
        <v>31</v>
      </c>
      <c r="AO122" s="4">
        <v>99</v>
      </c>
    </row>
    <row r="123" spans="1:41" x14ac:dyDescent="0.25">
      <c r="A123" s="3">
        <v>4604099</v>
      </c>
      <c r="B123" s="3" t="s">
        <v>647</v>
      </c>
      <c r="C123" s="3" t="s">
        <v>797</v>
      </c>
      <c r="D123" s="3">
        <v>10003802</v>
      </c>
      <c r="E123" s="4">
        <v>4533450</v>
      </c>
      <c r="F123" s="3" t="s">
        <v>19</v>
      </c>
      <c r="G123" s="4" t="s">
        <v>1006</v>
      </c>
      <c r="H123" s="4" t="s">
        <v>1007</v>
      </c>
      <c r="I123" s="5">
        <v>313624.08</v>
      </c>
      <c r="J123" s="3" t="s">
        <v>645</v>
      </c>
      <c r="K123" s="3" t="s">
        <v>575</v>
      </c>
      <c r="L123" s="3"/>
      <c r="M123" s="4" t="s">
        <v>1008</v>
      </c>
      <c r="N123" s="3" t="s">
        <v>25</v>
      </c>
      <c r="O123" s="3"/>
      <c r="Q123" s="3"/>
      <c r="R123" s="3"/>
      <c r="Y123" s="4" t="s">
        <v>974</v>
      </c>
      <c r="Z123" s="4" t="s">
        <v>933</v>
      </c>
      <c r="AB123" s="3"/>
      <c r="AC123" s="3"/>
      <c r="AD123" s="3" t="s">
        <v>1002</v>
      </c>
      <c r="AE123" s="3">
        <v>5000</v>
      </c>
      <c r="AI123" s="4" t="s">
        <v>976</v>
      </c>
      <c r="AJ123" s="4" t="s">
        <v>934</v>
      </c>
      <c r="AK123" s="3"/>
      <c r="AL123" s="4">
        <v>50103</v>
      </c>
      <c r="AM123" s="5">
        <v>313624.08</v>
      </c>
      <c r="AN123" s="4" t="s">
        <v>31</v>
      </c>
      <c r="AO123" s="4">
        <v>99</v>
      </c>
    </row>
    <row r="124" spans="1:41" x14ac:dyDescent="0.25">
      <c r="A124" s="3">
        <v>4604152</v>
      </c>
      <c r="B124" s="3" t="s">
        <v>1009</v>
      </c>
      <c r="C124" s="3" t="s">
        <v>797</v>
      </c>
      <c r="D124" s="3">
        <v>10003921</v>
      </c>
      <c r="E124" s="4">
        <v>4533503</v>
      </c>
      <c r="F124" s="3" t="s">
        <v>19</v>
      </c>
      <c r="G124" s="4" t="s">
        <v>1010</v>
      </c>
      <c r="H124" s="4" t="s">
        <v>1011</v>
      </c>
      <c r="I124" s="5">
        <v>550000</v>
      </c>
      <c r="J124" s="3" t="s">
        <v>1009</v>
      </c>
      <c r="K124" s="3" t="s">
        <v>294</v>
      </c>
      <c r="L124" s="3"/>
      <c r="M124" s="4" t="s">
        <v>1012</v>
      </c>
      <c r="N124" s="3" t="s">
        <v>25</v>
      </c>
      <c r="O124" s="3"/>
      <c r="Q124" s="3"/>
      <c r="R124" s="3"/>
      <c r="Y124" s="4" t="s">
        <v>753</v>
      </c>
      <c r="Z124" s="4" t="s">
        <v>753</v>
      </c>
      <c r="AB124" s="3"/>
      <c r="AC124" s="3"/>
      <c r="AD124" s="3" t="s">
        <v>671</v>
      </c>
      <c r="AE124" s="3">
        <v>5000</v>
      </c>
      <c r="AI124" s="4" t="s">
        <v>758</v>
      </c>
      <c r="AJ124" s="4" t="s">
        <v>758</v>
      </c>
      <c r="AK124" s="3"/>
      <c r="AL124" s="4">
        <v>141542</v>
      </c>
      <c r="AM124" s="5">
        <v>550000</v>
      </c>
      <c r="AN124" s="4" t="s">
        <v>31</v>
      </c>
      <c r="AO124" s="4">
        <v>99</v>
      </c>
    </row>
    <row r="125" spans="1:41" x14ac:dyDescent="0.25">
      <c r="A125" s="3">
        <v>4604153</v>
      </c>
      <c r="B125" s="3" t="s">
        <v>1009</v>
      </c>
      <c r="C125" s="3" t="s">
        <v>797</v>
      </c>
      <c r="D125" s="3">
        <v>10003921</v>
      </c>
      <c r="E125" s="4">
        <v>4533504</v>
      </c>
      <c r="F125" s="3" t="s">
        <v>19</v>
      </c>
      <c r="G125" s="4" t="s">
        <v>1013</v>
      </c>
      <c r="H125" s="4" t="s">
        <v>1014</v>
      </c>
      <c r="I125" s="5">
        <v>550000</v>
      </c>
      <c r="J125" s="3" t="s">
        <v>1009</v>
      </c>
      <c r="K125" s="3" t="s">
        <v>294</v>
      </c>
      <c r="L125" s="3"/>
      <c r="M125" s="4" t="s">
        <v>1015</v>
      </c>
      <c r="N125" s="3" t="s">
        <v>25</v>
      </c>
      <c r="O125" s="3"/>
      <c r="Q125" s="3"/>
      <c r="R125" s="3"/>
      <c r="Y125" s="4" t="s">
        <v>753</v>
      </c>
      <c r="Z125" s="4" t="s">
        <v>753</v>
      </c>
      <c r="AB125" s="3"/>
      <c r="AC125" s="3"/>
      <c r="AD125" s="3" t="s">
        <v>671</v>
      </c>
      <c r="AE125" s="3">
        <v>5000</v>
      </c>
      <c r="AI125" s="4" t="s">
        <v>758</v>
      </c>
      <c r="AJ125" s="4" t="s">
        <v>758</v>
      </c>
      <c r="AK125" s="3"/>
      <c r="AL125" s="4">
        <v>141537</v>
      </c>
      <c r="AM125" s="5">
        <v>550000</v>
      </c>
      <c r="AN125" s="4" t="s">
        <v>31</v>
      </c>
      <c r="AO125" s="4">
        <v>99</v>
      </c>
    </row>
    <row r="126" spans="1:41" x14ac:dyDescent="0.25">
      <c r="A126" s="3">
        <v>4604154</v>
      </c>
      <c r="B126" s="3" t="s">
        <v>1009</v>
      </c>
      <c r="C126" s="3" t="s">
        <v>797</v>
      </c>
      <c r="D126" s="3">
        <v>10003921</v>
      </c>
      <c r="E126" s="4">
        <v>4533505</v>
      </c>
      <c r="F126" s="3" t="s">
        <v>19</v>
      </c>
      <c r="G126" s="4" t="s">
        <v>1016</v>
      </c>
      <c r="H126" s="4" t="s">
        <v>1017</v>
      </c>
      <c r="I126" s="5">
        <v>550000</v>
      </c>
      <c r="J126" s="3" t="s">
        <v>1009</v>
      </c>
      <c r="K126" s="3" t="s">
        <v>294</v>
      </c>
      <c r="L126" s="3"/>
      <c r="M126" s="4" t="s">
        <v>1012</v>
      </c>
      <c r="N126" s="3" t="s">
        <v>25</v>
      </c>
      <c r="O126" s="3"/>
      <c r="Q126" s="3"/>
      <c r="R126" s="3"/>
      <c r="Y126" s="4" t="s">
        <v>753</v>
      </c>
      <c r="Z126" s="4" t="s">
        <v>753</v>
      </c>
      <c r="AB126" s="3"/>
      <c r="AC126" s="3"/>
      <c r="AD126" s="3" t="s">
        <v>671</v>
      </c>
      <c r="AE126" s="3">
        <v>5000</v>
      </c>
      <c r="AI126" s="4" t="s">
        <v>758</v>
      </c>
      <c r="AJ126" s="4" t="s">
        <v>758</v>
      </c>
      <c r="AK126" s="3"/>
      <c r="AL126" s="4">
        <v>48219</v>
      </c>
      <c r="AM126" s="5">
        <v>550000</v>
      </c>
      <c r="AN126" s="4" t="s">
        <v>31</v>
      </c>
      <c r="AO126" s="4">
        <v>99</v>
      </c>
    </row>
    <row r="127" spans="1:41" x14ac:dyDescent="0.25">
      <c r="A127" s="3">
        <v>4604155</v>
      </c>
      <c r="B127" s="3" t="s">
        <v>1009</v>
      </c>
      <c r="C127" s="3" t="s">
        <v>797</v>
      </c>
      <c r="D127" s="3">
        <v>10003921</v>
      </c>
      <c r="E127" s="4">
        <v>4533506</v>
      </c>
      <c r="F127" s="3" t="s">
        <v>19</v>
      </c>
      <c r="G127" s="4" t="s">
        <v>1018</v>
      </c>
      <c r="H127" s="4" t="s">
        <v>1019</v>
      </c>
      <c r="I127" s="5">
        <v>550000</v>
      </c>
      <c r="J127" s="3" t="s">
        <v>1009</v>
      </c>
      <c r="K127" s="3" t="s">
        <v>294</v>
      </c>
      <c r="L127" s="3"/>
      <c r="M127" s="4" t="s">
        <v>1012</v>
      </c>
      <c r="N127" s="3" t="s">
        <v>25</v>
      </c>
      <c r="O127" s="3"/>
      <c r="Q127" s="3"/>
      <c r="R127" s="3"/>
      <c r="Y127" s="4" t="s">
        <v>753</v>
      </c>
      <c r="Z127" s="4" t="s">
        <v>753</v>
      </c>
      <c r="AB127" s="3"/>
      <c r="AC127" s="3"/>
      <c r="AD127" s="3" t="s">
        <v>671</v>
      </c>
      <c r="AE127" s="3">
        <v>5000</v>
      </c>
      <c r="AI127" s="4" t="s">
        <v>758</v>
      </c>
      <c r="AJ127" s="4" t="s">
        <v>758</v>
      </c>
      <c r="AK127" s="3"/>
      <c r="AL127" s="4">
        <v>141541</v>
      </c>
      <c r="AM127" s="5">
        <v>550000</v>
      </c>
      <c r="AN127" s="4" t="s">
        <v>31</v>
      </c>
      <c r="AO127" s="4">
        <v>99</v>
      </c>
    </row>
    <row r="128" spans="1:41" x14ac:dyDescent="0.25">
      <c r="A128" s="3">
        <v>4604156</v>
      </c>
      <c r="B128" s="3" t="s">
        <v>1009</v>
      </c>
      <c r="C128" s="3" t="s">
        <v>797</v>
      </c>
      <c r="D128" s="3">
        <v>10003921</v>
      </c>
      <c r="E128" s="4">
        <v>4533507</v>
      </c>
      <c r="F128" s="3" t="s">
        <v>19</v>
      </c>
      <c r="G128" s="4" t="s">
        <v>1020</v>
      </c>
      <c r="H128" s="4" t="s">
        <v>1021</v>
      </c>
      <c r="I128" s="5">
        <v>550000</v>
      </c>
      <c r="J128" s="3" t="s">
        <v>1009</v>
      </c>
      <c r="K128" s="3" t="s">
        <v>294</v>
      </c>
      <c r="L128" s="3"/>
      <c r="M128" s="4" t="s">
        <v>1012</v>
      </c>
      <c r="N128" s="3" t="s">
        <v>25</v>
      </c>
      <c r="O128" s="3"/>
      <c r="Q128" s="3"/>
      <c r="R128" s="3"/>
      <c r="Y128" s="4" t="s">
        <v>753</v>
      </c>
      <c r="Z128" s="4" t="s">
        <v>753</v>
      </c>
      <c r="AB128" s="3"/>
      <c r="AC128" s="3"/>
      <c r="AD128" s="3" t="s">
        <v>1009</v>
      </c>
      <c r="AE128" s="3">
        <v>5000</v>
      </c>
      <c r="AI128" s="4" t="s">
        <v>758</v>
      </c>
      <c r="AJ128" s="4" t="s">
        <v>758</v>
      </c>
      <c r="AK128" s="3"/>
      <c r="AL128" s="4">
        <v>141536</v>
      </c>
      <c r="AM128" s="5">
        <v>550000</v>
      </c>
      <c r="AN128" s="4" t="s">
        <v>31</v>
      </c>
      <c r="AO128" s="4">
        <v>99</v>
      </c>
    </row>
    <row r="129" spans="1:41" x14ac:dyDescent="0.25">
      <c r="A129" s="3">
        <v>4604171</v>
      </c>
      <c r="B129" s="3" t="s">
        <v>1022</v>
      </c>
      <c r="C129" s="3" t="s">
        <v>797</v>
      </c>
      <c r="D129" s="3">
        <v>10003921</v>
      </c>
      <c r="E129" s="4">
        <v>4533522</v>
      </c>
      <c r="F129" s="3" t="s">
        <v>19</v>
      </c>
      <c r="G129" s="4" t="s">
        <v>1023</v>
      </c>
      <c r="H129" s="4" t="s">
        <v>1024</v>
      </c>
      <c r="I129" s="5">
        <v>550000</v>
      </c>
      <c r="J129" s="3" t="s">
        <v>1022</v>
      </c>
      <c r="K129" s="3" t="s">
        <v>294</v>
      </c>
      <c r="L129" s="3"/>
      <c r="M129" s="4" t="s">
        <v>1012</v>
      </c>
      <c r="N129" s="3" t="s">
        <v>25</v>
      </c>
      <c r="O129" s="3"/>
      <c r="Q129" s="3"/>
      <c r="R129" s="3"/>
      <c r="Y129" s="4" t="s">
        <v>753</v>
      </c>
      <c r="Z129" s="4" t="s">
        <v>753</v>
      </c>
      <c r="AB129" s="3"/>
      <c r="AC129" s="3"/>
      <c r="AD129" s="3" t="s">
        <v>1022</v>
      </c>
      <c r="AE129" s="3">
        <v>5000</v>
      </c>
      <c r="AI129" s="4" t="s">
        <v>758</v>
      </c>
      <c r="AJ129" s="4" t="s">
        <v>758</v>
      </c>
      <c r="AK129" s="3"/>
      <c r="AL129" s="4">
        <v>141540</v>
      </c>
      <c r="AM129" s="5">
        <v>550000</v>
      </c>
      <c r="AN129" s="4" t="s">
        <v>31</v>
      </c>
      <c r="AO129" s="4">
        <v>99</v>
      </c>
    </row>
    <row r="130" spans="1:41" x14ac:dyDescent="0.25">
      <c r="A130" s="3">
        <v>4604172</v>
      </c>
      <c r="B130" s="3" t="s">
        <v>1022</v>
      </c>
      <c r="C130" s="3" t="s">
        <v>797</v>
      </c>
      <c r="D130" s="3">
        <v>10003921</v>
      </c>
      <c r="E130" s="4">
        <v>4533523</v>
      </c>
      <c r="F130" s="3" t="s">
        <v>19</v>
      </c>
      <c r="G130" s="4" t="s">
        <v>1025</v>
      </c>
      <c r="H130" s="4" t="s">
        <v>1026</v>
      </c>
      <c r="I130" s="5">
        <v>550000</v>
      </c>
      <c r="J130" s="3" t="s">
        <v>1022</v>
      </c>
      <c r="K130" s="3" t="s">
        <v>294</v>
      </c>
      <c r="L130" s="3"/>
      <c r="M130" s="4" t="s">
        <v>1012</v>
      </c>
      <c r="N130" s="3" t="s">
        <v>25</v>
      </c>
      <c r="O130" s="3"/>
      <c r="Q130" s="3"/>
      <c r="R130" s="3"/>
      <c r="Y130" s="4" t="s">
        <v>753</v>
      </c>
      <c r="Z130" s="4" t="s">
        <v>1027</v>
      </c>
      <c r="AB130" s="3"/>
      <c r="AC130" s="3"/>
      <c r="AD130" s="3" t="s">
        <v>1022</v>
      </c>
      <c r="AE130" s="3">
        <v>5000</v>
      </c>
      <c r="AI130" s="4" t="s">
        <v>758</v>
      </c>
      <c r="AJ130" s="4" t="s">
        <v>1028</v>
      </c>
      <c r="AK130" s="3"/>
      <c r="AL130" s="4">
        <v>40001</v>
      </c>
      <c r="AM130" s="5">
        <v>550000</v>
      </c>
      <c r="AN130" s="4" t="s">
        <v>31</v>
      </c>
      <c r="AO130" s="4">
        <v>99</v>
      </c>
    </row>
    <row r="131" spans="1:41" x14ac:dyDescent="0.25">
      <c r="A131" s="3">
        <v>4604176</v>
      </c>
      <c r="B131" s="3" t="s">
        <v>1022</v>
      </c>
      <c r="C131" s="3" t="s">
        <v>797</v>
      </c>
      <c r="D131" s="3">
        <v>10003921</v>
      </c>
      <c r="E131" s="4">
        <v>4533527</v>
      </c>
      <c r="F131" s="3" t="s">
        <v>19</v>
      </c>
      <c r="G131" s="4" t="s">
        <v>1029</v>
      </c>
      <c r="H131" s="4" t="s">
        <v>1030</v>
      </c>
      <c r="I131" s="5">
        <v>550000</v>
      </c>
      <c r="J131" s="3" t="s">
        <v>671</v>
      </c>
      <c r="K131" s="3" t="s">
        <v>1031</v>
      </c>
      <c r="L131" s="3"/>
      <c r="M131" s="4" t="s">
        <v>1012</v>
      </c>
      <c r="N131" s="3" t="s">
        <v>25</v>
      </c>
      <c r="O131" s="3"/>
      <c r="Q131" s="3"/>
      <c r="R131" s="3"/>
      <c r="Y131" s="4" t="s">
        <v>753</v>
      </c>
      <c r="Z131" s="4" t="s">
        <v>1027</v>
      </c>
      <c r="AB131" s="3"/>
      <c r="AC131" s="3"/>
      <c r="AD131" s="3" t="s">
        <v>1022</v>
      </c>
      <c r="AE131" s="3">
        <v>5000</v>
      </c>
      <c r="AI131" s="4" t="s">
        <v>758</v>
      </c>
      <c r="AJ131" s="4" t="s">
        <v>1028</v>
      </c>
      <c r="AK131" s="3"/>
      <c r="AL131" s="4">
        <v>141578</v>
      </c>
      <c r="AM131" s="5">
        <v>550000</v>
      </c>
      <c r="AN131" s="4" t="s">
        <v>31</v>
      </c>
      <c r="AO131" s="4">
        <v>99</v>
      </c>
    </row>
    <row r="132" spans="1:41" x14ac:dyDescent="0.25">
      <c r="A132" s="3">
        <v>4604177</v>
      </c>
      <c r="B132" s="3" t="s">
        <v>1022</v>
      </c>
      <c r="C132" s="3" t="s">
        <v>797</v>
      </c>
      <c r="D132" s="3">
        <v>10003921</v>
      </c>
      <c r="E132" s="4">
        <v>4533528</v>
      </c>
      <c r="F132" s="3" t="s">
        <v>19</v>
      </c>
      <c r="G132" s="4" t="s">
        <v>1032</v>
      </c>
      <c r="H132" s="4" t="s">
        <v>1033</v>
      </c>
      <c r="I132" s="5">
        <v>550000</v>
      </c>
      <c r="J132" s="3" t="s">
        <v>671</v>
      </c>
      <c r="K132" s="3" t="s">
        <v>294</v>
      </c>
      <c r="L132" s="3"/>
      <c r="M132" s="4" t="s">
        <v>1012</v>
      </c>
      <c r="N132" s="3" t="s">
        <v>25</v>
      </c>
      <c r="O132" s="3"/>
      <c r="Q132" s="3"/>
      <c r="R132" s="3"/>
      <c r="Y132" s="4" t="s">
        <v>753</v>
      </c>
      <c r="Z132" s="4" t="s">
        <v>1027</v>
      </c>
      <c r="AB132" s="3"/>
      <c r="AC132" s="3"/>
      <c r="AD132" s="3" t="s">
        <v>1022</v>
      </c>
      <c r="AE132" s="3">
        <v>5000</v>
      </c>
      <c r="AI132" s="4" t="s">
        <v>758</v>
      </c>
      <c r="AJ132" s="4" t="s">
        <v>1028</v>
      </c>
      <c r="AK132" s="3"/>
      <c r="AL132" s="4">
        <v>141538</v>
      </c>
      <c r="AM132" s="5">
        <v>550000</v>
      </c>
      <c r="AN132" s="4" t="s">
        <v>31</v>
      </c>
      <c r="AO132" s="4">
        <v>99</v>
      </c>
    </row>
    <row r="133" spans="1:41" x14ac:dyDescent="0.25">
      <c r="A133" s="3">
        <v>4604488</v>
      </c>
      <c r="B133" s="3" t="s">
        <v>1034</v>
      </c>
      <c r="C133" s="3" t="s">
        <v>797</v>
      </c>
      <c r="D133" s="3">
        <v>10002684</v>
      </c>
      <c r="E133" s="4">
        <v>4533839</v>
      </c>
      <c r="F133" s="3" t="s">
        <v>19</v>
      </c>
      <c r="G133" s="4" t="s">
        <v>1035</v>
      </c>
      <c r="H133" s="4" t="s">
        <v>1036</v>
      </c>
      <c r="I133" s="5">
        <v>84865</v>
      </c>
      <c r="J133" s="3" t="s">
        <v>1034</v>
      </c>
      <c r="K133" s="3" t="s">
        <v>1037</v>
      </c>
      <c r="L133" s="3"/>
      <c r="M133" s="4" t="s">
        <v>1036</v>
      </c>
      <c r="N133" s="3" t="s">
        <v>25</v>
      </c>
      <c r="O133" s="3"/>
      <c r="Q133" s="3"/>
      <c r="R133" s="3"/>
      <c r="Y133" s="4" t="s">
        <v>933</v>
      </c>
      <c r="Z133" s="4" t="s">
        <v>933</v>
      </c>
      <c r="AB133" s="3"/>
      <c r="AC133" s="3"/>
      <c r="AD133" s="3" t="s">
        <v>896</v>
      </c>
      <c r="AE133" s="3">
        <v>5000</v>
      </c>
      <c r="AI133" s="4" t="s">
        <v>934</v>
      </c>
      <c r="AJ133" s="4" t="s">
        <v>934</v>
      </c>
      <c r="AK133" s="3"/>
      <c r="AL133" s="4">
        <v>141730</v>
      </c>
      <c r="AM133" s="5">
        <v>84865</v>
      </c>
      <c r="AN133" s="4" t="s">
        <v>31</v>
      </c>
      <c r="AO133" s="4">
        <v>99</v>
      </c>
    </row>
    <row r="134" spans="1:41" x14ac:dyDescent="0.25">
      <c r="A134" s="3">
        <v>4604785</v>
      </c>
      <c r="B134" s="3" t="s">
        <v>905</v>
      </c>
      <c r="C134" s="3" t="s">
        <v>797</v>
      </c>
      <c r="D134" s="3">
        <v>10003804</v>
      </c>
      <c r="E134" s="4">
        <v>4534136</v>
      </c>
      <c r="F134" s="3" t="s">
        <v>19</v>
      </c>
      <c r="G134" s="4" t="s">
        <v>1038</v>
      </c>
      <c r="H134" s="4" t="s">
        <v>990</v>
      </c>
      <c r="I134" s="5">
        <v>178200</v>
      </c>
      <c r="J134" s="3" t="s">
        <v>1039</v>
      </c>
      <c r="K134" s="3" t="s">
        <v>575</v>
      </c>
      <c r="L134" s="3"/>
      <c r="M134" s="4" t="s">
        <v>990</v>
      </c>
      <c r="N134" s="3" t="s">
        <v>25</v>
      </c>
      <c r="O134" s="3"/>
      <c r="Q134" s="3"/>
      <c r="R134" s="3"/>
      <c r="Y134" s="4" t="s">
        <v>907</v>
      </c>
      <c r="Z134" s="4" t="s">
        <v>907</v>
      </c>
      <c r="AB134" s="3"/>
      <c r="AC134" s="3"/>
      <c r="AD134" s="3" t="s">
        <v>1040</v>
      </c>
      <c r="AE134" s="3">
        <v>5000</v>
      </c>
      <c r="AI134" s="4" t="s">
        <v>908</v>
      </c>
      <c r="AJ134" s="4" t="s">
        <v>908</v>
      </c>
      <c r="AK134" s="3"/>
      <c r="AL134" s="4">
        <v>31120</v>
      </c>
      <c r="AM134" s="5">
        <v>178200</v>
      </c>
      <c r="AN134" s="4" t="s">
        <v>31</v>
      </c>
      <c r="AO134" s="4">
        <v>99</v>
      </c>
    </row>
    <row r="135" spans="1:41" ht="18.75" x14ac:dyDescent="0.25">
      <c r="E135" s="7" t="s">
        <v>2451</v>
      </c>
      <c r="F135" s="8">
        <f>COUNT(E3:E134)</f>
        <v>132</v>
      </c>
      <c r="H135" s="6" t="s">
        <v>2452</v>
      </c>
      <c r="I135" s="11">
        <f>SUM(I3:I134)</f>
        <v>498043856.22999996</v>
      </c>
    </row>
  </sheetData>
  <mergeCells count="1">
    <mergeCell ref="A1:AP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0"/>
  <sheetViews>
    <sheetView workbookViewId="0">
      <selection sqref="A1:XFD1048576"/>
    </sheetView>
  </sheetViews>
  <sheetFormatPr defaultRowHeight="15" x14ac:dyDescent="0.25"/>
  <cols>
    <col min="1" max="2" width="10.7109375" customWidth="1"/>
    <col min="3" max="3" width="20.140625" bestFit="1" customWidth="1"/>
    <col min="4" max="5" width="10.85546875" bestFit="1" customWidth="1"/>
    <col min="6" max="6" width="12.5703125" bestFit="1" customWidth="1"/>
    <col min="7" max="7" width="41.140625" bestFit="1" customWidth="1"/>
    <col min="8" max="8" width="94.7109375" bestFit="1" customWidth="1"/>
    <col min="9" max="9" width="15.7109375" customWidth="1"/>
    <col min="10" max="12" width="10.7109375" customWidth="1"/>
    <col min="13" max="13" width="42.7109375" customWidth="1"/>
    <col min="14" max="14" width="20.7109375" customWidth="1"/>
    <col min="15" max="15" width="11.7109375" customWidth="1"/>
    <col min="16" max="16" width="43" bestFit="1" customWidth="1"/>
    <col min="17" max="18" width="14.7109375" customWidth="1"/>
    <col min="19" max="19" width="32.5703125" bestFit="1" customWidth="1"/>
    <col min="21" max="22" width="8.42578125" bestFit="1" customWidth="1"/>
    <col min="23" max="23" width="19.5703125" bestFit="1" customWidth="1"/>
    <col min="24" max="24" width="69.5703125" bestFit="1" customWidth="1"/>
    <col min="25" max="26" width="24" bestFit="1" customWidth="1"/>
    <col min="27" max="27" width="40.28515625" bestFit="1" customWidth="1"/>
    <col min="28" max="28" width="19.42578125" bestFit="1" customWidth="1"/>
    <col min="29" max="29" width="11.85546875" bestFit="1" customWidth="1"/>
    <col min="30" max="30" width="10.7109375" customWidth="1"/>
    <col min="35" max="36" width="15.7109375" bestFit="1" customWidth="1"/>
    <col min="37" max="37" width="11.7109375" customWidth="1"/>
    <col min="38" max="38" width="12" bestFit="1" customWidth="1"/>
    <col min="39" max="39" width="15.42578125" bestFit="1" customWidth="1"/>
    <col min="40" max="40" width="12.7109375" bestFit="1" customWidth="1"/>
    <col min="41" max="41" width="11.7109375" customWidth="1"/>
  </cols>
  <sheetData>
    <row r="1" spans="1:42" ht="18.75" x14ac:dyDescent="0.25">
      <c r="A1" s="47" t="s">
        <v>2456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</row>
    <row r="2" spans="1:42" s="1" customFormat="1" ht="60" x14ac:dyDescent="0.25">
      <c r="A2" s="2" t="s">
        <v>2427</v>
      </c>
      <c r="B2" s="2" t="s">
        <v>2428</v>
      </c>
      <c r="C2" s="2" t="s">
        <v>2429</v>
      </c>
      <c r="D2" s="2" t="s">
        <v>2430</v>
      </c>
      <c r="E2" s="2" t="s">
        <v>2431</v>
      </c>
      <c r="F2" s="2" t="s">
        <v>2432</v>
      </c>
      <c r="G2" s="2" t="s">
        <v>0</v>
      </c>
      <c r="H2" s="2" t="s">
        <v>1</v>
      </c>
      <c r="I2" s="2" t="s">
        <v>2433</v>
      </c>
      <c r="J2" s="2" t="s">
        <v>2434</v>
      </c>
      <c r="K2" s="2" t="s">
        <v>2435</v>
      </c>
      <c r="L2" s="2" t="s">
        <v>2436</v>
      </c>
      <c r="M2" s="2" t="s">
        <v>2</v>
      </c>
      <c r="N2" s="2" t="s">
        <v>3</v>
      </c>
      <c r="O2" s="2" t="s">
        <v>2437</v>
      </c>
      <c r="P2" s="2" t="s">
        <v>4</v>
      </c>
      <c r="Q2" s="2" t="s">
        <v>2438</v>
      </c>
      <c r="R2" s="2" t="s">
        <v>2439</v>
      </c>
      <c r="S2" s="2" t="s">
        <v>2440</v>
      </c>
      <c r="T2" s="2" t="s">
        <v>6</v>
      </c>
      <c r="U2" s="2" t="s">
        <v>6</v>
      </c>
      <c r="V2" s="2" t="s">
        <v>5</v>
      </c>
      <c r="W2" s="2" t="s">
        <v>5</v>
      </c>
      <c r="X2" s="2" t="s">
        <v>7</v>
      </c>
      <c r="Y2" s="2" t="s">
        <v>8</v>
      </c>
      <c r="Z2" s="2" t="s">
        <v>9</v>
      </c>
      <c r="AA2" s="2" t="s">
        <v>2447</v>
      </c>
      <c r="AB2" s="2" t="s">
        <v>2446</v>
      </c>
      <c r="AC2" s="2" t="s">
        <v>2445</v>
      </c>
      <c r="AD2" s="2" t="s">
        <v>10</v>
      </c>
      <c r="AE2" s="2" t="s">
        <v>2441</v>
      </c>
      <c r="AF2" s="2" t="s">
        <v>11</v>
      </c>
      <c r="AG2" s="2" t="s">
        <v>11</v>
      </c>
      <c r="AH2" s="2" t="s">
        <v>12</v>
      </c>
      <c r="AI2" s="2" t="s">
        <v>8</v>
      </c>
      <c r="AJ2" s="2" t="s">
        <v>13</v>
      </c>
      <c r="AK2" s="2" t="s">
        <v>2444</v>
      </c>
      <c r="AL2" s="2" t="s">
        <v>14</v>
      </c>
      <c r="AM2" s="2" t="s">
        <v>15</v>
      </c>
      <c r="AN2" s="2" t="s">
        <v>16</v>
      </c>
      <c r="AO2" s="2" t="s">
        <v>2443</v>
      </c>
      <c r="AP2" s="2" t="s">
        <v>2442</v>
      </c>
    </row>
    <row r="3" spans="1:42" s="4" customFormat="1" x14ac:dyDescent="0.25">
      <c r="A3" s="3">
        <v>4604547</v>
      </c>
      <c r="B3" s="28">
        <v>41810</v>
      </c>
      <c r="C3" s="3" t="s">
        <v>107</v>
      </c>
      <c r="D3" s="3">
        <v>10004332</v>
      </c>
      <c r="E3" s="4">
        <v>4533898</v>
      </c>
      <c r="F3" s="3" t="s">
        <v>49</v>
      </c>
      <c r="G3" s="4" t="s">
        <v>193</v>
      </c>
      <c r="H3" s="4" t="s">
        <v>194</v>
      </c>
      <c r="I3" s="5">
        <v>10120</v>
      </c>
      <c r="J3" s="3" t="s">
        <v>195</v>
      </c>
      <c r="K3" s="3" t="s">
        <v>77</v>
      </c>
      <c r="L3" s="3" t="s">
        <v>196</v>
      </c>
      <c r="M3" s="4" t="s">
        <v>197</v>
      </c>
      <c r="N3" s="3" t="s">
        <v>25</v>
      </c>
      <c r="O3" s="3"/>
      <c r="Q3" s="3"/>
      <c r="R3" s="3"/>
      <c r="Y3" s="4" t="s">
        <v>198</v>
      </c>
      <c r="Z3" s="4" t="s">
        <v>198</v>
      </c>
      <c r="AA3" s="4" t="s">
        <v>199</v>
      </c>
      <c r="AB3" s="3"/>
      <c r="AC3" s="3"/>
      <c r="AD3" s="3" t="s">
        <v>200</v>
      </c>
      <c r="AE3" s="3">
        <v>1000</v>
      </c>
      <c r="AI3" s="4" t="s">
        <v>201</v>
      </c>
      <c r="AJ3" s="4" t="s">
        <v>201</v>
      </c>
      <c r="AK3" s="3"/>
      <c r="AL3" s="4">
        <v>48568</v>
      </c>
      <c r="AM3" s="5">
        <v>10120</v>
      </c>
      <c r="AN3" s="4" t="s">
        <v>124</v>
      </c>
      <c r="AO3" s="4">
        <v>99</v>
      </c>
      <c r="AP3" s="4">
        <v>55110000</v>
      </c>
    </row>
    <row r="4" spans="1:42" s="4" customFormat="1" x14ac:dyDescent="0.25">
      <c r="A4" s="3">
        <v>4604570</v>
      </c>
      <c r="B4" s="28">
        <v>41816</v>
      </c>
      <c r="C4" s="3" t="s">
        <v>107</v>
      </c>
      <c r="D4" s="3">
        <v>10004346</v>
      </c>
      <c r="E4" s="4">
        <v>4533921</v>
      </c>
      <c r="F4" s="3" t="s">
        <v>49</v>
      </c>
      <c r="G4" s="4" t="s">
        <v>203</v>
      </c>
      <c r="H4" s="4" t="s">
        <v>204</v>
      </c>
      <c r="I4" s="5">
        <v>72803.5</v>
      </c>
      <c r="J4" s="3" t="s">
        <v>76</v>
      </c>
      <c r="K4" s="3" t="s">
        <v>77</v>
      </c>
      <c r="L4" s="3" t="s">
        <v>196</v>
      </c>
      <c r="M4" s="4" t="s">
        <v>205</v>
      </c>
      <c r="N4" s="3" t="s">
        <v>25</v>
      </c>
      <c r="O4" s="3"/>
      <c r="Q4" s="3"/>
      <c r="R4" s="3"/>
      <c r="Y4" s="4" t="s">
        <v>206</v>
      </c>
      <c r="Z4" s="4" t="s">
        <v>207</v>
      </c>
      <c r="AA4" s="4" t="s">
        <v>199</v>
      </c>
      <c r="AB4" s="3"/>
      <c r="AC4" s="3"/>
      <c r="AD4" s="3" t="s">
        <v>208</v>
      </c>
      <c r="AE4" s="3">
        <v>1000</v>
      </c>
      <c r="AI4" s="4" t="s">
        <v>209</v>
      </c>
      <c r="AJ4" s="4" t="s">
        <v>210</v>
      </c>
      <c r="AK4" s="3"/>
      <c r="AL4" s="4">
        <v>140367</v>
      </c>
      <c r="AM4" s="5">
        <v>72803.5</v>
      </c>
      <c r="AN4" s="4" t="s">
        <v>124</v>
      </c>
      <c r="AO4" s="4">
        <v>98</v>
      </c>
      <c r="AP4" s="4">
        <v>43211501</v>
      </c>
    </row>
    <row r="5" spans="1:42" s="4" customFormat="1" x14ac:dyDescent="0.25">
      <c r="A5" s="3">
        <v>4604442</v>
      </c>
      <c r="B5" s="28">
        <v>41752</v>
      </c>
      <c r="C5" s="3" t="s">
        <v>255</v>
      </c>
      <c r="D5" s="3">
        <v>10004234</v>
      </c>
      <c r="E5" s="4">
        <v>4533793</v>
      </c>
      <c r="F5" s="3" t="s">
        <v>49</v>
      </c>
      <c r="G5" s="4" t="s">
        <v>256</v>
      </c>
      <c r="H5" s="4" t="s">
        <v>257</v>
      </c>
      <c r="I5" s="5">
        <v>11196.63</v>
      </c>
      <c r="J5" s="3" t="s">
        <v>258</v>
      </c>
      <c r="K5" s="3" t="s">
        <v>259</v>
      </c>
      <c r="L5" s="3" t="s">
        <v>196</v>
      </c>
      <c r="M5" s="4" t="s">
        <v>257</v>
      </c>
      <c r="N5" s="3" t="s">
        <v>25</v>
      </c>
      <c r="O5" s="3"/>
      <c r="Q5" s="3"/>
      <c r="R5" s="3"/>
      <c r="Y5" s="4" t="s">
        <v>260</v>
      </c>
      <c r="Z5" s="4" t="s">
        <v>260</v>
      </c>
      <c r="AB5" s="3"/>
      <c r="AC5" s="3"/>
      <c r="AD5" s="3" t="s">
        <v>254</v>
      </c>
      <c r="AE5" s="3">
        <v>1000</v>
      </c>
      <c r="AI5" s="4" t="s">
        <v>261</v>
      </c>
      <c r="AJ5" s="4" t="s">
        <v>261</v>
      </c>
      <c r="AK5" s="3"/>
      <c r="AL5" s="4">
        <v>48397</v>
      </c>
      <c r="AM5" s="5">
        <v>11196.63</v>
      </c>
      <c r="AN5" s="4" t="s">
        <v>124</v>
      </c>
      <c r="AO5" s="4">
        <v>99</v>
      </c>
      <c r="AP5" s="4">
        <v>86000000</v>
      </c>
    </row>
    <row r="6" spans="1:42" s="4" customFormat="1" x14ac:dyDescent="0.25">
      <c r="A6" s="3">
        <v>4604555</v>
      </c>
      <c r="B6" s="28">
        <v>41813</v>
      </c>
      <c r="C6" s="3" t="s">
        <v>255</v>
      </c>
      <c r="D6" s="3">
        <v>10004338</v>
      </c>
      <c r="E6" s="4">
        <v>4533906</v>
      </c>
      <c r="F6" s="3" t="s">
        <v>49</v>
      </c>
      <c r="G6" s="4" t="s">
        <v>276</v>
      </c>
      <c r="H6" s="4" t="s">
        <v>277</v>
      </c>
      <c r="I6" s="5">
        <v>70000</v>
      </c>
      <c r="J6" s="3" t="s">
        <v>195</v>
      </c>
      <c r="K6" s="3" t="s">
        <v>223</v>
      </c>
      <c r="L6" s="3" t="s">
        <v>196</v>
      </c>
      <c r="M6" s="4" t="s">
        <v>277</v>
      </c>
      <c r="N6" s="3" t="s">
        <v>25</v>
      </c>
      <c r="O6" s="3"/>
      <c r="Q6" s="3"/>
      <c r="R6" s="3"/>
      <c r="Y6" s="4" t="s">
        <v>267</v>
      </c>
      <c r="Z6" s="4" t="s">
        <v>267</v>
      </c>
      <c r="AB6" s="3"/>
      <c r="AC6" s="3"/>
      <c r="AD6" s="3" t="s">
        <v>278</v>
      </c>
      <c r="AE6" s="3">
        <v>1000</v>
      </c>
      <c r="AI6" s="4" t="s">
        <v>270</v>
      </c>
      <c r="AJ6" s="4" t="s">
        <v>270</v>
      </c>
      <c r="AK6" s="3"/>
      <c r="AL6" s="4">
        <v>140400</v>
      </c>
      <c r="AM6" s="5">
        <v>70000</v>
      </c>
      <c r="AN6" s="4" t="s">
        <v>124</v>
      </c>
      <c r="AO6" s="4">
        <v>99</v>
      </c>
      <c r="AP6" s="4">
        <v>83100000</v>
      </c>
    </row>
    <row r="7" spans="1:42" s="4" customFormat="1" x14ac:dyDescent="0.25">
      <c r="A7" s="3">
        <v>4604652</v>
      </c>
      <c r="B7" s="28">
        <v>41852</v>
      </c>
      <c r="C7" s="3" t="s">
        <v>255</v>
      </c>
      <c r="D7" s="3">
        <v>10004434</v>
      </c>
      <c r="E7" s="4">
        <v>4534003</v>
      </c>
      <c r="F7" s="3" t="s">
        <v>49</v>
      </c>
      <c r="G7" s="4" t="s">
        <v>279</v>
      </c>
      <c r="H7" s="4" t="s">
        <v>280</v>
      </c>
      <c r="I7" s="5">
        <v>50000</v>
      </c>
      <c r="J7" s="3" t="s">
        <v>214</v>
      </c>
      <c r="K7" s="3" t="s">
        <v>187</v>
      </c>
      <c r="L7" s="3" t="s">
        <v>196</v>
      </c>
      <c r="M7" s="4" t="s">
        <v>281</v>
      </c>
      <c r="N7" s="3" t="s">
        <v>25</v>
      </c>
      <c r="O7" s="3" t="s">
        <v>139</v>
      </c>
      <c r="P7" s="4" t="s">
        <v>282</v>
      </c>
      <c r="Q7" s="3"/>
      <c r="R7" s="3"/>
      <c r="Y7" s="4" t="s">
        <v>283</v>
      </c>
      <c r="Z7" s="4" t="s">
        <v>283</v>
      </c>
      <c r="AB7" s="3"/>
      <c r="AC7" s="3"/>
      <c r="AD7" s="3" t="s">
        <v>284</v>
      </c>
      <c r="AE7" s="3">
        <v>1000</v>
      </c>
      <c r="AI7" s="4" t="s">
        <v>285</v>
      </c>
      <c r="AJ7" s="4" t="s">
        <v>285</v>
      </c>
      <c r="AK7" s="3" t="s">
        <v>286</v>
      </c>
      <c r="AL7" s="4">
        <v>141759</v>
      </c>
      <c r="AM7" s="5">
        <v>50000</v>
      </c>
      <c r="AN7" s="4" t="s">
        <v>124</v>
      </c>
      <c r="AO7" s="4">
        <v>98</v>
      </c>
      <c r="AP7" s="4">
        <v>80101504</v>
      </c>
    </row>
    <row r="8" spans="1:42" s="4" customFormat="1" x14ac:dyDescent="0.25">
      <c r="A8" s="3">
        <v>4604721</v>
      </c>
      <c r="B8" s="28">
        <v>41913</v>
      </c>
      <c r="C8" s="3" t="s">
        <v>288</v>
      </c>
      <c r="D8" s="3">
        <v>10004522</v>
      </c>
      <c r="E8" s="4">
        <v>4534072</v>
      </c>
      <c r="F8" s="3" t="s">
        <v>49</v>
      </c>
      <c r="G8" s="4" t="s">
        <v>305</v>
      </c>
      <c r="H8" s="4" t="s">
        <v>306</v>
      </c>
      <c r="I8" s="5">
        <v>56000</v>
      </c>
      <c r="J8" s="3" t="s">
        <v>173</v>
      </c>
      <c r="K8" s="3" t="s">
        <v>77</v>
      </c>
      <c r="L8" s="3" t="s">
        <v>196</v>
      </c>
      <c r="M8" s="4" t="s">
        <v>306</v>
      </c>
      <c r="N8" s="3" t="s">
        <v>25</v>
      </c>
      <c r="O8" s="3"/>
      <c r="Q8" s="3"/>
      <c r="R8" s="3"/>
      <c r="Y8" s="4" t="s">
        <v>307</v>
      </c>
      <c r="Z8" s="4" t="s">
        <v>307</v>
      </c>
      <c r="AA8" s="4" t="s">
        <v>308</v>
      </c>
      <c r="AB8" s="3"/>
      <c r="AC8" s="3"/>
      <c r="AD8" s="3" t="s">
        <v>284</v>
      </c>
      <c r="AE8" s="3">
        <v>1000</v>
      </c>
      <c r="AI8" s="4" t="s">
        <v>309</v>
      </c>
      <c r="AJ8" s="4" t="s">
        <v>309</v>
      </c>
      <c r="AK8" s="3"/>
      <c r="AL8" s="4">
        <v>141704</v>
      </c>
      <c r="AM8" s="5">
        <v>56000</v>
      </c>
      <c r="AN8" s="4" t="s">
        <v>124</v>
      </c>
      <c r="AO8" s="4">
        <v>99</v>
      </c>
      <c r="AP8" s="4">
        <v>80100000</v>
      </c>
    </row>
    <row r="9" spans="1:42" s="4" customFormat="1" x14ac:dyDescent="0.25">
      <c r="A9" s="3">
        <v>4604768</v>
      </c>
      <c r="B9" s="28">
        <v>41821</v>
      </c>
      <c r="C9" s="3" t="s">
        <v>288</v>
      </c>
      <c r="D9" s="3">
        <v>10004558</v>
      </c>
      <c r="E9" s="4">
        <v>4534119</v>
      </c>
      <c r="F9" s="3" t="s">
        <v>49</v>
      </c>
      <c r="G9" s="4" t="s">
        <v>203</v>
      </c>
      <c r="H9" s="4" t="s">
        <v>314</v>
      </c>
      <c r="I9" s="5">
        <v>56555</v>
      </c>
      <c r="J9" s="3" t="s">
        <v>76</v>
      </c>
      <c r="K9" s="3" t="s">
        <v>77</v>
      </c>
      <c r="L9" s="3" t="s">
        <v>196</v>
      </c>
      <c r="M9" s="4" t="s">
        <v>314</v>
      </c>
      <c r="N9" s="3" t="s">
        <v>25</v>
      </c>
      <c r="O9" s="3"/>
      <c r="Q9" s="3"/>
      <c r="R9" s="3"/>
      <c r="Y9" s="4" t="s">
        <v>111</v>
      </c>
      <c r="Z9" s="4" t="s">
        <v>111</v>
      </c>
      <c r="AB9" s="3"/>
      <c r="AC9" s="3"/>
      <c r="AD9" s="3" t="s">
        <v>315</v>
      </c>
      <c r="AE9" s="3">
        <v>1000</v>
      </c>
      <c r="AI9" s="4" t="s">
        <v>114</v>
      </c>
      <c r="AJ9" s="4" t="s">
        <v>114</v>
      </c>
      <c r="AK9" s="3"/>
      <c r="AL9" s="4">
        <v>140367</v>
      </c>
      <c r="AM9" s="5">
        <v>56555</v>
      </c>
      <c r="AN9" s="4" t="s">
        <v>124</v>
      </c>
      <c r="AO9" s="4">
        <v>99</v>
      </c>
      <c r="AP9" s="4">
        <v>43211501</v>
      </c>
    </row>
    <row r="10" spans="1:42" s="4" customFormat="1" x14ac:dyDescent="0.25">
      <c r="A10" s="3">
        <v>4604769</v>
      </c>
      <c r="B10" s="28">
        <v>41821</v>
      </c>
      <c r="C10" s="3" t="s">
        <v>288</v>
      </c>
      <c r="D10" s="3">
        <v>10004557</v>
      </c>
      <c r="E10" s="4">
        <v>4534120</v>
      </c>
      <c r="F10" s="3" t="s">
        <v>49</v>
      </c>
      <c r="G10" s="4" t="s">
        <v>203</v>
      </c>
      <c r="H10" s="4" t="s">
        <v>316</v>
      </c>
      <c r="I10" s="5">
        <v>68261</v>
      </c>
      <c r="J10" s="3" t="s">
        <v>76</v>
      </c>
      <c r="K10" s="3" t="s">
        <v>77</v>
      </c>
      <c r="L10" s="3" t="s">
        <v>196</v>
      </c>
      <c r="M10" s="4" t="s">
        <v>316</v>
      </c>
      <c r="N10" s="3" t="s">
        <v>25</v>
      </c>
      <c r="O10" s="3"/>
      <c r="Q10" s="3"/>
      <c r="R10" s="3"/>
      <c r="Y10" s="4" t="s">
        <v>111</v>
      </c>
      <c r="Z10" s="4" t="s">
        <v>111</v>
      </c>
      <c r="AB10" s="3"/>
      <c r="AC10" s="3"/>
      <c r="AD10" s="3" t="s">
        <v>317</v>
      </c>
      <c r="AE10" s="3">
        <v>1000</v>
      </c>
      <c r="AI10" s="4" t="s">
        <v>114</v>
      </c>
      <c r="AJ10" s="4" t="s">
        <v>114</v>
      </c>
      <c r="AK10" s="3"/>
      <c r="AL10" s="4">
        <v>140367</v>
      </c>
      <c r="AM10" s="5">
        <v>68261</v>
      </c>
      <c r="AN10" s="4" t="s">
        <v>124</v>
      </c>
      <c r="AO10" s="4">
        <v>99</v>
      </c>
      <c r="AP10" s="4">
        <v>43211501</v>
      </c>
    </row>
    <row r="11" spans="1:42" s="4" customFormat="1" x14ac:dyDescent="0.25">
      <c r="A11" s="3">
        <v>4604819</v>
      </c>
      <c r="B11" s="28">
        <v>41965</v>
      </c>
      <c r="C11" s="3" t="s">
        <v>288</v>
      </c>
      <c r="D11" s="3">
        <v>10004572</v>
      </c>
      <c r="E11" s="4">
        <v>4534170</v>
      </c>
      <c r="F11" s="3" t="s">
        <v>49</v>
      </c>
      <c r="G11" s="4" t="s">
        <v>329</v>
      </c>
      <c r="I11" s="5">
        <v>9900</v>
      </c>
      <c r="J11" s="3" t="s">
        <v>328</v>
      </c>
      <c r="K11" s="3" t="s">
        <v>330</v>
      </c>
      <c r="L11" s="3" t="s">
        <v>196</v>
      </c>
      <c r="M11" s="4" t="s">
        <v>331</v>
      </c>
      <c r="N11" s="3" t="s">
        <v>25</v>
      </c>
      <c r="O11" s="3"/>
      <c r="Q11" s="3"/>
      <c r="R11" s="3"/>
      <c r="Y11" s="4" t="s">
        <v>111</v>
      </c>
      <c r="Z11" s="4" t="s">
        <v>332</v>
      </c>
      <c r="AB11" s="3"/>
      <c r="AC11" s="3"/>
      <c r="AD11" s="3" t="s">
        <v>333</v>
      </c>
      <c r="AE11" s="3">
        <v>1000</v>
      </c>
      <c r="AI11" s="4" t="s">
        <v>114</v>
      </c>
      <c r="AJ11" s="4" t="s">
        <v>334</v>
      </c>
      <c r="AK11" s="3"/>
      <c r="AL11" s="4">
        <v>42575</v>
      </c>
      <c r="AM11" s="5">
        <v>9900</v>
      </c>
      <c r="AN11" s="4" t="s">
        <v>124</v>
      </c>
    </row>
    <row r="12" spans="1:42" s="4" customFormat="1" x14ac:dyDescent="0.25">
      <c r="A12" s="3">
        <v>4604920</v>
      </c>
      <c r="B12" s="28">
        <v>41736</v>
      </c>
      <c r="C12" s="3" t="s">
        <v>288</v>
      </c>
      <c r="D12" s="3">
        <v>10004659</v>
      </c>
      <c r="E12" s="4">
        <v>4534271</v>
      </c>
      <c r="F12" s="3" t="s">
        <v>49</v>
      </c>
      <c r="G12" s="4" t="s">
        <v>347</v>
      </c>
      <c r="H12" s="4" t="s">
        <v>348</v>
      </c>
      <c r="I12" s="5">
        <v>53262</v>
      </c>
      <c r="J12" s="3" t="s">
        <v>349</v>
      </c>
      <c r="K12" s="3" t="s">
        <v>77</v>
      </c>
      <c r="L12" s="3" t="s">
        <v>196</v>
      </c>
      <c r="M12" s="4" t="s">
        <v>348</v>
      </c>
      <c r="N12" s="3" t="s">
        <v>25</v>
      </c>
      <c r="O12" s="3"/>
      <c r="Q12" s="3"/>
      <c r="R12" s="3"/>
      <c r="Y12" s="4" t="s">
        <v>350</v>
      </c>
      <c r="Z12" s="4" t="s">
        <v>344</v>
      </c>
      <c r="AB12" s="3"/>
      <c r="AC12" s="3"/>
      <c r="AD12" s="3" t="s">
        <v>351</v>
      </c>
      <c r="AE12" s="3">
        <v>5000</v>
      </c>
      <c r="AI12" s="4" t="s">
        <v>352</v>
      </c>
      <c r="AJ12" s="4" t="s">
        <v>345</v>
      </c>
      <c r="AK12" s="3"/>
      <c r="AL12" s="4">
        <v>40471</v>
      </c>
      <c r="AM12" s="5">
        <v>53262</v>
      </c>
      <c r="AN12" s="4" t="s">
        <v>31</v>
      </c>
      <c r="AO12" s="4">
        <v>99</v>
      </c>
      <c r="AP12" s="4">
        <v>80141602</v>
      </c>
    </row>
    <row r="13" spans="1:42" s="4" customFormat="1" x14ac:dyDescent="0.25">
      <c r="A13" s="3">
        <v>4604991</v>
      </c>
      <c r="B13" s="28">
        <v>42157</v>
      </c>
      <c r="C13" s="3" t="s">
        <v>288</v>
      </c>
      <c r="D13" s="3">
        <v>10004819</v>
      </c>
      <c r="E13" s="4">
        <v>4534342</v>
      </c>
      <c r="F13" s="3" t="s">
        <v>49</v>
      </c>
      <c r="G13" s="4" t="s">
        <v>366</v>
      </c>
      <c r="H13" s="4" t="s">
        <v>367</v>
      </c>
      <c r="I13" s="5">
        <v>19800</v>
      </c>
      <c r="J13" s="3" t="s">
        <v>365</v>
      </c>
      <c r="K13" s="3" t="s">
        <v>77</v>
      </c>
      <c r="L13" s="3" t="s">
        <v>196</v>
      </c>
      <c r="M13" s="4" t="s">
        <v>367</v>
      </c>
      <c r="N13" s="3" t="s">
        <v>25</v>
      </c>
      <c r="O13" s="3"/>
      <c r="Q13" s="3"/>
      <c r="R13" s="3"/>
      <c r="Y13" s="4" t="s">
        <v>368</v>
      </c>
      <c r="Z13" s="4" t="s">
        <v>368</v>
      </c>
      <c r="AB13" s="3"/>
      <c r="AC13" s="3"/>
      <c r="AD13" s="3" t="s">
        <v>369</v>
      </c>
      <c r="AE13" s="3">
        <v>5000</v>
      </c>
      <c r="AI13" s="4" t="s">
        <v>370</v>
      </c>
      <c r="AJ13" s="4" t="s">
        <v>370</v>
      </c>
      <c r="AK13" s="3"/>
      <c r="AL13" s="4">
        <v>48623</v>
      </c>
      <c r="AM13" s="5">
        <v>19800</v>
      </c>
      <c r="AN13" s="4" t="s">
        <v>31</v>
      </c>
      <c r="AO13" s="4">
        <v>99</v>
      </c>
      <c r="AP13" s="4">
        <v>80140000</v>
      </c>
    </row>
    <row r="14" spans="1:42" s="4" customFormat="1" x14ac:dyDescent="0.25">
      <c r="A14" s="3">
        <v>4605003</v>
      </c>
      <c r="B14" s="28">
        <v>42156</v>
      </c>
      <c r="C14" s="3" t="s">
        <v>288</v>
      </c>
      <c r="D14" s="3">
        <v>10004854</v>
      </c>
      <c r="E14" s="4">
        <v>4534354</v>
      </c>
      <c r="F14" s="3" t="s">
        <v>49</v>
      </c>
      <c r="G14" s="4" t="s">
        <v>336</v>
      </c>
      <c r="H14" s="4" t="s">
        <v>378</v>
      </c>
      <c r="I14" s="5">
        <v>19564.11</v>
      </c>
      <c r="J14" s="3" t="s">
        <v>377</v>
      </c>
      <c r="K14" s="3" t="s">
        <v>77</v>
      </c>
      <c r="L14" s="3" t="s">
        <v>196</v>
      </c>
      <c r="M14" s="4" t="s">
        <v>378</v>
      </c>
      <c r="N14" s="3" t="s">
        <v>25</v>
      </c>
      <c r="O14" s="3"/>
      <c r="Q14" s="3"/>
      <c r="R14" s="3"/>
      <c r="Y14" s="4" t="s">
        <v>379</v>
      </c>
      <c r="Z14" s="4" t="s">
        <v>379</v>
      </c>
      <c r="AB14" s="3"/>
      <c r="AC14" s="3"/>
      <c r="AD14" s="3" t="s">
        <v>380</v>
      </c>
      <c r="AE14" s="3">
        <v>1000</v>
      </c>
      <c r="AI14" s="4" t="s">
        <v>381</v>
      </c>
      <c r="AJ14" s="4" t="s">
        <v>381</v>
      </c>
      <c r="AK14" s="3"/>
      <c r="AL14" s="4">
        <v>141787</v>
      </c>
      <c r="AM14" s="5">
        <v>19564.11</v>
      </c>
      <c r="AN14" s="4" t="s">
        <v>124</v>
      </c>
      <c r="AO14" s="4">
        <v>99</v>
      </c>
      <c r="AP14" s="4">
        <v>82100000</v>
      </c>
    </row>
    <row r="15" spans="1:42" s="4" customFormat="1" x14ac:dyDescent="0.25">
      <c r="A15" s="3">
        <v>4605010</v>
      </c>
      <c r="B15" s="28">
        <v>42150</v>
      </c>
      <c r="C15" s="3" t="s">
        <v>288</v>
      </c>
      <c r="D15" s="3">
        <v>10004859</v>
      </c>
      <c r="E15" s="4">
        <v>4534361</v>
      </c>
      <c r="F15" s="3" t="s">
        <v>49</v>
      </c>
      <c r="G15" s="4" t="s">
        <v>383</v>
      </c>
      <c r="H15" s="4" t="s">
        <v>384</v>
      </c>
      <c r="I15" s="5">
        <v>33000</v>
      </c>
      <c r="J15" s="3" t="s">
        <v>385</v>
      </c>
      <c r="K15" s="3" t="s">
        <v>386</v>
      </c>
      <c r="L15" s="3" t="s">
        <v>196</v>
      </c>
      <c r="M15" s="4" t="s">
        <v>384</v>
      </c>
      <c r="N15" s="3" t="s">
        <v>25</v>
      </c>
      <c r="O15" s="3" t="s">
        <v>139</v>
      </c>
      <c r="P15" s="4" t="s">
        <v>282</v>
      </c>
      <c r="Q15" s="3"/>
      <c r="R15" s="3"/>
      <c r="Y15" s="4" t="s">
        <v>379</v>
      </c>
      <c r="Z15" s="4" t="s">
        <v>379</v>
      </c>
      <c r="AA15" s="4" t="s">
        <v>387</v>
      </c>
      <c r="AB15" s="3"/>
      <c r="AC15" s="3"/>
      <c r="AD15" s="3" t="s">
        <v>380</v>
      </c>
      <c r="AE15" s="3">
        <v>1000</v>
      </c>
      <c r="AI15" s="4" t="s">
        <v>381</v>
      </c>
      <c r="AJ15" s="4" t="s">
        <v>381</v>
      </c>
      <c r="AK15" s="3" t="s">
        <v>286</v>
      </c>
      <c r="AL15" s="4">
        <v>141621</v>
      </c>
      <c r="AM15" s="5">
        <v>33000</v>
      </c>
      <c r="AN15" s="4" t="s">
        <v>124</v>
      </c>
      <c r="AO15" s="4">
        <v>99</v>
      </c>
      <c r="AP15" s="4">
        <v>80110000</v>
      </c>
    </row>
    <row r="16" spans="1:42" s="4" customFormat="1" x14ac:dyDescent="0.25">
      <c r="A16" s="3">
        <v>4605068</v>
      </c>
      <c r="B16" s="28">
        <v>42184</v>
      </c>
      <c r="C16" s="3" t="s">
        <v>288</v>
      </c>
      <c r="D16" s="3">
        <v>10004924</v>
      </c>
      <c r="E16" s="4">
        <v>4534419</v>
      </c>
      <c r="F16" s="3" t="s">
        <v>49</v>
      </c>
      <c r="G16" s="4" t="s">
        <v>388</v>
      </c>
      <c r="H16" s="4" t="s">
        <v>389</v>
      </c>
      <c r="I16" s="5">
        <v>49898.75</v>
      </c>
      <c r="J16" s="3" t="s">
        <v>287</v>
      </c>
      <c r="K16" s="3" t="s">
        <v>77</v>
      </c>
      <c r="L16" s="3" t="s">
        <v>196</v>
      </c>
      <c r="M16" s="4" t="s">
        <v>390</v>
      </c>
      <c r="N16" s="3" t="s">
        <v>25</v>
      </c>
      <c r="O16" s="3"/>
      <c r="Q16" s="3"/>
      <c r="R16" s="3"/>
      <c r="Y16" s="4" t="s">
        <v>368</v>
      </c>
      <c r="Z16" s="4" t="s">
        <v>368</v>
      </c>
      <c r="AB16" s="3"/>
      <c r="AC16" s="3"/>
      <c r="AD16" s="3" t="s">
        <v>77</v>
      </c>
      <c r="AE16" s="3">
        <v>5000</v>
      </c>
      <c r="AI16" s="4" t="s">
        <v>370</v>
      </c>
      <c r="AJ16" s="4" t="s">
        <v>370</v>
      </c>
      <c r="AK16" s="3"/>
      <c r="AL16" s="4">
        <v>141826</v>
      </c>
      <c r="AM16" s="5">
        <v>49898.75</v>
      </c>
      <c r="AN16" s="4" t="s">
        <v>31</v>
      </c>
      <c r="AO16" s="4">
        <v>99</v>
      </c>
      <c r="AP16" s="4">
        <v>82111900</v>
      </c>
    </row>
    <row r="17" spans="1:42" s="4" customFormat="1" x14ac:dyDescent="0.25">
      <c r="A17" s="3">
        <v>4604743</v>
      </c>
      <c r="B17" s="28">
        <v>41928</v>
      </c>
      <c r="C17" s="3" t="s">
        <v>392</v>
      </c>
      <c r="D17" s="3">
        <v>10004535</v>
      </c>
      <c r="E17" s="4">
        <v>4534094</v>
      </c>
      <c r="F17" s="3" t="s">
        <v>49</v>
      </c>
      <c r="G17" s="4" t="s">
        <v>393</v>
      </c>
      <c r="H17" s="4" t="s">
        <v>394</v>
      </c>
      <c r="I17" s="5">
        <v>24649.8</v>
      </c>
      <c r="J17" s="3" t="s">
        <v>391</v>
      </c>
      <c r="K17" s="3" t="s">
        <v>395</v>
      </c>
      <c r="L17" s="3" t="s">
        <v>196</v>
      </c>
      <c r="M17" s="4" t="s">
        <v>394</v>
      </c>
      <c r="N17" s="3" t="s">
        <v>25</v>
      </c>
      <c r="O17" s="3"/>
      <c r="Q17" s="3"/>
      <c r="R17" s="3"/>
      <c r="Y17" s="4" t="s">
        <v>396</v>
      </c>
      <c r="Z17" s="4" t="s">
        <v>396</v>
      </c>
      <c r="AB17" s="3"/>
      <c r="AC17" s="3"/>
      <c r="AD17" s="3" t="s">
        <v>310</v>
      </c>
      <c r="AE17" s="3">
        <v>1000</v>
      </c>
      <c r="AI17" s="4" t="s">
        <v>397</v>
      </c>
      <c r="AJ17" s="4" t="s">
        <v>397</v>
      </c>
      <c r="AK17" s="3"/>
      <c r="AL17" s="4">
        <v>51455</v>
      </c>
      <c r="AM17" s="5">
        <v>24649.8</v>
      </c>
      <c r="AN17" s="4" t="s">
        <v>124</v>
      </c>
      <c r="AO17" s="4">
        <v>99</v>
      </c>
      <c r="AP17" s="4">
        <v>86000000</v>
      </c>
    </row>
    <row r="18" spans="1:42" s="4" customFormat="1" x14ac:dyDescent="0.25">
      <c r="A18" s="3">
        <v>4604793</v>
      </c>
      <c r="B18" s="28">
        <v>41963</v>
      </c>
      <c r="C18" s="3" t="s">
        <v>392</v>
      </c>
      <c r="D18" s="3">
        <v>10004580</v>
      </c>
      <c r="E18" s="4">
        <v>4534144</v>
      </c>
      <c r="F18" s="3" t="s">
        <v>49</v>
      </c>
      <c r="G18" s="4" t="s">
        <v>417</v>
      </c>
      <c r="H18" s="4" t="s">
        <v>418</v>
      </c>
      <c r="I18" s="5">
        <v>97750</v>
      </c>
      <c r="J18" s="3" t="s">
        <v>416</v>
      </c>
      <c r="K18" s="3" t="s">
        <v>419</v>
      </c>
      <c r="L18" s="3" t="s">
        <v>196</v>
      </c>
      <c r="M18" s="4" t="s">
        <v>418</v>
      </c>
      <c r="N18" s="3" t="s">
        <v>25</v>
      </c>
      <c r="O18" s="3"/>
      <c r="Q18" s="3"/>
      <c r="R18" s="3"/>
      <c r="Y18" s="4" t="s">
        <v>420</v>
      </c>
      <c r="Z18" s="4" t="s">
        <v>420</v>
      </c>
      <c r="AA18" s="4" t="s">
        <v>421</v>
      </c>
      <c r="AB18" s="3"/>
      <c r="AC18" s="3"/>
      <c r="AD18" s="3" t="s">
        <v>422</v>
      </c>
      <c r="AE18" s="3">
        <v>1000</v>
      </c>
      <c r="AI18" s="4" t="s">
        <v>423</v>
      </c>
      <c r="AJ18" s="4" t="s">
        <v>423</v>
      </c>
      <c r="AK18" s="3"/>
      <c r="AL18" s="4">
        <v>141838</v>
      </c>
      <c r="AM18" s="5">
        <v>97750</v>
      </c>
      <c r="AN18" s="4" t="s">
        <v>124</v>
      </c>
      <c r="AO18" s="4">
        <v>98</v>
      </c>
      <c r="AP18" s="4">
        <v>81121500</v>
      </c>
    </row>
    <row r="19" spans="1:42" s="4" customFormat="1" x14ac:dyDescent="0.25">
      <c r="A19" s="3">
        <v>4604794</v>
      </c>
      <c r="B19" s="28">
        <v>41964</v>
      </c>
      <c r="C19" s="3" t="s">
        <v>392</v>
      </c>
      <c r="D19" s="3">
        <v>10004584</v>
      </c>
      <c r="E19" s="4">
        <v>4534145</v>
      </c>
      <c r="F19" s="3" t="s">
        <v>49</v>
      </c>
      <c r="G19" s="4" t="s">
        <v>425</v>
      </c>
      <c r="H19" s="4" t="s">
        <v>426</v>
      </c>
      <c r="I19" s="5">
        <v>33000</v>
      </c>
      <c r="J19" s="3" t="s">
        <v>424</v>
      </c>
      <c r="K19" s="3" t="s">
        <v>419</v>
      </c>
      <c r="L19" s="3" t="s">
        <v>196</v>
      </c>
      <c r="M19" s="4" t="s">
        <v>426</v>
      </c>
      <c r="N19" s="3" t="s">
        <v>25</v>
      </c>
      <c r="O19" s="3" t="s">
        <v>139</v>
      </c>
      <c r="P19" s="4" t="s">
        <v>140</v>
      </c>
      <c r="Q19" s="3" t="s">
        <v>139</v>
      </c>
      <c r="R19" s="3" t="s">
        <v>427</v>
      </c>
      <c r="S19" s="4" t="s">
        <v>428</v>
      </c>
      <c r="U19" s="4" t="s">
        <v>139</v>
      </c>
      <c r="V19" s="4" t="s">
        <v>119</v>
      </c>
      <c r="W19" s="4" t="s">
        <v>217</v>
      </c>
      <c r="X19" s="4" t="s">
        <v>429</v>
      </c>
      <c r="Y19" s="4" t="s">
        <v>430</v>
      </c>
      <c r="Z19" s="4" t="s">
        <v>431</v>
      </c>
      <c r="AB19" s="3"/>
      <c r="AC19" s="3"/>
      <c r="AD19" s="3" t="s">
        <v>432</v>
      </c>
      <c r="AE19" s="3">
        <v>1000</v>
      </c>
      <c r="AI19" s="4" t="s">
        <v>433</v>
      </c>
      <c r="AJ19" s="4" t="s">
        <v>434</v>
      </c>
      <c r="AK19" s="3" t="s">
        <v>143</v>
      </c>
      <c r="AL19" s="4">
        <v>141839</v>
      </c>
      <c r="AM19" s="5">
        <v>33000</v>
      </c>
      <c r="AN19" s="4" t="s">
        <v>124</v>
      </c>
      <c r="AO19" s="4">
        <v>99</v>
      </c>
      <c r="AP19" s="4">
        <v>80141500</v>
      </c>
    </row>
    <row r="20" spans="1:42" s="4" customFormat="1" x14ac:dyDescent="0.25">
      <c r="A20" s="3">
        <v>4604801</v>
      </c>
      <c r="B20" s="28">
        <v>41981</v>
      </c>
      <c r="C20" s="3" t="s">
        <v>392</v>
      </c>
      <c r="D20" s="3">
        <v>10004600</v>
      </c>
      <c r="E20" s="4">
        <v>4534152</v>
      </c>
      <c r="F20" s="3" t="s">
        <v>49</v>
      </c>
      <c r="G20" s="4" t="s">
        <v>430</v>
      </c>
      <c r="H20" s="4" t="s">
        <v>438</v>
      </c>
      <c r="I20" s="5">
        <v>122000</v>
      </c>
      <c r="J20" s="3" t="s">
        <v>437</v>
      </c>
      <c r="K20" s="3" t="s">
        <v>439</v>
      </c>
      <c r="L20" s="3" t="s">
        <v>196</v>
      </c>
      <c r="M20" s="4" t="s">
        <v>438</v>
      </c>
      <c r="N20" s="3" t="s">
        <v>25</v>
      </c>
      <c r="O20" s="3"/>
      <c r="Q20" s="3" t="s">
        <v>139</v>
      </c>
      <c r="R20" s="3" t="s">
        <v>119</v>
      </c>
      <c r="S20" s="4" t="s">
        <v>217</v>
      </c>
      <c r="T20" s="4" t="s">
        <v>440</v>
      </c>
      <c r="Y20" s="4" t="s">
        <v>431</v>
      </c>
      <c r="Z20" s="4" t="s">
        <v>431</v>
      </c>
      <c r="AB20" s="3"/>
      <c r="AC20" s="3"/>
      <c r="AD20" s="3" t="s">
        <v>441</v>
      </c>
      <c r="AE20" s="3">
        <v>1000</v>
      </c>
      <c r="AI20" s="4" t="s">
        <v>434</v>
      </c>
      <c r="AJ20" s="4" t="s">
        <v>434</v>
      </c>
      <c r="AK20" s="3"/>
      <c r="AL20" s="4">
        <v>141840</v>
      </c>
      <c r="AM20" s="5">
        <v>122000</v>
      </c>
      <c r="AN20" s="4" t="s">
        <v>124</v>
      </c>
      <c r="AO20" s="4">
        <v>99</v>
      </c>
      <c r="AP20" s="4">
        <v>80111600</v>
      </c>
    </row>
    <row r="21" spans="1:42" s="4" customFormat="1" x14ac:dyDescent="0.25">
      <c r="A21" s="3">
        <v>4604837</v>
      </c>
      <c r="B21" s="28">
        <v>42026</v>
      </c>
      <c r="C21" s="3" t="s">
        <v>392</v>
      </c>
      <c r="D21" s="3">
        <v>10004635</v>
      </c>
      <c r="E21" s="4">
        <v>4534188</v>
      </c>
      <c r="F21" s="3" t="s">
        <v>49</v>
      </c>
      <c r="G21" s="4" t="s">
        <v>450</v>
      </c>
      <c r="H21" s="4" t="s">
        <v>451</v>
      </c>
      <c r="I21" s="5">
        <v>24649.79</v>
      </c>
      <c r="J21" s="3" t="s">
        <v>122</v>
      </c>
      <c r="K21" s="3" t="s">
        <v>321</v>
      </c>
      <c r="L21" s="3" t="s">
        <v>196</v>
      </c>
      <c r="M21" s="4" t="s">
        <v>451</v>
      </c>
      <c r="N21" s="3" t="s">
        <v>25</v>
      </c>
      <c r="O21" s="3"/>
      <c r="Q21" s="3"/>
      <c r="R21" s="3"/>
      <c r="Y21" s="4" t="s">
        <v>431</v>
      </c>
      <c r="Z21" s="4" t="s">
        <v>420</v>
      </c>
      <c r="AB21" s="3"/>
      <c r="AC21" s="3"/>
      <c r="AD21" s="3" t="s">
        <v>341</v>
      </c>
      <c r="AE21" s="3">
        <v>1000</v>
      </c>
      <c r="AI21" s="4" t="s">
        <v>434</v>
      </c>
      <c r="AJ21" s="4" t="s">
        <v>423</v>
      </c>
      <c r="AK21" s="3"/>
      <c r="AL21" s="4">
        <v>40279</v>
      </c>
      <c r="AM21" s="5">
        <v>24649.79</v>
      </c>
      <c r="AN21" s="4" t="s">
        <v>124</v>
      </c>
      <c r="AO21" s="4">
        <v>99</v>
      </c>
      <c r="AP21" s="4">
        <v>86000000</v>
      </c>
    </row>
    <row r="22" spans="1:42" s="4" customFormat="1" x14ac:dyDescent="0.25">
      <c r="A22" s="3">
        <v>4604841</v>
      </c>
      <c r="B22" s="28">
        <v>42031</v>
      </c>
      <c r="C22" s="3" t="s">
        <v>392</v>
      </c>
      <c r="D22" s="3">
        <v>10004639</v>
      </c>
      <c r="E22" s="4">
        <v>4534192</v>
      </c>
      <c r="F22" s="3" t="s">
        <v>49</v>
      </c>
      <c r="G22" s="4" t="s">
        <v>453</v>
      </c>
      <c r="H22" s="4" t="s">
        <v>454</v>
      </c>
      <c r="I22" s="5">
        <v>12950</v>
      </c>
      <c r="J22" s="3" t="s">
        <v>455</v>
      </c>
      <c r="K22" s="3" t="s">
        <v>77</v>
      </c>
      <c r="L22" s="3" t="s">
        <v>196</v>
      </c>
      <c r="M22" s="4" t="s">
        <v>454</v>
      </c>
      <c r="N22" s="3" t="s">
        <v>25</v>
      </c>
      <c r="O22" s="3"/>
      <c r="Q22" s="3"/>
      <c r="R22" s="3"/>
      <c r="Y22" s="4" t="s">
        <v>431</v>
      </c>
      <c r="Z22" s="4" t="s">
        <v>431</v>
      </c>
      <c r="AB22" s="3"/>
      <c r="AC22" s="3"/>
      <c r="AD22" s="3" t="s">
        <v>452</v>
      </c>
      <c r="AE22" s="3">
        <v>1000</v>
      </c>
      <c r="AI22" s="4" t="s">
        <v>434</v>
      </c>
      <c r="AJ22" s="4" t="s">
        <v>434</v>
      </c>
      <c r="AK22" s="3"/>
      <c r="AL22" s="4">
        <v>47630</v>
      </c>
      <c r="AM22" s="5">
        <v>12950</v>
      </c>
      <c r="AN22" s="4" t="s">
        <v>124</v>
      </c>
      <c r="AO22" s="4">
        <v>99</v>
      </c>
      <c r="AP22" s="4">
        <v>86000000</v>
      </c>
    </row>
    <row r="23" spans="1:42" s="4" customFormat="1" x14ac:dyDescent="0.25">
      <c r="A23" s="3">
        <v>4604848</v>
      </c>
      <c r="B23" s="28">
        <v>42036</v>
      </c>
      <c r="C23" s="3" t="s">
        <v>392</v>
      </c>
      <c r="D23" s="3">
        <v>10004653</v>
      </c>
      <c r="E23" s="4">
        <v>4534199</v>
      </c>
      <c r="F23" s="3" t="s">
        <v>49</v>
      </c>
      <c r="G23" s="4" t="s">
        <v>459</v>
      </c>
      <c r="H23" s="4" t="s">
        <v>460</v>
      </c>
      <c r="I23" s="5">
        <v>27500</v>
      </c>
      <c r="J23" s="3" t="s">
        <v>458</v>
      </c>
      <c r="K23" s="3" t="s">
        <v>461</v>
      </c>
      <c r="L23" s="3" t="s">
        <v>196</v>
      </c>
      <c r="M23" s="4" t="s">
        <v>460</v>
      </c>
      <c r="N23" s="3" t="s">
        <v>25</v>
      </c>
      <c r="O23" s="3"/>
      <c r="Q23" s="3"/>
      <c r="R23" s="3"/>
      <c r="Y23" s="4" t="s">
        <v>431</v>
      </c>
      <c r="Z23" s="4" t="s">
        <v>431</v>
      </c>
      <c r="AB23" s="3"/>
      <c r="AC23" s="3"/>
      <c r="AD23" s="3" t="s">
        <v>462</v>
      </c>
      <c r="AE23" s="3">
        <v>1000</v>
      </c>
      <c r="AI23" s="4" t="s">
        <v>434</v>
      </c>
      <c r="AJ23" s="4" t="s">
        <v>434</v>
      </c>
      <c r="AK23" s="3"/>
      <c r="AL23" s="4">
        <v>43117</v>
      </c>
      <c r="AM23" s="5">
        <v>27500</v>
      </c>
      <c r="AN23" s="4" t="s">
        <v>124</v>
      </c>
      <c r="AO23" s="4">
        <v>99</v>
      </c>
      <c r="AP23" s="4">
        <v>80141500</v>
      </c>
    </row>
    <row r="24" spans="1:42" s="4" customFormat="1" x14ac:dyDescent="0.25">
      <c r="A24" s="3">
        <v>4604851</v>
      </c>
      <c r="B24" s="28">
        <v>42048</v>
      </c>
      <c r="C24" s="3" t="s">
        <v>392</v>
      </c>
      <c r="D24" s="3">
        <v>10004656</v>
      </c>
      <c r="E24" s="4">
        <v>4534202</v>
      </c>
      <c r="F24" s="3" t="s">
        <v>49</v>
      </c>
      <c r="G24" s="4" t="s">
        <v>463</v>
      </c>
      <c r="H24" s="4" t="s">
        <v>464</v>
      </c>
      <c r="I24" s="5">
        <v>24200</v>
      </c>
      <c r="J24" s="3" t="s">
        <v>465</v>
      </c>
      <c r="K24" s="3" t="s">
        <v>313</v>
      </c>
      <c r="L24" s="3" t="s">
        <v>196</v>
      </c>
      <c r="M24" s="4" t="s">
        <v>464</v>
      </c>
      <c r="N24" s="3" t="s">
        <v>25</v>
      </c>
      <c r="O24" s="3"/>
      <c r="Q24" s="3"/>
      <c r="R24" s="3"/>
      <c r="Y24" s="4" t="s">
        <v>466</v>
      </c>
      <c r="Z24" s="4" t="s">
        <v>466</v>
      </c>
      <c r="AB24" s="3"/>
      <c r="AC24" s="3"/>
      <c r="AD24" s="3" t="s">
        <v>467</v>
      </c>
      <c r="AE24" s="3">
        <v>1000</v>
      </c>
      <c r="AI24" s="4" t="s">
        <v>468</v>
      </c>
      <c r="AJ24" s="4" t="s">
        <v>468</v>
      </c>
      <c r="AK24" s="3"/>
      <c r="AL24" s="4">
        <v>141859</v>
      </c>
      <c r="AM24" s="5">
        <v>24200</v>
      </c>
      <c r="AN24" s="4" t="s">
        <v>124</v>
      </c>
      <c r="AO24" s="4">
        <v>99</v>
      </c>
      <c r="AP24" s="4">
        <v>43230000</v>
      </c>
    </row>
    <row r="25" spans="1:42" s="4" customFormat="1" x14ac:dyDescent="0.25">
      <c r="A25" s="3">
        <v>4604874</v>
      </c>
      <c r="B25" s="28">
        <v>42075</v>
      </c>
      <c r="C25" s="3" t="s">
        <v>392</v>
      </c>
      <c r="D25" s="3">
        <v>10004690</v>
      </c>
      <c r="E25" s="4">
        <v>4534225</v>
      </c>
      <c r="F25" s="3" t="s">
        <v>49</v>
      </c>
      <c r="G25" s="4" t="s">
        <v>487</v>
      </c>
      <c r="H25" s="4" t="s">
        <v>460</v>
      </c>
      <c r="I25" s="5">
        <v>19800</v>
      </c>
      <c r="J25" s="3" t="s">
        <v>477</v>
      </c>
      <c r="K25" s="3" t="s">
        <v>488</v>
      </c>
      <c r="L25" s="3" t="s">
        <v>196</v>
      </c>
      <c r="M25" s="4" t="s">
        <v>460</v>
      </c>
      <c r="N25" s="3" t="s">
        <v>25</v>
      </c>
      <c r="O25" s="3"/>
      <c r="Q25" s="3"/>
      <c r="R25" s="3"/>
      <c r="Y25" s="4" t="s">
        <v>489</v>
      </c>
      <c r="Z25" s="4" t="s">
        <v>431</v>
      </c>
      <c r="AB25" s="3"/>
      <c r="AC25" s="3"/>
      <c r="AD25" s="3" t="s">
        <v>477</v>
      </c>
      <c r="AE25" s="3">
        <v>1000</v>
      </c>
      <c r="AI25" s="4" t="s">
        <v>490</v>
      </c>
      <c r="AJ25" s="4" t="s">
        <v>434</v>
      </c>
      <c r="AK25" s="3"/>
      <c r="AL25" s="4">
        <v>43098</v>
      </c>
      <c r="AM25" s="5">
        <v>19800</v>
      </c>
      <c r="AN25" s="4" t="s">
        <v>124</v>
      </c>
      <c r="AO25" s="4">
        <v>99</v>
      </c>
      <c r="AP25" s="4">
        <v>80141500</v>
      </c>
    </row>
    <row r="26" spans="1:42" s="4" customFormat="1" x14ac:dyDescent="0.25">
      <c r="A26" s="3">
        <v>4604876</v>
      </c>
      <c r="B26" s="28">
        <v>42076</v>
      </c>
      <c r="C26" s="3" t="s">
        <v>392</v>
      </c>
      <c r="D26" s="3">
        <v>10004693</v>
      </c>
      <c r="E26" s="4">
        <v>4534227</v>
      </c>
      <c r="F26" s="3" t="s">
        <v>49</v>
      </c>
      <c r="G26" s="4" t="s">
        <v>463</v>
      </c>
      <c r="H26" s="4" t="s">
        <v>491</v>
      </c>
      <c r="I26" s="5">
        <v>101640</v>
      </c>
      <c r="J26" s="3" t="s">
        <v>477</v>
      </c>
      <c r="K26" s="3" t="s">
        <v>492</v>
      </c>
      <c r="L26" s="3" t="s">
        <v>196</v>
      </c>
      <c r="M26" s="4" t="s">
        <v>491</v>
      </c>
      <c r="N26" s="3" t="s">
        <v>25</v>
      </c>
      <c r="O26" s="3"/>
      <c r="Q26" s="3"/>
      <c r="R26" s="3"/>
      <c r="Y26" s="4" t="s">
        <v>466</v>
      </c>
      <c r="Z26" s="4" t="s">
        <v>466</v>
      </c>
      <c r="AA26" s="4" t="s">
        <v>493</v>
      </c>
      <c r="AB26" s="3"/>
      <c r="AC26" s="3"/>
      <c r="AD26" s="3" t="s">
        <v>486</v>
      </c>
      <c r="AE26" s="3">
        <v>1000</v>
      </c>
      <c r="AI26" s="4" t="s">
        <v>468</v>
      </c>
      <c r="AJ26" s="4" t="s">
        <v>468</v>
      </c>
      <c r="AK26" s="3"/>
      <c r="AL26" s="4">
        <v>141859</v>
      </c>
      <c r="AM26" s="5">
        <v>101640</v>
      </c>
      <c r="AN26" s="4" t="s">
        <v>124</v>
      </c>
      <c r="AO26" s="4">
        <v>99</v>
      </c>
      <c r="AP26" s="4">
        <v>43230000</v>
      </c>
    </row>
    <row r="27" spans="1:42" s="4" customFormat="1" x14ac:dyDescent="0.25">
      <c r="A27" s="3">
        <v>4604899</v>
      </c>
      <c r="B27" s="28">
        <v>41995</v>
      </c>
      <c r="C27" s="3" t="s">
        <v>392</v>
      </c>
      <c r="D27" s="3">
        <v>10004617</v>
      </c>
      <c r="E27" s="4">
        <v>4534250</v>
      </c>
      <c r="F27" s="3" t="s">
        <v>49</v>
      </c>
      <c r="G27" s="4" t="s">
        <v>193</v>
      </c>
      <c r="H27" s="4" t="s">
        <v>495</v>
      </c>
      <c r="I27" s="5">
        <v>22522.5</v>
      </c>
      <c r="J27" s="3" t="s">
        <v>494</v>
      </c>
      <c r="K27" s="3" t="s">
        <v>496</v>
      </c>
      <c r="L27" s="3" t="s">
        <v>196</v>
      </c>
      <c r="M27" s="4" t="s">
        <v>495</v>
      </c>
      <c r="N27" s="3" t="s">
        <v>25</v>
      </c>
      <c r="O27" s="3"/>
      <c r="Q27" s="3"/>
      <c r="R27" s="3"/>
      <c r="Y27" s="4" t="s">
        <v>431</v>
      </c>
      <c r="Z27" s="4" t="s">
        <v>431</v>
      </c>
      <c r="AB27" s="3"/>
      <c r="AC27" s="3"/>
      <c r="AD27" s="3" t="s">
        <v>496</v>
      </c>
      <c r="AE27" s="3">
        <v>1000</v>
      </c>
      <c r="AI27" s="4" t="s">
        <v>434</v>
      </c>
      <c r="AJ27" s="4" t="s">
        <v>434</v>
      </c>
      <c r="AK27" s="3"/>
      <c r="AL27" s="4">
        <v>48568</v>
      </c>
      <c r="AM27" s="5">
        <v>22522.5</v>
      </c>
      <c r="AN27" s="4" t="s">
        <v>124</v>
      </c>
      <c r="AO27" s="4">
        <v>99</v>
      </c>
      <c r="AP27" s="4">
        <v>55101500</v>
      </c>
    </row>
    <row r="28" spans="1:42" s="4" customFormat="1" x14ac:dyDescent="0.25">
      <c r="A28" s="3">
        <v>4604932</v>
      </c>
      <c r="B28" s="28">
        <v>42033</v>
      </c>
      <c r="C28" s="3" t="s">
        <v>392</v>
      </c>
      <c r="D28" s="3">
        <v>10004752</v>
      </c>
      <c r="E28" s="4">
        <v>4534283</v>
      </c>
      <c r="F28" s="3" t="s">
        <v>49</v>
      </c>
      <c r="G28" s="4" t="s">
        <v>517</v>
      </c>
      <c r="H28" s="4" t="s">
        <v>438</v>
      </c>
      <c r="I28" s="5">
        <v>115000</v>
      </c>
      <c r="J28" s="3" t="s">
        <v>518</v>
      </c>
      <c r="K28" s="3" t="s">
        <v>504</v>
      </c>
      <c r="L28" s="3" t="s">
        <v>196</v>
      </c>
      <c r="M28" s="4" t="s">
        <v>438</v>
      </c>
      <c r="N28" s="3" t="s">
        <v>25</v>
      </c>
      <c r="O28" s="3"/>
      <c r="Q28" s="3"/>
      <c r="R28" s="3"/>
      <c r="Y28" s="4" t="s">
        <v>431</v>
      </c>
      <c r="Z28" s="4" t="s">
        <v>431</v>
      </c>
      <c r="AB28" s="3"/>
      <c r="AC28" s="3"/>
      <c r="AD28" s="3" t="s">
        <v>485</v>
      </c>
      <c r="AE28" s="3">
        <v>1000</v>
      </c>
      <c r="AI28" s="4" t="s">
        <v>434</v>
      </c>
      <c r="AJ28" s="4" t="s">
        <v>434</v>
      </c>
      <c r="AK28" s="3"/>
      <c r="AL28" s="4">
        <v>43549</v>
      </c>
      <c r="AM28" s="5">
        <v>115000</v>
      </c>
      <c r="AN28" s="4" t="s">
        <v>124</v>
      </c>
      <c r="AO28" s="4">
        <v>98</v>
      </c>
      <c r="AP28" s="4">
        <v>80111600</v>
      </c>
    </row>
    <row r="29" spans="1:42" s="4" customFormat="1" x14ac:dyDescent="0.25">
      <c r="A29" s="3">
        <v>4604992</v>
      </c>
      <c r="B29" s="28">
        <v>42159</v>
      </c>
      <c r="C29" s="3" t="s">
        <v>392</v>
      </c>
      <c r="D29" s="3">
        <v>10004817</v>
      </c>
      <c r="E29" s="4">
        <v>4534343</v>
      </c>
      <c r="F29" s="3" t="s">
        <v>49</v>
      </c>
      <c r="G29" s="4" t="s">
        <v>463</v>
      </c>
      <c r="H29" s="4" t="s">
        <v>533</v>
      </c>
      <c r="I29" s="5">
        <v>16755.75</v>
      </c>
      <c r="J29" s="3" t="s">
        <v>317</v>
      </c>
      <c r="K29" s="3" t="s">
        <v>407</v>
      </c>
      <c r="L29" s="3" t="s">
        <v>196</v>
      </c>
      <c r="M29" s="4" t="s">
        <v>533</v>
      </c>
      <c r="N29" s="3" t="s">
        <v>25</v>
      </c>
      <c r="O29" s="3"/>
      <c r="Q29" s="3"/>
      <c r="R29" s="3"/>
      <c r="Y29" s="4" t="s">
        <v>466</v>
      </c>
      <c r="Z29" s="4" t="s">
        <v>466</v>
      </c>
      <c r="AB29" s="3"/>
      <c r="AC29" s="3"/>
      <c r="AD29" s="3" t="s">
        <v>534</v>
      </c>
      <c r="AE29" s="3">
        <v>1000</v>
      </c>
      <c r="AI29" s="4" t="s">
        <v>468</v>
      </c>
      <c r="AJ29" s="4" t="s">
        <v>468</v>
      </c>
      <c r="AK29" s="3"/>
      <c r="AL29" s="4">
        <v>141859</v>
      </c>
      <c r="AM29" s="5">
        <v>16755.75</v>
      </c>
      <c r="AN29" s="4" t="s">
        <v>124</v>
      </c>
      <c r="AO29" s="4">
        <v>99</v>
      </c>
      <c r="AP29" s="4">
        <v>43230000</v>
      </c>
    </row>
    <row r="30" spans="1:42" s="4" customFormat="1" x14ac:dyDescent="0.25">
      <c r="A30" s="3">
        <v>4605008</v>
      </c>
      <c r="B30" s="28">
        <v>42166</v>
      </c>
      <c r="C30" s="3" t="s">
        <v>392</v>
      </c>
      <c r="D30" s="3">
        <v>10004862</v>
      </c>
      <c r="E30" s="4">
        <v>4534359</v>
      </c>
      <c r="F30" s="3" t="s">
        <v>49</v>
      </c>
      <c r="G30" s="4" t="s">
        <v>536</v>
      </c>
      <c r="H30" s="4" t="s">
        <v>537</v>
      </c>
      <c r="I30" s="5">
        <v>35000</v>
      </c>
      <c r="J30" s="3" t="s">
        <v>535</v>
      </c>
      <c r="K30" s="3" t="s">
        <v>77</v>
      </c>
      <c r="L30" s="3" t="s">
        <v>196</v>
      </c>
      <c r="M30" s="4" t="s">
        <v>538</v>
      </c>
      <c r="N30" s="3" t="s">
        <v>25</v>
      </c>
      <c r="O30" s="3"/>
      <c r="Q30" s="3"/>
      <c r="R30" s="3"/>
      <c r="Y30" s="4" t="s">
        <v>539</v>
      </c>
      <c r="Z30" s="4" t="s">
        <v>540</v>
      </c>
      <c r="AB30" s="3"/>
      <c r="AC30" s="3"/>
      <c r="AD30" s="3" t="s">
        <v>535</v>
      </c>
      <c r="AE30" s="3">
        <v>1000</v>
      </c>
      <c r="AI30" s="4" t="s">
        <v>541</v>
      </c>
      <c r="AJ30" s="4" t="s">
        <v>542</v>
      </c>
      <c r="AK30" s="3"/>
      <c r="AL30" s="4">
        <v>140525</v>
      </c>
      <c r="AM30" s="5">
        <v>35000</v>
      </c>
      <c r="AN30" s="4" t="s">
        <v>124</v>
      </c>
      <c r="AO30" s="4">
        <v>99</v>
      </c>
      <c r="AP30" s="4">
        <v>80160000</v>
      </c>
    </row>
    <row r="31" spans="1:42" s="4" customFormat="1" x14ac:dyDescent="0.25">
      <c r="A31" s="3">
        <v>4603865</v>
      </c>
      <c r="B31" s="28">
        <v>41452</v>
      </c>
      <c r="C31" s="3" t="s">
        <v>560</v>
      </c>
      <c r="D31" s="3">
        <v>10003645</v>
      </c>
      <c r="E31" s="4">
        <v>4533216</v>
      </c>
      <c r="F31" s="3" t="s">
        <v>49</v>
      </c>
      <c r="G31" s="4" t="s">
        <v>637</v>
      </c>
      <c r="H31" s="4" t="s">
        <v>638</v>
      </c>
      <c r="I31" s="5">
        <v>10000</v>
      </c>
      <c r="J31" s="3" t="s">
        <v>631</v>
      </c>
      <c r="K31" s="3" t="s">
        <v>620</v>
      </c>
      <c r="L31" s="3" t="s">
        <v>196</v>
      </c>
      <c r="M31" s="4" t="s">
        <v>638</v>
      </c>
      <c r="N31" s="3" t="s">
        <v>25</v>
      </c>
      <c r="O31" s="3"/>
      <c r="Q31" s="3"/>
      <c r="R31" s="3"/>
      <c r="Y31" s="4" t="s">
        <v>639</v>
      </c>
      <c r="Z31" s="4" t="s">
        <v>639</v>
      </c>
      <c r="AA31" s="4" t="s">
        <v>640</v>
      </c>
      <c r="AB31" s="3"/>
      <c r="AC31" s="3"/>
      <c r="AD31" s="3" t="s">
        <v>636</v>
      </c>
      <c r="AE31" s="3">
        <v>1000</v>
      </c>
      <c r="AI31" s="4" t="s">
        <v>641</v>
      </c>
      <c r="AJ31" s="4" t="s">
        <v>641</v>
      </c>
      <c r="AK31" s="3"/>
      <c r="AL31" s="4">
        <v>40566</v>
      </c>
      <c r="AM31" s="5">
        <v>10000</v>
      </c>
      <c r="AN31" s="4" t="s">
        <v>124</v>
      </c>
      <c r="AO31" s="4">
        <v>99</v>
      </c>
      <c r="AP31" s="4">
        <v>80101604</v>
      </c>
    </row>
    <row r="32" spans="1:42" s="4" customFormat="1" x14ac:dyDescent="0.25">
      <c r="A32" s="3">
        <v>4604501</v>
      </c>
      <c r="B32" s="28">
        <v>41788</v>
      </c>
      <c r="C32" s="3" t="s">
        <v>560</v>
      </c>
      <c r="D32" s="3">
        <v>10004283</v>
      </c>
      <c r="E32" s="4">
        <v>4533852</v>
      </c>
      <c r="F32" s="3" t="s">
        <v>49</v>
      </c>
      <c r="G32" s="4" t="s">
        <v>743</v>
      </c>
      <c r="I32" s="5">
        <v>6384.04</v>
      </c>
      <c r="J32" s="3" t="s">
        <v>744</v>
      </c>
      <c r="K32" s="3" t="s">
        <v>745</v>
      </c>
      <c r="L32" s="3" t="s">
        <v>196</v>
      </c>
      <c r="M32" s="4" t="s">
        <v>746</v>
      </c>
      <c r="N32" s="3" t="s">
        <v>25</v>
      </c>
      <c r="O32" s="3"/>
      <c r="Q32" s="3"/>
      <c r="R32" s="3"/>
      <c r="Y32" s="4" t="s">
        <v>747</v>
      </c>
      <c r="Z32" s="4" t="s">
        <v>747</v>
      </c>
      <c r="AB32" s="3"/>
      <c r="AC32" s="3"/>
      <c r="AD32" s="3" t="s">
        <v>748</v>
      </c>
      <c r="AE32" s="3">
        <v>1000</v>
      </c>
      <c r="AI32" s="4" t="s">
        <v>749</v>
      </c>
      <c r="AJ32" s="4" t="s">
        <v>749</v>
      </c>
      <c r="AK32" s="3"/>
      <c r="AL32" s="4">
        <v>141745</v>
      </c>
      <c r="AM32" s="5">
        <v>6384.04</v>
      </c>
      <c r="AN32" s="4" t="s">
        <v>124</v>
      </c>
    </row>
    <row r="33" spans="1:42" s="4" customFormat="1" x14ac:dyDescent="0.25">
      <c r="A33" s="3">
        <v>4604543</v>
      </c>
      <c r="B33" s="28">
        <v>41808</v>
      </c>
      <c r="C33" s="3" t="s">
        <v>560</v>
      </c>
      <c r="D33" s="3">
        <v>10004331</v>
      </c>
      <c r="E33" s="4">
        <v>4533894</v>
      </c>
      <c r="F33" s="3" t="s">
        <v>49</v>
      </c>
      <c r="G33" s="4" t="s">
        <v>305</v>
      </c>
      <c r="H33" s="4" t="s">
        <v>759</v>
      </c>
      <c r="I33" s="5">
        <v>33000</v>
      </c>
      <c r="J33" s="3" t="s">
        <v>265</v>
      </c>
      <c r="K33" s="3" t="s">
        <v>223</v>
      </c>
      <c r="L33" s="3" t="s">
        <v>196</v>
      </c>
      <c r="M33" s="4" t="s">
        <v>759</v>
      </c>
      <c r="N33" s="3" t="s">
        <v>25</v>
      </c>
      <c r="O33" s="3"/>
      <c r="Q33" s="3" t="s">
        <v>139</v>
      </c>
      <c r="R33" s="3" t="s">
        <v>119</v>
      </c>
      <c r="S33" s="4" t="s">
        <v>217</v>
      </c>
      <c r="T33" s="4" t="s">
        <v>760</v>
      </c>
      <c r="U33" s="4" t="s">
        <v>139</v>
      </c>
      <c r="V33" s="4" t="s">
        <v>119</v>
      </c>
      <c r="W33" s="4" t="s">
        <v>217</v>
      </c>
      <c r="X33" s="4" t="s">
        <v>760</v>
      </c>
      <c r="Y33" s="4" t="s">
        <v>761</v>
      </c>
      <c r="Z33" s="4" t="s">
        <v>761</v>
      </c>
      <c r="AB33" s="3"/>
      <c r="AC33" s="3"/>
      <c r="AD33" s="3" t="s">
        <v>192</v>
      </c>
      <c r="AE33" s="3">
        <v>1000</v>
      </c>
      <c r="AI33" s="4" t="s">
        <v>762</v>
      </c>
      <c r="AJ33" s="4" t="s">
        <v>762</v>
      </c>
      <c r="AK33" s="3"/>
      <c r="AL33" s="4">
        <v>141704</v>
      </c>
      <c r="AM33" s="5">
        <v>33000</v>
      </c>
      <c r="AN33" s="4" t="s">
        <v>124</v>
      </c>
      <c r="AO33" s="4">
        <v>99</v>
      </c>
      <c r="AP33" s="4">
        <v>80110000</v>
      </c>
    </row>
    <row r="34" spans="1:42" s="4" customFormat="1" x14ac:dyDescent="0.25">
      <c r="A34" s="3">
        <v>4604633</v>
      </c>
      <c r="B34" s="28">
        <v>41575</v>
      </c>
      <c r="C34" s="3" t="s">
        <v>560</v>
      </c>
      <c r="D34" s="3">
        <v>10004429</v>
      </c>
      <c r="E34" s="4">
        <v>4533984</v>
      </c>
      <c r="F34" s="3" t="s">
        <v>49</v>
      </c>
      <c r="G34" s="4" t="s">
        <v>763</v>
      </c>
      <c r="H34" s="4" t="s">
        <v>764</v>
      </c>
      <c r="I34" s="5">
        <v>10670</v>
      </c>
      <c r="J34" s="3" t="s">
        <v>765</v>
      </c>
      <c r="K34" s="3" t="s">
        <v>259</v>
      </c>
      <c r="L34" s="3" t="s">
        <v>196</v>
      </c>
      <c r="M34" s="4" t="s">
        <v>766</v>
      </c>
      <c r="N34" s="3" t="s">
        <v>25</v>
      </c>
      <c r="O34" s="3"/>
      <c r="Q34" s="3"/>
      <c r="R34" s="3"/>
      <c r="Y34" s="4" t="s">
        <v>767</v>
      </c>
      <c r="Z34" s="4" t="s">
        <v>767</v>
      </c>
      <c r="AB34" s="3"/>
      <c r="AC34" s="3"/>
      <c r="AD34" s="3" t="s">
        <v>768</v>
      </c>
      <c r="AE34" s="3">
        <v>1000</v>
      </c>
      <c r="AI34" s="4" t="s">
        <v>769</v>
      </c>
      <c r="AJ34" s="4" t="s">
        <v>769</v>
      </c>
      <c r="AK34" s="3"/>
      <c r="AL34" s="4">
        <v>30265</v>
      </c>
      <c r="AM34" s="5">
        <v>10670</v>
      </c>
      <c r="AN34" s="4" t="s">
        <v>124</v>
      </c>
      <c r="AO34" s="4">
        <v>99</v>
      </c>
      <c r="AP34" s="4">
        <v>80141607</v>
      </c>
    </row>
    <row r="35" spans="1:42" s="4" customFormat="1" x14ac:dyDescent="0.25">
      <c r="A35" s="3">
        <v>4604651</v>
      </c>
      <c r="B35" s="28">
        <v>41809</v>
      </c>
      <c r="C35" s="3" t="s">
        <v>560</v>
      </c>
      <c r="D35" s="3">
        <v>10004446</v>
      </c>
      <c r="E35" s="4">
        <v>4534002</v>
      </c>
      <c r="F35" s="3" t="s">
        <v>49</v>
      </c>
      <c r="G35" s="4" t="s">
        <v>770</v>
      </c>
      <c r="H35" s="4" t="s">
        <v>771</v>
      </c>
      <c r="I35" s="5">
        <v>130470</v>
      </c>
      <c r="J35" s="3" t="s">
        <v>772</v>
      </c>
      <c r="K35" s="3" t="s">
        <v>275</v>
      </c>
      <c r="L35" s="3" t="s">
        <v>196</v>
      </c>
      <c r="M35" s="4" t="s">
        <v>771</v>
      </c>
      <c r="N35" s="3" t="s">
        <v>25</v>
      </c>
      <c r="O35" s="3"/>
      <c r="Q35" s="3"/>
      <c r="R35" s="3"/>
      <c r="Y35" s="4" t="s">
        <v>773</v>
      </c>
      <c r="Z35" s="4" t="s">
        <v>773</v>
      </c>
      <c r="AB35" s="3"/>
      <c r="AC35" s="3"/>
      <c r="AD35" s="3" t="s">
        <v>774</v>
      </c>
      <c r="AE35" s="3">
        <v>1000</v>
      </c>
      <c r="AI35" s="4" t="s">
        <v>775</v>
      </c>
      <c r="AJ35" s="4" t="s">
        <v>775</v>
      </c>
      <c r="AK35" s="3"/>
      <c r="AL35" s="4">
        <v>141780</v>
      </c>
      <c r="AM35" s="5">
        <v>130470</v>
      </c>
      <c r="AN35" s="4" t="s">
        <v>124</v>
      </c>
      <c r="AO35" s="4">
        <v>99</v>
      </c>
      <c r="AP35" s="4">
        <v>90111601</v>
      </c>
    </row>
    <row r="36" spans="1:42" s="4" customFormat="1" x14ac:dyDescent="0.25">
      <c r="A36" s="3">
        <v>4604668</v>
      </c>
      <c r="B36" s="28">
        <v>41815</v>
      </c>
      <c r="C36" s="3" t="s">
        <v>560</v>
      </c>
      <c r="D36" s="3">
        <v>10004348</v>
      </c>
      <c r="E36" s="4">
        <v>4534019</v>
      </c>
      <c r="F36" s="3" t="s">
        <v>49</v>
      </c>
      <c r="G36" s="4" t="s">
        <v>336</v>
      </c>
      <c r="H36" s="4" t="s">
        <v>777</v>
      </c>
      <c r="I36" s="5">
        <v>60493.95</v>
      </c>
      <c r="J36" s="3" t="s">
        <v>577</v>
      </c>
      <c r="K36" s="3" t="s">
        <v>778</v>
      </c>
      <c r="L36" s="3" t="s">
        <v>196</v>
      </c>
      <c r="M36" s="4" t="s">
        <v>777</v>
      </c>
      <c r="N36" s="3" t="s">
        <v>25</v>
      </c>
      <c r="O36" s="3"/>
      <c r="Q36" s="3"/>
      <c r="R36" s="3"/>
      <c r="Y36" s="4" t="s">
        <v>779</v>
      </c>
      <c r="Z36" s="4" t="s">
        <v>779</v>
      </c>
      <c r="AB36" s="3"/>
      <c r="AC36" s="3"/>
      <c r="AD36" s="3" t="s">
        <v>183</v>
      </c>
      <c r="AE36" s="3">
        <v>1000</v>
      </c>
      <c r="AI36" s="4" t="s">
        <v>780</v>
      </c>
      <c r="AJ36" s="4" t="s">
        <v>780</v>
      </c>
      <c r="AK36" s="3"/>
      <c r="AL36" s="4">
        <v>141787</v>
      </c>
      <c r="AM36" s="5">
        <v>60493.95</v>
      </c>
      <c r="AN36" s="4" t="s">
        <v>124</v>
      </c>
      <c r="AO36" s="4">
        <v>99</v>
      </c>
      <c r="AP36" s="4">
        <v>82121506</v>
      </c>
    </row>
    <row r="37" spans="1:42" s="4" customFormat="1" x14ac:dyDescent="0.25">
      <c r="A37" s="3">
        <v>4604688</v>
      </c>
      <c r="B37" s="28">
        <v>41913</v>
      </c>
      <c r="C37" s="3" t="s">
        <v>560</v>
      </c>
      <c r="D37" s="3">
        <v>10004446</v>
      </c>
      <c r="E37" s="4">
        <v>4534039</v>
      </c>
      <c r="F37" s="3" t="s">
        <v>49</v>
      </c>
      <c r="G37" s="4" t="s">
        <v>781</v>
      </c>
      <c r="H37" s="4" t="s">
        <v>782</v>
      </c>
      <c r="I37" s="5">
        <v>17470</v>
      </c>
      <c r="J37" s="3" t="s">
        <v>173</v>
      </c>
      <c r="K37" s="3" t="s">
        <v>173</v>
      </c>
      <c r="L37" s="3" t="s">
        <v>196</v>
      </c>
      <c r="M37" s="4" t="s">
        <v>781</v>
      </c>
      <c r="N37" s="3" t="s">
        <v>25</v>
      </c>
      <c r="O37" s="3"/>
      <c r="Q37" s="3"/>
      <c r="R37" s="3"/>
      <c r="Y37" s="4" t="s">
        <v>747</v>
      </c>
      <c r="Z37" s="4" t="s">
        <v>747</v>
      </c>
      <c r="AB37" s="3"/>
      <c r="AC37" s="3"/>
      <c r="AD37" s="3" t="s">
        <v>301</v>
      </c>
      <c r="AE37" s="3">
        <v>1000</v>
      </c>
      <c r="AI37" s="4" t="s">
        <v>749</v>
      </c>
      <c r="AJ37" s="4" t="s">
        <v>749</v>
      </c>
      <c r="AK37" s="3"/>
      <c r="AL37" s="4">
        <v>141791</v>
      </c>
      <c r="AM37" s="5">
        <v>17470</v>
      </c>
      <c r="AN37" s="4" t="s">
        <v>124</v>
      </c>
      <c r="AO37" s="4">
        <v>99</v>
      </c>
      <c r="AP37" s="4">
        <v>90110000</v>
      </c>
    </row>
    <row r="38" spans="1:42" s="4" customFormat="1" x14ac:dyDescent="0.25">
      <c r="A38" s="3">
        <v>4604690</v>
      </c>
      <c r="B38" s="28">
        <v>41911</v>
      </c>
      <c r="C38" s="3" t="s">
        <v>560</v>
      </c>
      <c r="D38" s="3">
        <v>10004446</v>
      </c>
      <c r="E38" s="4">
        <v>4534041</v>
      </c>
      <c r="F38" s="3" t="s">
        <v>49</v>
      </c>
      <c r="G38" s="4" t="s">
        <v>784</v>
      </c>
      <c r="H38" s="4" t="s">
        <v>785</v>
      </c>
      <c r="I38" s="5">
        <v>18000</v>
      </c>
      <c r="J38" s="3" t="s">
        <v>783</v>
      </c>
      <c r="K38" s="3" t="s">
        <v>783</v>
      </c>
      <c r="L38" s="3" t="s">
        <v>196</v>
      </c>
      <c r="M38" s="4" t="s">
        <v>785</v>
      </c>
      <c r="N38" s="3" t="s">
        <v>25</v>
      </c>
      <c r="O38" s="3"/>
      <c r="Q38" s="3"/>
      <c r="R38" s="3"/>
      <c r="Y38" s="4" t="s">
        <v>747</v>
      </c>
      <c r="Z38" s="4" t="s">
        <v>747</v>
      </c>
      <c r="AB38" s="3"/>
      <c r="AC38" s="3"/>
      <c r="AD38" s="3" t="s">
        <v>786</v>
      </c>
      <c r="AE38" s="3">
        <v>1000</v>
      </c>
      <c r="AI38" s="4" t="s">
        <v>749</v>
      </c>
      <c r="AJ38" s="4" t="s">
        <v>749</v>
      </c>
      <c r="AK38" s="3"/>
      <c r="AL38" s="4">
        <v>141792</v>
      </c>
      <c r="AM38" s="5">
        <v>18000</v>
      </c>
      <c r="AN38" s="4" t="s">
        <v>124</v>
      </c>
      <c r="AO38" s="4">
        <v>99</v>
      </c>
      <c r="AP38" s="4">
        <v>90110000</v>
      </c>
    </row>
    <row r="39" spans="1:42" s="4" customFormat="1" x14ac:dyDescent="0.25">
      <c r="A39" s="3">
        <v>4604691</v>
      </c>
      <c r="B39" s="28">
        <v>41809</v>
      </c>
      <c r="C39" s="3" t="s">
        <v>560</v>
      </c>
      <c r="D39" s="3">
        <v>10004446</v>
      </c>
      <c r="E39" s="4">
        <v>4534042</v>
      </c>
      <c r="F39" s="3" t="s">
        <v>49</v>
      </c>
      <c r="G39" s="4" t="s">
        <v>770</v>
      </c>
      <c r="H39" s="4" t="s">
        <v>771</v>
      </c>
      <c r="I39" s="5">
        <v>130470</v>
      </c>
      <c r="J39" s="3" t="s">
        <v>772</v>
      </c>
      <c r="K39" s="3" t="s">
        <v>275</v>
      </c>
      <c r="L39" s="3" t="s">
        <v>196</v>
      </c>
      <c r="M39" s="4" t="s">
        <v>771</v>
      </c>
      <c r="N39" s="3" t="s">
        <v>25</v>
      </c>
      <c r="O39" s="3"/>
      <c r="Q39" s="3"/>
      <c r="R39" s="3"/>
      <c r="Y39" s="4" t="s">
        <v>747</v>
      </c>
      <c r="Z39" s="4" t="s">
        <v>747</v>
      </c>
      <c r="AB39" s="3"/>
      <c r="AC39" s="3"/>
      <c r="AD39" s="3" t="s">
        <v>786</v>
      </c>
      <c r="AE39" s="3">
        <v>1000</v>
      </c>
      <c r="AI39" s="4" t="s">
        <v>749</v>
      </c>
      <c r="AJ39" s="4" t="s">
        <v>749</v>
      </c>
      <c r="AK39" s="3"/>
      <c r="AL39" s="4">
        <v>141780</v>
      </c>
      <c r="AM39" s="5">
        <v>130470</v>
      </c>
      <c r="AN39" s="4" t="s">
        <v>124</v>
      </c>
      <c r="AO39" s="4">
        <v>99</v>
      </c>
      <c r="AP39" s="4">
        <v>90111601</v>
      </c>
    </row>
    <row r="40" spans="1:42" s="4" customFormat="1" x14ac:dyDescent="0.25">
      <c r="A40" s="3">
        <v>4604700</v>
      </c>
      <c r="B40" s="28">
        <v>41909</v>
      </c>
      <c r="C40" s="3" t="s">
        <v>560</v>
      </c>
      <c r="D40" s="3">
        <v>10004446</v>
      </c>
      <c r="E40" s="4">
        <v>4534051</v>
      </c>
      <c r="F40" s="3" t="s">
        <v>49</v>
      </c>
      <c r="G40" s="4" t="s">
        <v>770</v>
      </c>
      <c r="H40" s="4" t="s">
        <v>771</v>
      </c>
      <c r="I40" s="5">
        <v>17980</v>
      </c>
      <c r="J40" s="3" t="s">
        <v>792</v>
      </c>
      <c r="K40" s="3" t="s">
        <v>275</v>
      </c>
      <c r="L40" s="3" t="s">
        <v>196</v>
      </c>
      <c r="M40" s="4" t="s">
        <v>771</v>
      </c>
      <c r="N40" s="3" t="s">
        <v>25</v>
      </c>
      <c r="O40" s="3"/>
      <c r="Q40" s="3"/>
      <c r="R40" s="3"/>
      <c r="Y40" s="4" t="s">
        <v>747</v>
      </c>
      <c r="Z40" s="4" t="s">
        <v>747</v>
      </c>
      <c r="AB40" s="3"/>
      <c r="AC40" s="3"/>
      <c r="AD40" s="3" t="s">
        <v>793</v>
      </c>
      <c r="AE40" s="3">
        <v>1000</v>
      </c>
      <c r="AI40" s="4" t="s">
        <v>749</v>
      </c>
      <c r="AJ40" s="4" t="s">
        <v>749</v>
      </c>
      <c r="AK40" s="3"/>
      <c r="AL40" s="4">
        <v>141780</v>
      </c>
      <c r="AM40" s="5">
        <v>17980</v>
      </c>
      <c r="AN40" s="4" t="s">
        <v>124</v>
      </c>
      <c r="AO40" s="4">
        <v>99</v>
      </c>
      <c r="AP40" s="4">
        <v>90111800</v>
      </c>
    </row>
    <row r="41" spans="1:42" s="4" customFormat="1" x14ac:dyDescent="0.25">
      <c r="A41" s="3">
        <v>4604706</v>
      </c>
      <c r="B41" s="28">
        <v>41909</v>
      </c>
      <c r="C41" s="3" t="s">
        <v>560</v>
      </c>
      <c r="D41" s="3">
        <v>10004446</v>
      </c>
      <c r="E41" s="4">
        <v>4534057</v>
      </c>
      <c r="F41" s="3" t="s">
        <v>49</v>
      </c>
      <c r="G41" s="4" t="s">
        <v>770</v>
      </c>
      <c r="I41" s="4">
        <v>320</v>
      </c>
      <c r="J41" s="3" t="s">
        <v>792</v>
      </c>
      <c r="K41" s="3" t="s">
        <v>275</v>
      </c>
      <c r="L41" s="3" t="s">
        <v>196</v>
      </c>
      <c r="M41" s="4" t="s">
        <v>771</v>
      </c>
      <c r="N41" s="3" t="s">
        <v>25</v>
      </c>
      <c r="O41" s="3"/>
      <c r="Q41" s="3"/>
      <c r="R41" s="3"/>
      <c r="Y41" s="4" t="s">
        <v>747</v>
      </c>
      <c r="Z41" s="4" t="s">
        <v>747</v>
      </c>
      <c r="AB41" s="3"/>
      <c r="AC41" s="3"/>
      <c r="AD41" s="3" t="s">
        <v>794</v>
      </c>
      <c r="AE41" s="3">
        <v>1000</v>
      </c>
      <c r="AI41" s="4" t="s">
        <v>749</v>
      </c>
      <c r="AJ41" s="4" t="s">
        <v>749</v>
      </c>
      <c r="AK41" s="3"/>
      <c r="AL41" s="4">
        <v>141780</v>
      </c>
      <c r="AM41" s="4">
        <v>320</v>
      </c>
      <c r="AN41" s="4" t="s">
        <v>124</v>
      </c>
    </row>
    <row r="42" spans="1:42" s="4" customFormat="1" x14ac:dyDescent="0.25">
      <c r="A42" s="3">
        <v>4604710</v>
      </c>
      <c r="B42" s="28">
        <v>41913</v>
      </c>
      <c r="C42" s="3" t="s">
        <v>560</v>
      </c>
      <c r="D42" s="3">
        <v>10004446</v>
      </c>
      <c r="E42" s="4">
        <v>4534061</v>
      </c>
      <c r="F42" s="3" t="s">
        <v>49</v>
      </c>
      <c r="G42" s="4" t="s">
        <v>781</v>
      </c>
      <c r="I42" s="5">
        <v>3118.65</v>
      </c>
      <c r="J42" s="3" t="s">
        <v>173</v>
      </c>
      <c r="K42" s="3" t="s">
        <v>173</v>
      </c>
      <c r="L42" s="3" t="s">
        <v>196</v>
      </c>
      <c r="M42" s="4" t="s">
        <v>782</v>
      </c>
      <c r="N42" s="3" t="s">
        <v>25</v>
      </c>
      <c r="O42" s="3"/>
      <c r="Q42" s="3"/>
      <c r="R42" s="3"/>
      <c r="Y42" s="4" t="s">
        <v>747</v>
      </c>
      <c r="Z42" s="4" t="s">
        <v>747</v>
      </c>
      <c r="AB42" s="3"/>
      <c r="AC42" s="3"/>
      <c r="AD42" s="3" t="s">
        <v>301</v>
      </c>
      <c r="AE42" s="3">
        <v>1000</v>
      </c>
      <c r="AI42" s="4" t="s">
        <v>749</v>
      </c>
      <c r="AJ42" s="4" t="s">
        <v>749</v>
      </c>
      <c r="AK42" s="3"/>
      <c r="AL42" s="4">
        <v>141791</v>
      </c>
      <c r="AM42" s="5">
        <v>3118.65</v>
      </c>
      <c r="AN42" s="4" t="s">
        <v>124</v>
      </c>
    </row>
    <row r="43" spans="1:42" s="4" customFormat="1" x14ac:dyDescent="0.25">
      <c r="A43" s="3">
        <v>4604728</v>
      </c>
      <c r="B43" s="28">
        <v>41913</v>
      </c>
      <c r="C43" s="3" t="s">
        <v>560</v>
      </c>
      <c r="D43" s="3">
        <v>10004446</v>
      </c>
      <c r="E43" s="4">
        <v>4534079</v>
      </c>
      <c r="F43" s="3" t="s">
        <v>49</v>
      </c>
      <c r="G43" s="4" t="s">
        <v>781</v>
      </c>
      <c r="I43" s="4">
        <v>600</v>
      </c>
      <c r="J43" s="3" t="s">
        <v>173</v>
      </c>
      <c r="K43" s="3" t="s">
        <v>173</v>
      </c>
      <c r="L43" s="3" t="s">
        <v>196</v>
      </c>
      <c r="M43" s="4" t="s">
        <v>782</v>
      </c>
      <c r="N43" s="3" t="s">
        <v>25</v>
      </c>
      <c r="O43" s="3"/>
      <c r="Q43" s="3"/>
      <c r="R43" s="3"/>
      <c r="Y43" s="4" t="s">
        <v>747</v>
      </c>
      <c r="Z43" s="4" t="s">
        <v>747</v>
      </c>
      <c r="AB43" s="3"/>
      <c r="AC43" s="3"/>
      <c r="AD43" s="3" t="s">
        <v>795</v>
      </c>
      <c r="AE43" s="3">
        <v>1000</v>
      </c>
      <c r="AI43" s="4" t="s">
        <v>749</v>
      </c>
      <c r="AJ43" s="4" t="s">
        <v>749</v>
      </c>
      <c r="AK43" s="3"/>
      <c r="AL43" s="4">
        <v>141791</v>
      </c>
      <c r="AM43" s="4">
        <v>600</v>
      </c>
      <c r="AN43" s="4" t="s">
        <v>124</v>
      </c>
    </row>
    <row r="44" spans="1:42" s="4" customFormat="1" x14ac:dyDescent="0.25">
      <c r="A44" s="3">
        <v>4604080</v>
      </c>
      <c r="B44" s="28">
        <v>41813</v>
      </c>
      <c r="C44" s="3" t="s">
        <v>797</v>
      </c>
      <c r="D44" s="3">
        <v>10003841</v>
      </c>
      <c r="E44" s="4">
        <v>4533431</v>
      </c>
      <c r="F44" s="3" t="s">
        <v>49</v>
      </c>
      <c r="G44" s="4" t="s">
        <v>995</v>
      </c>
      <c r="H44" s="4" t="s">
        <v>996</v>
      </c>
      <c r="I44" s="5">
        <v>24310</v>
      </c>
      <c r="J44" s="3" t="s">
        <v>650</v>
      </c>
      <c r="K44" s="3" t="s">
        <v>997</v>
      </c>
      <c r="L44" s="3" t="s">
        <v>196</v>
      </c>
      <c r="M44" s="4" t="s">
        <v>998</v>
      </c>
      <c r="N44" s="3" t="s">
        <v>25</v>
      </c>
      <c r="O44" s="3"/>
      <c r="Q44" s="3"/>
      <c r="R44" s="3"/>
      <c r="Y44" s="4" t="s">
        <v>298</v>
      </c>
      <c r="Z44" s="4" t="s">
        <v>298</v>
      </c>
      <c r="AB44" s="3"/>
      <c r="AC44" s="3"/>
      <c r="AD44" s="3" t="s">
        <v>122</v>
      </c>
      <c r="AE44" s="3">
        <v>1000</v>
      </c>
      <c r="AI44" s="4" t="s">
        <v>300</v>
      </c>
      <c r="AJ44" s="4" t="s">
        <v>300</v>
      </c>
      <c r="AK44" s="3"/>
      <c r="AL44" s="4">
        <v>140353</v>
      </c>
      <c r="AM44" s="5">
        <v>24310</v>
      </c>
      <c r="AN44" s="4" t="s">
        <v>124</v>
      </c>
      <c r="AO44" s="4">
        <v>99</v>
      </c>
      <c r="AP44" s="4">
        <v>81112200</v>
      </c>
    </row>
    <row r="45" spans="1:42" s="4" customFormat="1" x14ac:dyDescent="0.25">
      <c r="A45" s="3">
        <v>4603195</v>
      </c>
      <c r="B45" s="28">
        <v>42184</v>
      </c>
      <c r="C45" s="3" t="s">
        <v>1042</v>
      </c>
      <c r="D45" s="3">
        <v>10003047</v>
      </c>
      <c r="E45" s="4">
        <v>4532546</v>
      </c>
      <c r="F45" s="3" t="s">
        <v>49</v>
      </c>
      <c r="G45" s="4" t="s">
        <v>1118</v>
      </c>
      <c r="H45" s="4" t="s">
        <v>1119</v>
      </c>
      <c r="I45" s="5">
        <v>38940</v>
      </c>
      <c r="J45" s="3" t="s">
        <v>1120</v>
      </c>
      <c r="K45" s="3" t="s">
        <v>363</v>
      </c>
      <c r="L45" s="3" t="s">
        <v>196</v>
      </c>
      <c r="M45" s="4" t="s">
        <v>1119</v>
      </c>
      <c r="N45" s="3" t="s">
        <v>25</v>
      </c>
      <c r="O45" s="3"/>
      <c r="Q45" s="3"/>
      <c r="R45" s="3"/>
      <c r="Y45" s="4" t="s">
        <v>540</v>
      </c>
      <c r="Z45" s="4" t="s">
        <v>1090</v>
      </c>
      <c r="AB45" s="3"/>
      <c r="AC45" s="3"/>
      <c r="AD45" s="3" t="s">
        <v>287</v>
      </c>
      <c r="AE45" s="3">
        <v>1000</v>
      </c>
      <c r="AI45" s="4" t="s">
        <v>542</v>
      </c>
      <c r="AJ45" s="4" t="s">
        <v>1091</v>
      </c>
      <c r="AK45" s="3"/>
      <c r="AL45" s="4">
        <v>140597</v>
      </c>
      <c r="AM45" s="5">
        <v>38940</v>
      </c>
      <c r="AN45" s="4" t="s">
        <v>124</v>
      </c>
      <c r="AO45" s="4">
        <v>98</v>
      </c>
      <c r="AP45" s="4">
        <v>46171619</v>
      </c>
    </row>
    <row r="46" spans="1:42" s="4" customFormat="1" x14ac:dyDescent="0.25">
      <c r="A46" s="3">
        <v>4603609</v>
      </c>
      <c r="B46" s="28">
        <v>42143</v>
      </c>
      <c r="C46" s="3" t="s">
        <v>1042</v>
      </c>
      <c r="D46" s="3">
        <v>10003450</v>
      </c>
      <c r="E46" s="4">
        <v>4532960</v>
      </c>
      <c r="F46" s="3" t="s">
        <v>49</v>
      </c>
      <c r="G46" s="4" t="s">
        <v>1150</v>
      </c>
      <c r="H46" s="4" t="s">
        <v>1151</v>
      </c>
      <c r="I46" s="5">
        <v>149728</v>
      </c>
      <c r="J46" s="3" t="s">
        <v>955</v>
      </c>
      <c r="K46" s="3" t="s">
        <v>1152</v>
      </c>
      <c r="L46" s="3" t="s">
        <v>196</v>
      </c>
      <c r="M46" s="4" t="s">
        <v>1151</v>
      </c>
      <c r="N46" s="3" t="s">
        <v>25</v>
      </c>
      <c r="O46" s="3"/>
      <c r="Q46" s="3"/>
      <c r="R46" s="3"/>
      <c r="Y46" s="4" t="s">
        <v>1068</v>
      </c>
      <c r="Z46" s="4" t="s">
        <v>1090</v>
      </c>
      <c r="AB46" s="3"/>
      <c r="AC46" s="3"/>
      <c r="AD46" s="3" t="s">
        <v>419</v>
      </c>
      <c r="AE46" s="3">
        <v>1000</v>
      </c>
      <c r="AI46" s="4" t="s">
        <v>1071</v>
      </c>
      <c r="AJ46" s="4" t="s">
        <v>1091</v>
      </c>
      <c r="AK46" s="3"/>
      <c r="AL46" s="4">
        <v>49719</v>
      </c>
      <c r="AM46" s="5">
        <v>149728</v>
      </c>
      <c r="AN46" s="4" t="s">
        <v>124</v>
      </c>
      <c r="AO46" s="4">
        <v>98</v>
      </c>
      <c r="AP46" s="4">
        <v>46171619</v>
      </c>
    </row>
    <row r="47" spans="1:42" s="4" customFormat="1" x14ac:dyDescent="0.25">
      <c r="A47" s="3">
        <v>4603694</v>
      </c>
      <c r="B47" s="28">
        <v>41830</v>
      </c>
      <c r="C47" s="3" t="s">
        <v>1042</v>
      </c>
      <c r="D47" s="3">
        <v>10003543</v>
      </c>
      <c r="E47" s="4">
        <v>4533045</v>
      </c>
      <c r="F47" s="3" t="s">
        <v>49</v>
      </c>
      <c r="G47" s="4" t="s">
        <v>1164</v>
      </c>
      <c r="H47" s="4" t="s">
        <v>1165</v>
      </c>
      <c r="I47" s="5">
        <v>693954.1</v>
      </c>
      <c r="J47" s="3" t="s">
        <v>1166</v>
      </c>
      <c r="K47" s="3" t="s">
        <v>1167</v>
      </c>
      <c r="L47" s="3" t="s">
        <v>196</v>
      </c>
      <c r="M47" s="4" t="s">
        <v>1168</v>
      </c>
      <c r="N47" s="3" t="s">
        <v>25</v>
      </c>
      <c r="O47" s="3"/>
      <c r="Q47" s="3"/>
      <c r="R47" s="3"/>
      <c r="Y47" s="4" t="s">
        <v>1056</v>
      </c>
      <c r="Z47" s="4" t="s">
        <v>1090</v>
      </c>
      <c r="AB47" s="3"/>
      <c r="AC47" s="3"/>
      <c r="AD47" s="3" t="s">
        <v>284</v>
      </c>
      <c r="AE47" s="3">
        <v>1000</v>
      </c>
      <c r="AI47" s="4" t="s">
        <v>1058</v>
      </c>
      <c r="AJ47" s="4" t="s">
        <v>1091</v>
      </c>
      <c r="AK47" s="3"/>
      <c r="AL47" s="4">
        <v>45277</v>
      </c>
      <c r="AM47" s="5">
        <v>693954.1</v>
      </c>
      <c r="AN47" s="4" t="s">
        <v>124</v>
      </c>
      <c r="AO47" s="4">
        <v>97</v>
      </c>
      <c r="AP47" s="4">
        <v>83112200</v>
      </c>
    </row>
    <row r="48" spans="1:42" s="4" customFormat="1" x14ac:dyDescent="0.25">
      <c r="A48" s="3">
        <v>4603844</v>
      </c>
      <c r="B48" s="28">
        <v>41457</v>
      </c>
      <c r="C48" s="3" t="s">
        <v>1042</v>
      </c>
      <c r="D48" s="3">
        <v>10003661</v>
      </c>
      <c r="E48" s="4">
        <v>4533195</v>
      </c>
      <c r="F48" s="3" t="s">
        <v>49</v>
      </c>
      <c r="G48" s="4" t="s">
        <v>1183</v>
      </c>
      <c r="H48" s="4" t="s">
        <v>1184</v>
      </c>
      <c r="I48" s="5">
        <v>212675</v>
      </c>
      <c r="J48" s="3" t="s">
        <v>150</v>
      </c>
      <c r="K48" s="3" t="s">
        <v>1185</v>
      </c>
      <c r="L48" s="3" t="s">
        <v>196</v>
      </c>
      <c r="M48" s="4" t="s">
        <v>1186</v>
      </c>
      <c r="N48" s="3" t="s">
        <v>25</v>
      </c>
      <c r="O48" s="3"/>
      <c r="Q48" s="3"/>
      <c r="R48" s="3"/>
      <c r="Y48" s="4" t="s">
        <v>1056</v>
      </c>
      <c r="Z48" s="4" t="s">
        <v>605</v>
      </c>
      <c r="AB48" s="3"/>
      <c r="AC48" s="3"/>
      <c r="AD48" s="3" t="s">
        <v>297</v>
      </c>
      <c r="AE48" s="3">
        <v>1000</v>
      </c>
      <c r="AI48" s="4" t="s">
        <v>1058</v>
      </c>
      <c r="AJ48" s="4" t="s">
        <v>609</v>
      </c>
      <c r="AK48" s="3"/>
      <c r="AL48" s="4">
        <v>141437</v>
      </c>
      <c r="AM48" s="5">
        <v>212675</v>
      </c>
      <c r="AN48" s="4" t="s">
        <v>124</v>
      </c>
      <c r="AO48" s="4">
        <v>99</v>
      </c>
      <c r="AP48" s="4">
        <v>43230000</v>
      </c>
    </row>
    <row r="49" spans="1:42" s="4" customFormat="1" x14ac:dyDescent="0.25">
      <c r="A49" s="3">
        <v>4603855</v>
      </c>
      <c r="B49" s="28">
        <v>41452</v>
      </c>
      <c r="C49" s="3" t="s">
        <v>1042</v>
      </c>
      <c r="D49" s="3">
        <v>10003664</v>
      </c>
      <c r="E49" s="4">
        <v>4533206</v>
      </c>
      <c r="F49" s="3" t="s">
        <v>49</v>
      </c>
      <c r="G49" s="4" t="s">
        <v>1197</v>
      </c>
      <c r="H49" s="4" t="s">
        <v>1198</v>
      </c>
      <c r="I49" s="5">
        <v>48682.7</v>
      </c>
      <c r="J49" s="3" t="s">
        <v>631</v>
      </c>
      <c r="K49" s="3" t="s">
        <v>575</v>
      </c>
      <c r="L49" s="3" t="s">
        <v>196</v>
      </c>
      <c r="M49" s="4" t="s">
        <v>1199</v>
      </c>
      <c r="N49" s="3" t="s">
        <v>25</v>
      </c>
      <c r="O49" s="3" t="s">
        <v>139</v>
      </c>
      <c r="P49" s="4" t="s">
        <v>282</v>
      </c>
      <c r="Q49" s="3"/>
      <c r="R49" s="3"/>
      <c r="Y49" s="4" t="s">
        <v>1200</v>
      </c>
      <c r="Z49" s="4" t="s">
        <v>1200</v>
      </c>
      <c r="AA49" s="4" t="s">
        <v>1201</v>
      </c>
      <c r="AB49" s="3"/>
      <c r="AC49" s="3"/>
      <c r="AD49" s="3" t="s">
        <v>634</v>
      </c>
      <c r="AE49" s="3">
        <v>1000</v>
      </c>
      <c r="AI49" s="4" t="s">
        <v>1202</v>
      </c>
      <c r="AJ49" s="4" t="s">
        <v>1202</v>
      </c>
      <c r="AK49" s="3" t="s">
        <v>286</v>
      </c>
      <c r="AL49" s="4">
        <v>140121</v>
      </c>
      <c r="AM49" s="5">
        <v>48682.7</v>
      </c>
      <c r="AN49" s="4" t="s">
        <v>124</v>
      </c>
      <c r="AO49" s="4">
        <v>99</v>
      </c>
      <c r="AP49" s="4">
        <v>84111600</v>
      </c>
    </row>
    <row r="50" spans="1:42" s="4" customFormat="1" x14ac:dyDescent="0.25">
      <c r="A50" s="3">
        <v>4603856</v>
      </c>
      <c r="B50" s="28">
        <v>41452</v>
      </c>
      <c r="C50" s="3" t="s">
        <v>1042</v>
      </c>
      <c r="D50" s="3">
        <v>10003662</v>
      </c>
      <c r="E50" s="4">
        <v>4533207</v>
      </c>
      <c r="F50" s="3" t="s">
        <v>49</v>
      </c>
      <c r="G50" s="4" t="s">
        <v>1203</v>
      </c>
      <c r="H50" s="4" t="s">
        <v>1204</v>
      </c>
      <c r="I50" s="5">
        <v>90151.6</v>
      </c>
      <c r="J50" s="3" t="s">
        <v>631</v>
      </c>
      <c r="K50" s="3" t="s">
        <v>575</v>
      </c>
      <c r="L50" s="3" t="s">
        <v>196</v>
      </c>
      <c r="M50" s="4" t="s">
        <v>1204</v>
      </c>
      <c r="N50" s="3" t="s">
        <v>25</v>
      </c>
      <c r="O50" s="3" t="s">
        <v>139</v>
      </c>
      <c r="P50" s="4" t="s">
        <v>282</v>
      </c>
      <c r="Q50" s="3"/>
      <c r="R50" s="3"/>
      <c r="Y50" s="4" t="s">
        <v>1200</v>
      </c>
      <c r="Z50" s="4" t="s">
        <v>1200</v>
      </c>
      <c r="AA50" s="4" t="s">
        <v>1205</v>
      </c>
      <c r="AB50" s="3"/>
      <c r="AC50" s="3"/>
      <c r="AD50" s="3" t="s">
        <v>634</v>
      </c>
      <c r="AE50" s="3">
        <v>1000</v>
      </c>
      <c r="AI50" s="4" t="s">
        <v>1202</v>
      </c>
      <c r="AJ50" s="4" t="s">
        <v>1202</v>
      </c>
      <c r="AK50" s="3" t="s">
        <v>286</v>
      </c>
      <c r="AL50" s="4">
        <v>49532</v>
      </c>
      <c r="AM50" s="5">
        <v>90151.6</v>
      </c>
      <c r="AN50" s="4" t="s">
        <v>124</v>
      </c>
      <c r="AO50" s="4">
        <v>99</v>
      </c>
      <c r="AP50" s="4">
        <v>84111600</v>
      </c>
    </row>
    <row r="51" spans="1:42" s="4" customFormat="1" x14ac:dyDescent="0.25">
      <c r="A51" s="3">
        <v>4603881</v>
      </c>
      <c r="B51" s="28">
        <v>42181</v>
      </c>
      <c r="C51" s="3" t="s">
        <v>1042</v>
      </c>
      <c r="D51" s="3">
        <v>10003682</v>
      </c>
      <c r="E51" s="4">
        <v>4533232</v>
      </c>
      <c r="F51" s="3" t="s">
        <v>49</v>
      </c>
      <c r="G51" s="4" t="s">
        <v>1206</v>
      </c>
      <c r="H51" s="4" t="s">
        <v>1207</v>
      </c>
      <c r="I51" s="5">
        <v>420978.64</v>
      </c>
      <c r="J51" s="3" t="s">
        <v>65</v>
      </c>
      <c r="K51" s="3" t="s">
        <v>1208</v>
      </c>
      <c r="L51" s="3" t="s">
        <v>196</v>
      </c>
      <c r="M51" s="4" t="s">
        <v>1207</v>
      </c>
      <c r="N51" s="3" t="s">
        <v>25</v>
      </c>
      <c r="O51" s="3"/>
      <c r="Q51" s="3"/>
      <c r="R51" s="3"/>
      <c r="Y51" s="4" t="s">
        <v>1079</v>
      </c>
      <c r="Z51" s="4" t="s">
        <v>605</v>
      </c>
      <c r="AB51" s="3"/>
      <c r="AC51" s="3"/>
      <c r="AD51" s="3" t="s">
        <v>1209</v>
      </c>
      <c r="AE51" s="3">
        <v>1000</v>
      </c>
      <c r="AI51" s="4" t="s">
        <v>1083</v>
      </c>
      <c r="AJ51" s="4" t="s">
        <v>609</v>
      </c>
      <c r="AK51" s="3"/>
      <c r="AL51" s="4">
        <v>141161</v>
      </c>
      <c r="AM51" s="5">
        <v>420978.64</v>
      </c>
      <c r="AN51" s="4" t="s">
        <v>124</v>
      </c>
      <c r="AO51" s="4">
        <v>99</v>
      </c>
      <c r="AP51" s="4">
        <v>80131500</v>
      </c>
    </row>
    <row r="52" spans="1:42" s="4" customFormat="1" x14ac:dyDescent="0.25">
      <c r="A52" s="3">
        <v>4604038</v>
      </c>
      <c r="B52" s="28">
        <v>42139</v>
      </c>
      <c r="C52" s="3" t="s">
        <v>1042</v>
      </c>
      <c r="D52" s="3">
        <v>10003762</v>
      </c>
      <c r="E52" s="4">
        <v>4533389</v>
      </c>
      <c r="F52" s="3" t="s">
        <v>49</v>
      </c>
      <c r="G52" s="4" t="s">
        <v>1228</v>
      </c>
      <c r="H52" s="4" t="s">
        <v>1229</v>
      </c>
      <c r="I52" s="5">
        <v>30000</v>
      </c>
      <c r="J52" s="3" t="s">
        <v>645</v>
      </c>
      <c r="K52" s="3" t="s">
        <v>1230</v>
      </c>
      <c r="L52" s="3" t="s">
        <v>196</v>
      </c>
      <c r="M52" s="4" t="s">
        <v>1231</v>
      </c>
      <c r="N52" s="3" t="s">
        <v>25</v>
      </c>
      <c r="O52" s="3"/>
      <c r="Q52" s="3" t="s">
        <v>139</v>
      </c>
      <c r="R52" s="3" t="s">
        <v>215</v>
      </c>
      <c r="S52" s="4" t="s">
        <v>216</v>
      </c>
      <c r="Y52" s="4" t="s">
        <v>1232</v>
      </c>
      <c r="Z52" s="4" t="s">
        <v>1232</v>
      </c>
      <c r="AB52" s="3"/>
      <c r="AC52" s="3"/>
      <c r="AD52" s="3" t="s">
        <v>1227</v>
      </c>
      <c r="AE52" s="3">
        <v>1000</v>
      </c>
      <c r="AI52" s="4" t="s">
        <v>1233</v>
      </c>
      <c r="AJ52" s="4" t="s">
        <v>1233</v>
      </c>
      <c r="AK52" s="3"/>
      <c r="AL52" s="4">
        <v>44880</v>
      </c>
      <c r="AM52" s="5">
        <v>30000</v>
      </c>
      <c r="AN52" s="4" t="s">
        <v>124</v>
      </c>
      <c r="AO52" s="4">
        <v>99</v>
      </c>
      <c r="AP52" s="4">
        <v>84120000</v>
      </c>
    </row>
    <row r="53" spans="1:42" s="4" customFormat="1" x14ac:dyDescent="0.25">
      <c r="A53" s="3">
        <v>4604087</v>
      </c>
      <c r="B53" s="28">
        <v>42129</v>
      </c>
      <c r="C53" s="3" t="s">
        <v>1042</v>
      </c>
      <c r="D53" s="3">
        <v>10003840</v>
      </c>
      <c r="E53" s="4">
        <v>4533438</v>
      </c>
      <c r="F53" s="3" t="s">
        <v>49</v>
      </c>
      <c r="G53" s="4" t="s">
        <v>1242</v>
      </c>
      <c r="H53" s="4" t="s">
        <v>1243</v>
      </c>
      <c r="I53" s="5">
        <v>1706550</v>
      </c>
      <c r="J53" s="3" t="s">
        <v>650</v>
      </c>
      <c r="K53" s="3" t="s">
        <v>374</v>
      </c>
      <c r="L53" s="3" t="s">
        <v>196</v>
      </c>
      <c r="M53" s="4" t="s">
        <v>1244</v>
      </c>
      <c r="N53" s="3" t="s">
        <v>25</v>
      </c>
      <c r="O53" s="3"/>
      <c r="Q53" s="3"/>
      <c r="R53" s="3"/>
      <c r="Y53" s="4" t="s">
        <v>540</v>
      </c>
      <c r="Z53" s="4" t="s">
        <v>605</v>
      </c>
      <c r="AB53" s="3"/>
      <c r="AC53" s="3"/>
      <c r="AD53" s="3" t="s">
        <v>527</v>
      </c>
      <c r="AE53" s="3">
        <v>1000</v>
      </c>
      <c r="AI53" s="4" t="s">
        <v>542</v>
      </c>
      <c r="AJ53" s="4" t="s">
        <v>609</v>
      </c>
      <c r="AK53" s="3"/>
      <c r="AL53" s="4">
        <v>46975</v>
      </c>
      <c r="AM53" s="5">
        <v>1706550</v>
      </c>
      <c r="AN53" s="4" t="s">
        <v>124</v>
      </c>
      <c r="AO53" s="4">
        <v>96</v>
      </c>
      <c r="AP53" s="4">
        <v>80131500</v>
      </c>
    </row>
    <row r="54" spans="1:42" s="4" customFormat="1" x14ac:dyDescent="0.25">
      <c r="A54" s="3">
        <v>4604106</v>
      </c>
      <c r="B54" s="28">
        <v>41813</v>
      </c>
      <c r="C54" s="3" t="s">
        <v>1042</v>
      </c>
      <c r="D54" s="3">
        <v>10003880</v>
      </c>
      <c r="E54" s="4">
        <v>4533457</v>
      </c>
      <c r="F54" s="3" t="s">
        <v>49</v>
      </c>
      <c r="G54" s="4" t="s">
        <v>1245</v>
      </c>
      <c r="H54" s="4" t="s">
        <v>1246</v>
      </c>
      <c r="I54" s="5">
        <v>13000</v>
      </c>
      <c r="J54" s="3" t="s">
        <v>1247</v>
      </c>
      <c r="K54" s="3" t="s">
        <v>832</v>
      </c>
      <c r="L54" s="3" t="s">
        <v>196</v>
      </c>
      <c r="M54" s="4" t="s">
        <v>1248</v>
      </c>
      <c r="N54" s="3" t="s">
        <v>25</v>
      </c>
      <c r="O54" s="3"/>
      <c r="Q54" s="3"/>
      <c r="R54" s="3"/>
      <c r="Y54" s="4" t="s">
        <v>1249</v>
      </c>
      <c r="Z54" s="4" t="s">
        <v>1090</v>
      </c>
      <c r="AB54" s="3"/>
      <c r="AC54" s="3"/>
      <c r="AD54" s="3" t="s">
        <v>577</v>
      </c>
      <c r="AE54" s="3">
        <v>1000</v>
      </c>
      <c r="AI54" s="4" t="s">
        <v>1250</v>
      </c>
      <c r="AJ54" s="4" t="s">
        <v>1091</v>
      </c>
      <c r="AK54" s="3"/>
      <c r="AL54" s="4">
        <v>140158</v>
      </c>
      <c r="AM54" s="5">
        <v>13000</v>
      </c>
      <c r="AN54" s="4" t="s">
        <v>124</v>
      </c>
      <c r="AO54" s="4">
        <v>99</v>
      </c>
      <c r="AP54" s="4">
        <v>76111500</v>
      </c>
    </row>
    <row r="55" spans="1:42" s="4" customFormat="1" x14ac:dyDescent="0.25">
      <c r="A55" s="3">
        <v>4604402</v>
      </c>
      <c r="B55" s="28">
        <v>42135</v>
      </c>
      <c r="C55" s="3" t="s">
        <v>1042</v>
      </c>
      <c r="D55" s="3">
        <v>10003682</v>
      </c>
      <c r="E55" s="4">
        <v>4533753</v>
      </c>
      <c r="F55" s="3" t="s">
        <v>49</v>
      </c>
      <c r="G55" s="4" t="s">
        <v>1267</v>
      </c>
      <c r="H55" s="4" t="s">
        <v>1207</v>
      </c>
      <c r="I55" s="5">
        <v>75063.7</v>
      </c>
      <c r="J55" s="3" t="s">
        <v>1268</v>
      </c>
      <c r="K55" s="3" t="s">
        <v>1269</v>
      </c>
      <c r="L55" s="3" t="s">
        <v>196</v>
      </c>
      <c r="M55" s="4" t="s">
        <v>1207</v>
      </c>
      <c r="N55" s="3" t="s">
        <v>25</v>
      </c>
      <c r="O55" s="3"/>
      <c r="Q55" s="3"/>
      <c r="R55" s="3"/>
      <c r="Y55" s="4" t="s">
        <v>540</v>
      </c>
      <c r="Z55" s="4" t="s">
        <v>1090</v>
      </c>
      <c r="AB55" s="3"/>
      <c r="AC55" s="3"/>
      <c r="AD55" s="3" t="s">
        <v>359</v>
      </c>
      <c r="AE55" s="3">
        <v>1000</v>
      </c>
      <c r="AI55" s="4" t="s">
        <v>542</v>
      </c>
      <c r="AJ55" s="4" t="s">
        <v>1091</v>
      </c>
      <c r="AK55" s="3"/>
      <c r="AL55" s="4">
        <v>49881</v>
      </c>
      <c r="AM55" s="5">
        <v>75063.7</v>
      </c>
      <c r="AN55" s="4" t="s">
        <v>124</v>
      </c>
      <c r="AO55" s="4">
        <v>99</v>
      </c>
      <c r="AP55" s="4">
        <v>78111807</v>
      </c>
    </row>
    <row r="56" spans="1:42" s="4" customFormat="1" x14ac:dyDescent="0.25">
      <c r="A56" s="3">
        <v>4604557</v>
      </c>
      <c r="B56" s="28">
        <v>41575</v>
      </c>
      <c r="C56" s="3" t="s">
        <v>1042</v>
      </c>
      <c r="D56" s="3">
        <v>10004017</v>
      </c>
      <c r="E56" s="4">
        <v>4533908</v>
      </c>
      <c r="F56" s="3" t="s">
        <v>49</v>
      </c>
      <c r="G56" s="4" t="s">
        <v>1174</v>
      </c>
      <c r="H56" s="4" t="s">
        <v>1270</v>
      </c>
      <c r="I56" s="5">
        <v>15400</v>
      </c>
      <c r="J56" s="3" t="s">
        <v>1271</v>
      </c>
      <c r="K56" s="3" t="s">
        <v>395</v>
      </c>
      <c r="L56" s="3" t="s">
        <v>196</v>
      </c>
      <c r="M56" s="4" t="s">
        <v>1270</v>
      </c>
      <c r="N56" s="3" t="s">
        <v>25</v>
      </c>
      <c r="O56" s="3"/>
      <c r="Q56" s="3"/>
      <c r="R56" s="3"/>
      <c r="Y56" s="4" t="s">
        <v>540</v>
      </c>
      <c r="Z56" s="4" t="s">
        <v>540</v>
      </c>
      <c r="AB56" s="3"/>
      <c r="AC56" s="3"/>
      <c r="AD56" s="3" t="s">
        <v>577</v>
      </c>
      <c r="AE56" s="3">
        <v>1000</v>
      </c>
      <c r="AI56" s="4" t="s">
        <v>542</v>
      </c>
      <c r="AJ56" s="4" t="s">
        <v>542</v>
      </c>
      <c r="AK56" s="3"/>
      <c r="AL56" s="4">
        <v>42811</v>
      </c>
      <c r="AM56" s="5">
        <v>15400</v>
      </c>
      <c r="AN56" s="4" t="s">
        <v>124</v>
      </c>
      <c r="AO56" s="4">
        <v>99</v>
      </c>
      <c r="AP56" s="4">
        <v>43230000</v>
      </c>
    </row>
    <row r="57" spans="1:42" s="4" customFormat="1" x14ac:dyDescent="0.25">
      <c r="A57" s="3">
        <v>4604309</v>
      </c>
      <c r="B57" s="28">
        <v>41625</v>
      </c>
      <c r="C57" s="3" t="s">
        <v>1278</v>
      </c>
      <c r="D57" s="3">
        <v>10004082</v>
      </c>
      <c r="E57" s="4">
        <v>4533660</v>
      </c>
      <c r="F57" s="3" t="s">
        <v>49</v>
      </c>
      <c r="G57" s="4" t="s">
        <v>1279</v>
      </c>
      <c r="I57" s="5">
        <v>5500</v>
      </c>
      <c r="J57" s="3" t="s">
        <v>230</v>
      </c>
      <c r="K57" s="3" t="s">
        <v>807</v>
      </c>
      <c r="L57" s="3" t="s">
        <v>196</v>
      </c>
      <c r="M57" s="4" t="s">
        <v>1280</v>
      </c>
      <c r="N57" s="3" t="s">
        <v>25</v>
      </c>
      <c r="O57" s="3"/>
      <c r="Q57" s="3"/>
      <c r="R57" s="3"/>
      <c r="Y57" s="4" t="s">
        <v>604</v>
      </c>
      <c r="Z57" s="4" t="s">
        <v>1090</v>
      </c>
      <c r="AB57" s="3"/>
      <c r="AC57" s="3"/>
      <c r="AD57" s="3" t="s">
        <v>1277</v>
      </c>
      <c r="AE57" s="3">
        <v>1000</v>
      </c>
      <c r="AI57" s="4" t="s">
        <v>608</v>
      </c>
      <c r="AJ57" s="4" t="s">
        <v>1091</v>
      </c>
      <c r="AK57" s="3"/>
      <c r="AL57" s="4">
        <v>46318</v>
      </c>
      <c r="AM57" s="5">
        <v>5500</v>
      </c>
      <c r="AN57" s="4" t="s">
        <v>124</v>
      </c>
    </row>
    <row r="58" spans="1:42" s="4" customFormat="1" x14ac:dyDescent="0.25">
      <c r="A58" s="3">
        <v>4604325</v>
      </c>
      <c r="B58" s="28">
        <v>41640</v>
      </c>
      <c r="C58" s="3" t="s">
        <v>1278</v>
      </c>
      <c r="D58" s="3">
        <v>10004095</v>
      </c>
      <c r="E58" s="4">
        <v>4533676</v>
      </c>
      <c r="F58" s="3" t="s">
        <v>49</v>
      </c>
      <c r="G58" s="4" t="s">
        <v>1288</v>
      </c>
      <c r="H58" s="4" t="s">
        <v>1289</v>
      </c>
      <c r="I58" s="5">
        <v>99975.27</v>
      </c>
      <c r="J58" s="3" t="s">
        <v>230</v>
      </c>
      <c r="K58" s="3" t="s">
        <v>807</v>
      </c>
      <c r="L58" s="3" t="s">
        <v>196</v>
      </c>
      <c r="M58" s="4" t="s">
        <v>1290</v>
      </c>
      <c r="N58" s="3" t="s">
        <v>25</v>
      </c>
      <c r="O58" s="3"/>
      <c r="Q58" s="3"/>
      <c r="R58" s="3"/>
      <c r="Y58" s="4" t="s">
        <v>1048</v>
      </c>
      <c r="Z58" s="4" t="s">
        <v>1048</v>
      </c>
      <c r="AB58" s="3"/>
      <c r="AC58" s="3"/>
      <c r="AD58" s="3" t="s">
        <v>1291</v>
      </c>
      <c r="AE58" s="3">
        <v>1000</v>
      </c>
      <c r="AI58" s="4" t="s">
        <v>1051</v>
      </c>
      <c r="AJ58" s="4" t="s">
        <v>1051</v>
      </c>
      <c r="AK58" s="3"/>
      <c r="AL58" s="4">
        <v>40217</v>
      </c>
      <c r="AM58" s="5">
        <v>99975.27</v>
      </c>
      <c r="AN58" s="4" t="s">
        <v>124</v>
      </c>
      <c r="AO58" s="4">
        <v>99</v>
      </c>
      <c r="AP58" s="4">
        <v>81112200</v>
      </c>
    </row>
    <row r="59" spans="1:42" s="4" customFormat="1" x14ac:dyDescent="0.25">
      <c r="A59" s="3">
        <v>4604329</v>
      </c>
      <c r="B59" s="28">
        <v>41656</v>
      </c>
      <c r="C59" s="3" t="s">
        <v>1278</v>
      </c>
      <c r="D59" s="3">
        <v>10004104</v>
      </c>
      <c r="E59" s="4">
        <v>4533680</v>
      </c>
      <c r="F59" s="3" t="s">
        <v>49</v>
      </c>
      <c r="G59" s="4" t="s">
        <v>1293</v>
      </c>
      <c r="H59" s="4" t="s">
        <v>1294</v>
      </c>
      <c r="I59" s="5">
        <v>44661.93</v>
      </c>
      <c r="J59" s="3" t="s">
        <v>1292</v>
      </c>
      <c r="K59" s="3" t="s">
        <v>807</v>
      </c>
      <c r="L59" s="3" t="s">
        <v>196</v>
      </c>
      <c r="M59" s="4" t="s">
        <v>1295</v>
      </c>
      <c r="N59" s="3" t="s">
        <v>25</v>
      </c>
      <c r="O59" s="3"/>
      <c r="Q59" s="3"/>
      <c r="R59" s="3"/>
      <c r="Y59" s="4" t="s">
        <v>1056</v>
      </c>
      <c r="Z59" s="4" t="s">
        <v>1090</v>
      </c>
      <c r="AB59" s="3"/>
      <c r="AC59" s="3"/>
      <c r="AD59" s="3" t="s">
        <v>1292</v>
      </c>
      <c r="AE59" s="3">
        <v>1000</v>
      </c>
      <c r="AI59" s="4" t="s">
        <v>1058</v>
      </c>
      <c r="AJ59" s="4" t="s">
        <v>1091</v>
      </c>
      <c r="AK59" s="3"/>
      <c r="AL59" s="4">
        <v>40424</v>
      </c>
      <c r="AM59" s="5">
        <v>44661.93</v>
      </c>
      <c r="AN59" s="4" t="s">
        <v>124</v>
      </c>
      <c r="AO59" s="4">
        <v>99</v>
      </c>
      <c r="AP59" s="4">
        <v>43230000</v>
      </c>
    </row>
    <row r="60" spans="1:42" s="4" customFormat="1" x14ac:dyDescent="0.25">
      <c r="A60" s="3">
        <v>4604340</v>
      </c>
      <c r="B60" s="28">
        <v>41667</v>
      </c>
      <c r="C60" s="3" t="s">
        <v>1278</v>
      </c>
      <c r="D60" s="3">
        <v>10004118</v>
      </c>
      <c r="E60" s="4">
        <v>4533691</v>
      </c>
      <c r="F60" s="3" t="s">
        <v>49</v>
      </c>
      <c r="G60" s="4" t="s">
        <v>1245</v>
      </c>
      <c r="I60" s="5">
        <v>2439.8000000000002</v>
      </c>
      <c r="J60" s="3" t="s">
        <v>725</v>
      </c>
      <c r="K60" s="3" t="s">
        <v>728</v>
      </c>
      <c r="L60" s="3" t="s">
        <v>196</v>
      </c>
      <c r="M60" s="4" t="s">
        <v>1297</v>
      </c>
      <c r="N60" s="3" t="s">
        <v>25</v>
      </c>
      <c r="O60" s="3"/>
      <c r="Q60" s="3"/>
      <c r="R60" s="3"/>
      <c r="Y60" s="4" t="s">
        <v>1249</v>
      </c>
      <c r="Z60" s="4" t="s">
        <v>1090</v>
      </c>
      <c r="AB60" s="3"/>
      <c r="AC60" s="3"/>
      <c r="AD60" s="3" t="s">
        <v>1296</v>
      </c>
      <c r="AE60" s="3">
        <v>1000</v>
      </c>
      <c r="AI60" s="4" t="s">
        <v>1250</v>
      </c>
      <c r="AJ60" s="4" t="s">
        <v>1091</v>
      </c>
      <c r="AK60" s="3"/>
      <c r="AL60" s="4">
        <v>140158</v>
      </c>
      <c r="AM60" s="5">
        <v>2439.8000000000002</v>
      </c>
      <c r="AN60" s="4" t="s">
        <v>124</v>
      </c>
    </row>
    <row r="61" spans="1:42" s="4" customFormat="1" x14ac:dyDescent="0.25">
      <c r="A61" s="3">
        <v>4604346</v>
      </c>
      <c r="B61" s="28">
        <v>41674</v>
      </c>
      <c r="C61" s="3" t="s">
        <v>1278</v>
      </c>
      <c r="D61" s="3">
        <v>10004120</v>
      </c>
      <c r="E61" s="4">
        <v>4533697</v>
      </c>
      <c r="F61" s="3" t="s">
        <v>49</v>
      </c>
      <c r="G61" s="4" t="s">
        <v>1299</v>
      </c>
      <c r="H61" s="4" t="s">
        <v>1300</v>
      </c>
      <c r="I61" s="5">
        <v>12900</v>
      </c>
      <c r="J61" s="3" t="s">
        <v>701</v>
      </c>
      <c r="K61" s="3" t="s">
        <v>321</v>
      </c>
      <c r="L61" s="3" t="s">
        <v>196</v>
      </c>
      <c r="M61" s="4" t="s">
        <v>1301</v>
      </c>
      <c r="N61" s="3" t="s">
        <v>25</v>
      </c>
      <c r="O61" s="3"/>
      <c r="Q61" s="3"/>
      <c r="R61" s="3"/>
      <c r="Y61" s="4" t="s">
        <v>1056</v>
      </c>
      <c r="Z61" s="4" t="s">
        <v>1090</v>
      </c>
      <c r="AB61" s="3"/>
      <c r="AC61" s="3"/>
      <c r="AD61" s="3" t="s">
        <v>1302</v>
      </c>
      <c r="AE61" s="3">
        <v>1000</v>
      </c>
      <c r="AI61" s="4" t="s">
        <v>1058</v>
      </c>
      <c r="AJ61" s="4" t="s">
        <v>1091</v>
      </c>
      <c r="AK61" s="3"/>
      <c r="AL61" s="4">
        <v>30951</v>
      </c>
      <c r="AM61" s="5">
        <v>12900</v>
      </c>
      <c r="AN61" s="4" t="s">
        <v>124</v>
      </c>
      <c r="AO61" s="4">
        <v>99</v>
      </c>
      <c r="AP61" s="4">
        <v>43222500</v>
      </c>
    </row>
    <row r="62" spans="1:42" s="4" customFormat="1" x14ac:dyDescent="0.25">
      <c r="A62" s="3">
        <v>4604349</v>
      </c>
      <c r="B62" s="28">
        <v>41674</v>
      </c>
      <c r="C62" s="3" t="s">
        <v>1278</v>
      </c>
      <c r="D62" s="3">
        <v>10004130</v>
      </c>
      <c r="E62" s="4">
        <v>4533700</v>
      </c>
      <c r="F62" s="3" t="s">
        <v>49</v>
      </c>
      <c r="G62" s="4" t="s">
        <v>1303</v>
      </c>
      <c r="H62" s="4" t="s">
        <v>1304</v>
      </c>
      <c r="I62" s="5">
        <v>33137.5</v>
      </c>
      <c r="J62" s="3" t="s">
        <v>1298</v>
      </c>
      <c r="K62" s="3" t="s">
        <v>959</v>
      </c>
      <c r="L62" s="3" t="s">
        <v>196</v>
      </c>
      <c r="M62" s="4" t="s">
        <v>1304</v>
      </c>
      <c r="N62" s="3" t="s">
        <v>25</v>
      </c>
      <c r="O62" s="3"/>
      <c r="Q62" s="3"/>
      <c r="R62" s="3"/>
      <c r="Y62" s="4" t="s">
        <v>1305</v>
      </c>
      <c r="Z62" s="4" t="s">
        <v>1305</v>
      </c>
      <c r="AB62" s="3"/>
      <c r="AC62" s="3"/>
      <c r="AD62" s="3" t="s">
        <v>1302</v>
      </c>
      <c r="AE62" s="3">
        <v>1000</v>
      </c>
      <c r="AI62" s="4" t="s">
        <v>1306</v>
      </c>
      <c r="AJ62" s="4" t="s">
        <v>1306</v>
      </c>
      <c r="AK62" s="3"/>
      <c r="AL62" s="4">
        <v>141677</v>
      </c>
      <c r="AM62" s="5">
        <v>33137.5</v>
      </c>
      <c r="AN62" s="4" t="s">
        <v>124</v>
      </c>
      <c r="AO62" s="4">
        <v>99</v>
      </c>
      <c r="AP62" s="4">
        <v>43230000</v>
      </c>
    </row>
    <row r="63" spans="1:42" s="4" customFormat="1" x14ac:dyDescent="0.25">
      <c r="A63" s="3">
        <v>4604449</v>
      </c>
      <c r="B63" s="28">
        <v>42181</v>
      </c>
      <c r="C63" s="3" t="s">
        <v>1278</v>
      </c>
      <c r="D63" s="3">
        <v>10004242</v>
      </c>
      <c r="E63" s="4">
        <v>4533800</v>
      </c>
      <c r="F63" s="3" t="s">
        <v>49</v>
      </c>
      <c r="G63" s="4" t="s">
        <v>1329</v>
      </c>
      <c r="H63" s="4" t="s">
        <v>1330</v>
      </c>
      <c r="I63" s="5">
        <v>220200</v>
      </c>
      <c r="J63" s="3" t="s">
        <v>1331</v>
      </c>
      <c r="K63" s="3" t="s">
        <v>1332</v>
      </c>
      <c r="L63" s="3" t="s">
        <v>196</v>
      </c>
      <c r="M63" s="4" t="s">
        <v>1330</v>
      </c>
      <c r="N63" s="3" t="s">
        <v>25</v>
      </c>
      <c r="O63" s="3"/>
      <c r="Q63" s="3"/>
      <c r="R63" s="3"/>
      <c r="Y63" s="4" t="s">
        <v>1068</v>
      </c>
      <c r="Z63" s="4" t="s">
        <v>1090</v>
      </c>
      <c r="AB63" s="3"/>
      <c r="AC63" s="3"/>
      <c r="AD63" s="3" t="s">
        <v>1209</v>
      </c>
      <c r="AE63" s="3">
        <v>1000</v>
      </c>
      <c r="AI63" s="4" t="s">
        <v>1071</v>
      </c>
      <c r="AJ63" s="4" t="s">
        <v>1091</v>
      </c>
      <c r="AK63" s="3"/>
      <c r="AL63" s="4">
        <v>44881</v>
      </c>
      <c r="AM63" s="5">
        <v>220200</v>
      </c>
      <c r="AN63" s="4" t="s">
        <v>124</v>
      </c>
      <c r="AO63" s="4">
        <v>99</v>
      </c>
      <c r="AP63" s="4">
        <v>80131500</v>
      </c>
    </row>
    <row r="64" spans="1:42" s="4" customFormat="1" x14ac:dyDescent="0.25">
      <c r="A64" s="3">
        <v>4604472</v>
      </c>
      <c r="B64" s="28">
        <v>41775</v>
      </c>
      <c r="C64" s="3" t="s">
        <v>1278</v>
      </c>
      <c r="D64" s="3">
        <v>10004264</v>
      </c>
      <c r="E64" s="4">
        <v>4533823</v>
      </c>
      <c r="F64" s="3" t="s">
        <v>49</v>
      </c>
      <c r="G64" s="4" t="s">
        <v>1334</v>
      </c>
      <c r="H64" s="4" t="s">
        <v>1334</v>
      </c>
      <c r="I64" s="5">
        <v>28000</v>
      </c>
      <c r="J64" s="3" t="s">
        <v>1335</v>
      </c>
      <c r="K64" s="3" t="s">
        <v>516</v>
      </c>
      <c r="L64" s="3" t="s">
        <v>196</v>
      </c>
      <c r="M64" s="4" t="s">
        <v>1334</v>
      </c>
      <c r="N64" s="3" t="s">
        <v>25</v>
      </c>
      <c r="O64" s="3"/>
      <c r="Q64" s="3"/>
      <c r="R64" s="3"/>
      <c r="Y64" s="4" t="s">
        <v>1336</v>
      </c>
      <c r="Z64" s="4" t="s">
        <v>1336</v>
      </c>
      <c r="AB64" s="3"/>
      <c r="AC64" s="3"/>
      <c r="AD64" s="3" t="s">
        <v>1333</v>
      </c>
      <c r="AE64" s="3">
        <v>1000</v>
      </c>
      <c r="AI64" s="4" t="s">
        <v>1337</v>
      </c>
      <c r="AJ64" s="4" t="s">
        <v>1337</v>
      </c>
      <c r="AK64" s="3"/>
      <c r="AL64" s="4">
        <v>141736</v>
      </c>
      <c r="AM64" s="5">
        <v>28000</v>
      </c>
      <c r="AN64" s="4" t="s">
        <v>124</v>
      </c>
      <c r="AO64" s="4">
        <v>99</v>
      </c>
      <c r="AP64" s="4">
        <v>86000000</v>
      </c>
    </row>
    <row r="65" spans="1:42" s="4" customFormat="1" x14ac:dyDescent="0.25">
      <c r="A65" s="3">
        <v>4604508</v>
      </c>
      <c r="B65" s="28">
        <v>41835</v>
      </c>
      <c r="C65" s="3" t="s">
        <v>1278</v>
      </c>
      <c r="D65" s="3">
        <v>10004293</v>
      </c>
      <c r="E65" s="4">
        <v>4533859</v>
      </c>
      <c r="F65" s="3" t="s">
        <v>49</v>
      </c>
      <c r="G65" s="4" t="s">
        <v>1347</v>
      </c>
      <c r="H65" s="4" t="s">
        <v>1348</v>
      </c>
      <c r="I65" s="5">
        <v>57800</v>
      </c>
      <c r="J65" s="3" t="s">
        <v>598</v>
      </c>
      <c r="K65" s="3" t="s">
        <v>832</v>
      </c>
      <c r="L65" s="3" t="s">
        <v>196</v>
      </c>
      <c r="M65" s="4" t="s">
        <v>1349</v>
      </c>
      <c r="N65" s="3" t="s">
        <v>25</v>
      </c>
      <c r="O65" s="3"/>
      <c r="Q65" s="3"/>
      <c r="R65" s="3"/>
      <c r="Y65" s="4" t="s">
        <v>1350</v>
      </c>
      <c r="Z65" s="4" t="s">
        <v>1090</v>
      </c>
      <c r="AB65" s="3"/>
      <c r="AC65" s="3"/>
      <c r="AD65" s="3" t="s">
        <v>1351</v>
      </c>
      <c r="AE65" s="3">
        <v>1000</v>
      </c>
      <c r="AI65" s="4" t="s">
        <v>1352</v>
      </c>
      <c r="AJ65" s="4" t="s">
        <v>1091</v>
      </c>
      <c r="AK65" s="3"/>
      <c r="AL65" s="4">
        <v>141643</v>
      </c>
      <c r="AM65" s="5">
        <v>57800</v>
      </c>
      <c r="AN65" s="4" t="s">
        <v>124</v>
      </c>
      <c r="AO65" s="4">
        <v>98</v>
      </c>
      <c r="AP65" s="4">
        <v>80101504</v>
      </c>
    </row>
    <row r="66" spans="1:42" s="4" customFormat="1" x14ac:dyDescent="0.25">
      <c r="A66" s="3">
        <v>4604530</v>
      </c>
      <c r="B66" s="28">
        <v>42104</v>
      </c>
      <c r="C66" s="3" t="s">
        <v>1278</v>
      </c>
      <c r="D66" s="3">
        <v>10004316</v>
      </c>
      <c r="E66" s="4">
        <v>4533881</v>
      </c>
      <c r="F66" s="3" t="s">
        <v>49</v>
      </c>
      <c r="G66" s="4" t="s">
        <v>1380</v>
      </c>
      <c r="H66" s="4" t="s">
        <v>1381</v>
      </c>
      <c r="I66" s="5">
        <v>81134.09</v>
      </c>
      <c r="J66" s="3" t="s">
        <v>76</v>
      </c>
      <c r="K66" s="3" t="s">
        <v>77</v>
      </c>
      <c r="L66" s="3" t="s">
        <v>196</v>
      </c>
      <c r="M66" s="4" t="s">
        <v>1381</v>
      </c>
      <c r="N66" s="3" t="s">
        <v>25</v>
      </c>
      <c r="O66" s="3"/>
      <c r="Q66" s="3"/>
      <c r="R66" s="3"/>
      <c r="Y66" s="4" t="s">
        <v>260</v>
      </c>
      <c r="Z66" s="4" t="s">
        <v>1382</v>
      </c>
      <c r="AB66" s="3"/>
      <c r="AC66" s="3"/>
      <c r="AD66" s="3" t="s">
        <v>492</v>
      </c>
      <c r="AE66" s="3">
        <v>1000</v>
      </c>
      <c r="AI66" s="4" t="s">
        <v>261</v>
      </c>
      <c r="AJ66" s="4" t="s">
        <v>1383</v>
      </c>
      <c r="AK66" s="3"/>
      <c r="AL66" s="4">
        <v>46327</v>
      </c>
      <c r="AM66" s="5">
        <v>81134.09</v>
      </c>
      <c r="AN66" s="4" t="s">
        <v>124</v>
      </c>
      <c r="AO66" s="4">
        <v>99</v>
      </c>
      <c r="AP66" s="4">
        <v>81112200</v>
      </c>
    </row>
    <row r="67" spans="1:42" s="4" customFormat="1" x14ac:dyDescent="0.25">
      <c r="A67" s="3">
        <v>4604537</v>
      </c>
      <c r="B67" s="28">
        <v>41807</v>
      </c>
      <c r="C67" s="3" t="s">
        <v>1278</v>
      </c>
      <c r="D67" s="3">
        <v>10004318</v>
      </c>
      <c r="E67" s="4">
        <v>4533888</v>
      </c>
      <c r="F67" s="3" t="s">
        <v>49</v>
      </c>
      <c r="G67" s="4" t="s">
        <v>1385</v>
      </c>
      <c r="H67" s="4" t="s">
        <v>1386</v>
      </c>
      <c r="I67" s="5">
        <v>80022.8</v>
      </c>
      <c r="J67" s="3" t="s">
        <v>1356</v>
      </c>
      <c r="K67" s="3" t="s">
        <v>474</v>
      </c>
      <c r="L67" s="3" t="s">
        <v>196</v>
      </c>
      <c r="M67" s="4" t="s">
        <v>1387</v>
      </c>
      <c r="N67" s="3" t="s">
        <v>25</v>
      </c>
      <c r="O67" s="3"/>
      <c r="Q67" s="3"/>
      <c r="R67" s="3"/>
      <c r="Y67" s="4" t="s">
        <v>1056</v>
      </c>
      <c r="Z67" s="4" t="s">
        <v>1090</v>
      </c>
      <c r="AB67" s="3"/>
      <c r="AC67" s="3"/>
      <c r="AD67" s="3" t="s">
        <v>1384</v>
      </c>
      <c r="AE67" s="3">
        <v>1000</v>
      </c>
      <c r="AI67" s="4" t="s">
        <v>1058</v>
      </c>
      <c r="AJ67" s="4" t="s">
        <v>1091</v>
      </c>
      <c r="AK67" s="3"/>
      <c r="AL67" s="4">
        <v>49327</v>
      </c>
      <c r="AM67" s="5">
        <v>80022.8</v>
      </c>
      <c r="AN67" s="4" t="s">
        <v>124</v>
      </c>
      <c r="AO67" s="4">
        <v>99</v>
      </c>
      <c r="AP67" s="4">
        <v>43230000</v>
      </c>
    </row>
    <row r="68" spans="1:42" s="4" customFormat="1" x14ac:dyDescent="0.25">
      <c r="A68" s="3">
        <v>4604548</v>
      </c>
      <c r="B68" s="28">
        <v>41821</v>
      </c>
      <c r="C68" s="3" t="s">
        <v>1278</v>
      </c>
      <c r="D68" s="3">
        <v>10004333</v>
      </c>
      <c r="E68" s="4">
        <v>4533899</v>
      </c>
      <c r="F68" s="3" t="s">
        <v>49</v>
      </c>
      <c r="G68" s="4" t="s">
        <v>1391</v>
      </c>
      <c r="H68" s="4" t="s">
        <v>1392</v>
      </c>
      <c r="I68" s="5">
        <v>150000</v>
      </c>
      <c r="J68" s="3" t="s">
        <v>76</v>
      </c>
      <c r="K68" s="3" t="s">
        <v>77</v>
      </c>
      <c r="L68" s="3" t="s">
        <v>196</v>
      </c>
      <c r="M68" s="4" t="s">
        <v>1392</v>
      </c>
      <c r="N68" s="3" t="s">
        <v>25</v>
      </c>
      <c r="O68" s="3"/>
      <c r="Q68" s="3"/>
      <c r="R68" s="3"/>
      <c r="Y68" s="4" t="s">
        <v>1393</v>
      </c>
      <c r="Z68" s="4" t="s">
        <v>1393</v>
      </c>
      <c r="AB68" s="3"/>
      <c r="AC68" s="3"/>
      <c r="AD68" s="3" t="s">
        <v>1394</v>
      </c>
      <c r="AE68" s="3">
        <v>1000</v>
      </c>
      <c r="AI68" s="4" t="s">
        <v>1395</v>
      </c>
      <c r="AJ68" s="4" t="s">
        <v>1395</v>
      </c>
      <c r="AK68" s="3"/>
      <c r="AL68" s="4">
        <v>40349</v>
      </c>
      <c r="AM68" s="5">
        <v>150000</v>
      </c>
      <c r="AN68" s="4" t="s">
        <v>124</v>
      </c>
      <c r="AO68" s="4">
        <v>99</v>
      </c>
      <c r="AP68" s="4">
        <v>93150000</v>
      </c>
    </row>
    <row r="69" spans="1:42" s="4" customFormat="1" x14ac:dyDescent="0.25">
      <c r="A69" s="3">
        <v>4604549</v>
      </c>
      <c r="B69" s="28">
        <v>41799</v>
      </c>
      <c r="C69" s="3" t="s">
        <v>1278</v>
      </c>
      <c r="D69" s="3">
        <v>10004335</v>
      </c>
      <c r="E69" s="4">
        <v>4533900</v>
      </c>
      <c r="F69" s="3" t="s">
        <v>49</v>
      </c>
      <c r="G69" s="4" t="s">
        <v>1397</v>
      </c>
      <c r="H69" s="4" t="s">
        <v>1398</v>
      </c>
      <c r="I69" s="5">
        <v>35000</v>
      </c>
      <c r="J69" s="3" t="s">
        <v>1396</v>
      </c>
      <c r="K69" s="3" t="s">
        <v>807</v>
      </c>
      <c r="L69" s="3" t="s">
        <v>196</v>
      </c>
      <c r="M69" s="4" t="s">
        <v>1398</v>
      </c>
      <c r="N69" s="3" t="s">
        <v>25</v>
      </c>
      <c r="O69" s="3"/>
      <c r="Q69" s="3"/>
      <c r="R69" s="3"/>
      <c r="Y69" s="4" t="s">
        <v>1393</v>
      </c>
      <c r="Z69" s="4" t="s">
        <v>1393</v>
      </c>
      <c r="AB69" s="3"/>
      <c r="AC69" s="3"/>
      <c r="AD69" s="3" t="s">
        <v>195</v>
      </c>
      <c r="AE69" s="3">
        <v>1000</v>
      </c>
      <c r="AI69" s="4" t="s">
        <v>1395</v>
      </c>
      <c r="AJ69" s="4" t="s">
        <v>1395</v>
      </c>
      <c r="AK69" s="3"/>
      <c r="AL69" s="4">
        <v>141758</v>
      </c>
      <c r="AM69" s="5">
        <v>35000</v>
      </c>
      <c r="AN69" s="4" t="s">
        <v>124</v>
      </c>
      <c r="AO69" s="4">
        <v>99</v>
      </c>
      <c r="AP69" s="4">
        <v>80100000</v>
      </c>
    </row>
    <row r="70" spans="1:42" s="4" customFormat="1" x14ac:dyDescent="0.25">
      <c r="A70" s="3">
        <v>4604554</v>
      </c>
      <c r="B70" s="28">
        <v>41815</v>
      </c>
      <c r="C70" s="3" t="s">
        <v>1278</v>
      </c>
      <c r="D70" s="3">
        <v>10004341</v>
      </c>
      <c r="E70" s="4">
        <v>4533905</v>
      </c>
      <c r="F70" s="3" t="s">
        <v>49</v>
      </c>
      <c r="G70" s="4" t="s">
        <v>1399</v>
      </c>
      <c r="H70" s="4" t="s">
        <v>1400</v>
      </c>
      <c r="I70" s="5">
        <v>153629.07999999999</v>
      </c>
      <c r="J70" s="3" t="s">
        <v>76</v>
      </c>
      <c r="K70" s="3" t="s">
        <v>77</v>
      </c>
      <c r="L70" s="3" t="s">
        <v>196</v>
      </c>
      <c r="M70" s="4" t="s">
        <v>1401</v>
      </c>
      <c r="N70" s="3" t="s">
        <v>25</v>
      </c>
      <c r="O70" s="3"/>
      <c r="Q70" s="3"/>
      <c r="R70" s="3"/>
      <c r="Y70" s="4" t="s">
        <v>1222</v>
      </c>
      <c r="Z70" s="4" t="s">
        <v>1090</v>
      </c>
      <c r="AB70" s="3"/>
      <c r="AC70" s="3"/>
      <c r="AD70" s="3" t="s">
        <v>776</v>
      </c>
      <c r="AE70" s="3">
        <v>1000</v>
      </c>
      <c r="AI70" s="4" t="s">
        <v>1226</v>
      </c>
      <c r="AJ70" s="4" t="s">
        <v>1091</v>
      </c>
      <c r="AK70" s="3"/>
      <c r="AL70" s="4">
        <v>42451</v>
      </c>
      <c r="AM70" s="5">
        <v>153629.07999999999</v>
      </c>
      <c r="AN70" s="4" t="s">
        <v>124</v>
      </c>
      <c r="AO70" s="4">
        <v>99</v>
      </c>
      <c r="AP70" s="4">
        <v>81112200</v>
      </c>
    </row>
    <row r="71" spans="1:42" s="4" customFormat="1" x14ac:dyDescent="0.25">
      <c r="A71" s="3">
        <v>4604563</v>
      </c>
      <c r="B71" s="28">
        <v>41815</v>
      </c>
      <c r="C71" s="3" t="s">
        <v>1278</v>
      </c>
      <c r="D71" s="3">
        <v>10004347</v>
      </c>
      <c r="E71" s="4">
        <v>4533914</v>
      </c>
      <c r="F71" s="3" t="s">
        <v>49</v>
      </c>
      <c r="G71" s="4" t="s">
        <v>1408</v>
      </c>
      <c r="H71" s="4" t="s">
        <v>1409</v>
      </c>
      <c r="I71" s="5">
        <v>60000</v>
      </c>
      <c r="J71" s="3" t="s">
        <v>776</v>
      </c>
      <c r="K71" s="3" t="s">
        <v>223</v>
      </c>
      <c r="L71" s="3" t="s">
        <v>196</v>
      </c>
      <c r="M71" s="4" t="s">
        <v>1409</v>
      </c>
      <c r="N71" s="3" t="s">
        <v>25</v>
      </c>
      <c r="O71" s="3"/>
      <c r="Q71" s="3"/>
      <c r="R71" s="3"/>
      <c r="Y71" s="4" t="s">
        <v>396</v>
      </c>
      <c r="Z71" s="4" t="s">
        <v>396</v>
      </c>
      <c r="AB71" s="3"/>
      <c r="AC71" s="3"/>
      <c r="AD71" s="3" t="s">
        <v>776</v>
      </c>
      <c r="AE71" s="3">
        <v>1000</v>
      </c>
      <c r="AI71" s="4" t="s">
        <v>397</v>
      </c>
      <c r="AJ71" s="4" t="s">
        <v>397</v>
      </c>
      <c r="AK71" s="3"/>
      <c r="AL71" s="4">
        <v>141697</v>
      </c>
      <c r="AM71" s="5">
        <v>60000</v>
      </c>
      <c r="AN71" s="4" t="s">
        <v>124</v>
      </c>
      <c r="AO71" s="4">
        <v>99</v>
      </c>
      <c r="AP71" s="4">
        <v>80101505</v>
      </c>
    </row>
    <row r="72" spans="1:42" s="4" customFormat="1" x14ac:dyDescent="0.25">
      <c r="A72" s="3">
        <v>4604575</v>
      </c>
      <c r="B72" s="28">
        <v>41876</v>
      </c>
      <c r="C72" s="3" t="s">
        <v>1278</v>
      </c>
      <c r="D72" s="3">
        <v>10004356</v>
      </c>
      <c r="E72" s="4">
        <v>4533926</v>
      </c>
      <c r="F72" s="3" t="s">
        <v>49</v>
      </c>
      <c r="G72" s="4" t="s">
        <v>1357</v>
      </c>
      <c r="H72" s="4" t="s">
        <v>1426</v>
      </c>
      <c r="I72" s="5">
        <v>60335</v>
      </c>
      <c r="J72" s="3" t="s">
        <v>1052</v>
      </c>
      <c r="K72" s="3" t="s">
        <v>77</v>
      </c>
      <c r="L72" s="3" t="s">
        <v>196</v>
      </c>
      <c r="M72" s="4" t="s">
        <v>1426</v>
      </c>
      <c r="N72" s="3" t="s">
        <v>25</v>
      </c>
      <c r="O72" s="3"/>
      <c r="Q72" s="3"/>
      <c r="R72" s="3"/>
      <c r="Y72" s="4" t="s">
        <v>466</v>
      </c>
      <c r="Z72" s="4" t="s">
        <v>466</v>
      </c>
      <c r="AB72" s="3"/>
      <c r="AC72" s="3"/>
      <c r="AD72" s="3" t="s">
        <v>1425</v>
      </c>
      <c r="AE72" s="3">
        <v>1000</v>
      </c>
      <c r="AI72" s="4" t="s">
        <v>468</v>
      </c>
      <c r="AJ72" s="4" t="s">
        <v>468</v>
      </c>
      <c r="AK72" s="3"/>
      <c r="AL72" s="4">
        <v>49941</v>
      </c>
      <c r="AM72" s="5">
        <v>60335</v>
      </c>
      <c r="AN72" s="4" t="s">
        <v>124</v>
      </c>
      <c r="AO72" s="4">
        <v>99</v>
      </c>
      <c r="AP72" s="4">
        <v>43230000</v>
      </c>
    </row>
    <row r="73" spans="1:42" s="4" customFormat="1" x14ac:dyDescent="0.25">
      <c r="A73" s="3">
        <v>4604576</v>
      </c>
      <c r="B73" s="28">
        <v>41820</v>
      </c>
      <c r="C73" s="3" t="s">
        <v>1278</v>
      </c>
      <c r="D73" s="3">
        <v>10004354</v>
      </c>
      <c r="E73" s="4">
        <v>4533927</v>
      </c>
      <c r="F73" s="3" t="s">
        <v>49</v>
      </c>
      <c r="G73" s="4" t="s">
        <v>1427</v>
      </c>
      <c r="H73" s="4" t="s">
        <v>1428</v>
      </c>
      <c r="I73" s="5">
        <v>45500</v>
      </c>
      <c r="J73" s="3" t="s">
        <v>200</v>
      </c>
      <c r="K73" s="3" t="s">
        <v>77</v>
      </c>
      <c r="L73" s="3" t="s">
        <v>196</v>
      </c>
      <c r="M73" s="4" t="s">
        <v>1428</v>
      </c>
      <c r="N73" s="3" t="s">
        <v>25</v>
      </c>
      <c r="O73" s="3"/>
      <c r="Q73" s="3"/>
      <c r="R73" s="3"/>
      <c r="Y73" s="4" t="s">
        <v>1429</v>
      </c>
      <c r="Z73" s="4" t="s">
        <v>1430</v>
      </c>
      <c r="AB73" s="3"/>
      <c r="AC73" s="3"/>
      <c r="AD73" s="3" t="s">
        <v>200</v>
      </c>
      <c r="AE73" s="3">
        <v>1000</v>
      </c>
      <c r="AI73" s="4" t="s">
        <v>1431</v>
      </c>
      <c r="AJ73" s="4" t="s">
        <v>1432</v>
      </c>
      <c r="AK73" s="3"/>
      <c r="AL73" s="4">
        <v>141764</v>
      </c>
      <c r="AM73" s="5">
        <v>45500</v>
      </c>
      <c r="AN73" s="4" t="s">
        <v>124</v>
      </c>
      <c r="AO73" s="4">
        <v>99</v>
      </c>
      <c r="AP73" s="4">
        <v>80110000</v>
      </c>
    </row>
    <row r="74" spans="1:42" s="4" customFormat="1" x14ac:dyDescent="0.25">
      <c r="A74" s="3">
        <v>4604585</v>
      </c>
      <c r="B74" s="28">
        <v>42185</v>
      </c>
      <c r="C74" s="3" t="s">
        <v>1278</v>
      </c>
      <c r="D74" s="3">
        <v>10004364</v>
      </c>
      <c r="E74" s="4">
        <v>4533936</v>
      </c>
      <c r="F74" s="3" t="s">
        <v>49</v>
      </c>
      <c r="G74" s="4" t="s">
        <v>1437</v>
      </c>
      <c r="H74" s="4" t="s">
        <v>1438</v>
      </c>
      <c r="I74" s="5">
        <v>10319</v>
      </c>
      <c r="J74" s="3" t="s">
        <v>76</v>
      </c>
      <c r="K74" s="3" t="s">
        <v>77</v>
      </c>
      <c r="L74" s="3" t="s">
        <v>196</v>
      </c>
      <c r="M74" s="4" t="s">
        <v>1438</v>
      </c>
      <c r="N74" s="3" t="s">
        <v>25</v>
      </c>
      <c r="O74" s="3"/>
      <c r="Q74" s="3"/>
      <c r="R74" s="3"/>
      <c r="Y74" s="4" t="s">
        <v>1068</v>
      </c>
      <c r="Z74" s="4" t="s">
        <v>1090</v>
      </c>
      <c r="AB74" s="3"/>
      <c r="AC74" s="3"/>
      <c r="AD74" s="3" t="s">
        <v>77</v>
      </c>
      <c r="AE74" s="3">
        <v>1000</v>
      </c>
      <c r="AI74" s="4" t="s">
        <v>1071</v>
      </c>
      <c r="AJ74" s="4" t="s">
        <v>1091</v>
      </c>
      <c r="AK74" s="3"/>
      <c r="AL74" s="4">
        <v>49501</v>
      </c>
      <c r="AM74" s="5">
        <v>10319</v>
      </c>
      <c r="AN74" s="4" t="s">
        <v>124</v>
      </c>
      <c r="AO74" s="4">
        <v>99</v>
      </c>
      <c r="AP74" s="4">
        <v>50000000</v>
      </c>
    </row>
    <row r="75" spans="1:42" s="4" customFormat="1" x14ac:dyDescent="0.25">
      <c r="A75" s="3">
        <v>4604586</v>
      </c>
      <c r="B75" s="28">
        <v>41823</v>
      </c>
      <c r="C75" s="3" t="s">
        <v>1278</v>
      </c>
      <c r="D75" s="3">
        <v>10004365</v>
      </c>
      <c r="E75" s="4">
        <v>4533937</v>
      </c>
      <c r="F75" s="3" t="s">
        <v>49</v>
      </c>
      <c r="G75" s="4" t="s">
        <v>1439</v>
      </c>
      <c r="I75" s="5">
        <v>5000</v>
      </c>
      <c r="J75" s="3" t="s">
        <v>76</v>
      </c>
      <c r="K75" s="3" t="s">
        <v>77</v>
      </c>
      <c r="L75" s="3" t="s">
        <v>196</v>
      </c>
      <c r="M75" s="4" t="s">
        <v>1440</v>
      </c>
      <c r="N75" s="3" t="s">
        <v>25</v>
      </c>
      <c r="O75" s="3"/>
      <c r="Q75" s="3"/>
      <c r="R75" s="3"/>
      <c r="Y75" s="4" t="s">
        <v>604</v>
      </c>
      <c r="Z75" s="4" t="s">
        <v>1090</v>
      </c>
      <c r="AB75" s="3"/>
      <c r="AC75" s="3"/>
      <c r="AD75" s="3" t="s">
        <v>627</v>
      </c>
      <c r="AE75" s="3">
        <v>1000</v>
      </c>
      <c r="AI75" s="4" t="s">
        <v>608</v>
      </c>
      <c r="AJ75" s="4" t="s">
        <v>1091</v>
      </c>
      <c r="AK75" s="3"/>
      <c r="AL75" s="4">
        <v>141576</v>
      </c>
      <c r="AM75" s="5">
        <v>5000</v>
      </c>
      <c r="AN75" s="4" t="s">
        <v>124</v>
      </c>
    </row>
    <row r="76" spans="1:42" s="4" customFormat="1" x14ac:dyDescent="0.25">
      <c r="A76" s="3">
        <v>4604587</v>
      </c>
      <c r="B76" s="28">
        <v>42184</v>
      </c>
      <c r="C76" s="3" t="s">
        <v>1278</v>
      </c>
      <c r="D76" s="3">
        <v>10004366</v>
      </c>
      <c r="E76" s="4">
        <v>4533938</v>
      </c>
      <c r="F76" s="3" t="s">
        <v>49</v>
      </c>
      <c r="G76" s="4" t="s">
        <v>1441</v>
      </c>
      <c r="H76" s="4" t="s">
        <v>1442</v>
      </c>
      <c r="I76" s="5">
        <v>11210</v>
      </c>
      <c r="J76" s="3" t="s">
        <v>76</v>
      </c>
      <c r="K76" s="3" t="s">
        <v>77</v>
      </c>
      <c r="L76" s="3" t="s">
        <v>196</v>
      </c>
      <c r="M76" s="4" t="s">
        <v>1442</v>
      </c>
      <c r="N76" s="3" t="s">
        <v>25</v>
      </c>
      <c r="O76" s="3"/>
      <c r="Q76" s="3"/>
      <c r="R76" s="3"/>
      <c r="Y76" s="4" t="s">
        <v>1068</v>
      </c>
      <c r="Z76" s="4" t="s">
        <v>1090</v>
      </c>
      <c r="AB76" s="3"/>
      <c r="AC76" s="3"/>
      <c r="AD76" s="3" t="s">
        <v>287</v>
      </c>
      <c r="AE76" s="3">
        <v>1000</v>
      </c>
      <c r="AI76" s="4" t="s">
        <v>1071</v>
      </c>
      <c r="AJ76" s="4" t="s">
        <v>1091</v>
      </c>
      <c r="AK76" s="3"/>
      <c r="AL76" s="4">
        <v>40407</v>
      </c>
      <c r="AM76" s="5">
        <v>11210</v>
      </c>
      <c r="AN76" s="4" t="s">
        <v>124</v>
      </c>
      <c r="AO76" s="4">
        <v>99</v>
      </c>
      <c r="AP76" s="4">
        <v>46151600</v>
      </c>
    </row>
    <row r="77" spans="1:42" s="4" customFormat="1" x14ac:dyDescent="0.25">
      <c r="A77" s="3">
        <v>4604588</v>
      </c>
      <c r="B77" s="28">
        <v>41823</v>
      </c>
      <c r="C77" s="3" t="s">
        <v>1278</v>
      </c>
      <c r="D77" s="3">
        <v>10004367</v>
      </c>
      <c r="E77" s="4">
        <v>4533939</v>
      </c>
      <c r="F77" s="3" t="s">
        <v>49</v>
      </c>
      <c r="G77" s="4" t="s">
        <v>1443</v>
      </c>
      <c r="I77" s="5">
        <v>9000</v>
      </c>
      <c r="J77" s="3" t="s">
        <v>76</v>
      </c>
      <c r="K77" s="3" t="s">
        <v>77</v>
      </c>
      <c r="L77" s="3" t="s">
        <v>196</v>
      </c>
      <c r="M77" s="4" t="s">
        <v>1444</v>
      </c>
      <c r="N77" s="3" t="s">
        <v>25</v>
      </c>
      <c r="O77" s="3"/>
      <c r="Q77" s="3"/>
      <c r="R77" s="3"/>
      <c r="Y77" s="4" t="s">
        <v>604</v>
      </c>
      <c r="Z77" s="4" t="s">
        <v>1090</v>
      </c>
      <c r="AB77" s="3"/>
      <c r="AC77" s="3"/>
      <c r="AD77" s="3" t="s">
        <v>627</v>
      </c>
      <c r="AE77" s="3">
        <v>1000</v>
      </c>
      <c r="AI77" s="4" t="s">
        <v>608</v>
      </c>
      <c r="AJ77" s="4" t="s">
        <v>1091</v>
      </c>
      <c r="AK77" s="3"/>
      <c r="AL77" s="4">
        <v>45460</v>
      </c>
      <c r="AM77" s="5">
        <v>9000</v>
      </c>
      <c r="AN77" s="4" t="s">
        <v>124</v>
      </c>
    </row>
    <row r="78" spans="1:42" s="4" customFormat="1" x14ac:dyDescent="0.25">
      <c r="A78" s="3">
        <v>4604590</v>
      </c>
      <c r="B78" s="28">
        <v>42185</v>
      </c>
      <c r="C78" s="3" t="s">
        <v>1278</v>
      </c>
      <c r="D78" s="3">
        <v>10004370</v>
      </c>
      <c r="E78" s="4">
        <v>4533941</v>
      </c>
      <c r="F78" s="3" t="s">
        <v>49</v>
      </c>
      <c r="G78" s="4" t="s">
        <v>1445</v>
      </c>
      <c r="I78" s="5">
        <v>6489.45</v>
      </c>
      <c r="J78" s="3" t="s">
        <v>76</v>
      </c>
      <c r="K78" s="3" t="s">
        <v>77</v>
      </c>
      <c r="L78" s="3" t="s">
        <v>196</v>
      </c>
      <c r="M78" s="4" t="s">
        <v>1446</v>
      </c>
      <c r="N78" s="3" t="s">
        <v>25</v>
      </c>
      <c r="O78" s="3"/>
      <c r="Q78" s="3"/>
      <c r="R78" s="3"/>
      <c r="Y78" s="4" t="s">
        <v>1068</v>
      </c>
      <c r="Z78" s="4" t="s">
        <v>1090</v>
      </c>
      <c r="AB78" s="3"/>
      <c r="AC78" s="3"/>
      <c r="AD78" s="3" t="s">
        <v>77</v>
      </c>
      <c r="AE78" s="3">
        <v>1000</v>
      </c>
      <c r="AI78" s="4" t="s">
        <v>1071</v>
      </c>
      <c r="AJ78" s="4" t="s">
        <v>1091</v>
      </c>
      <c r="AK78" s="3"/>
      <c r="AL78" s="4">
        <v>49942</v>
      </c>
      <c r="AM78" s="5">
        <v>6489.45</v>
      </c>
      <c r="AN78" s="4" t="s">
        <v>124</v>
      </c>
    </row>
    <row r="79" spans="1:42" s="4" customFormat="1" x14ac:dyDescent="0.25">
      <c r="A79" s="3">
        <v>4604591</v>
      </c>
      <c r="B79" s="28">
        <v>42185</v>
      </c>
      <c r="C79" s="3" t="s">
        <v>1278</v>
      </c>
      <c r="D79" s="3">
        <v>10004372</v>
      </c>
      <c r="E79" s="4">
        <v>4533942</v>
      </c>
      <c r="F79" s="3" t="s">
        <v>49</v>
      </c>
      <c r="G79" s="4" t="s">
        <v>1447</v>
      </c>
      <c r="H79" s="4" t="s">
        <v>1448</v>
      </c>
      <c r="I79" s="5">
        <v>71726.44</v>
      </c>
      <c r="J79" s="3" t="s">
        <v>76</v>
      </c>
      <c r="K79" s="3" t="s">
        <v>77</v>
      </c>
      <c r="L79" s="3" t="s">
        <v>196</v>
      </c>
      <c r="M79" s="4" t="s">
        <v>1449</v>
      </c>
      <c r="N79" s="3" t="s">
        <v>25</v>
      </c>
      <c r="O79" s="3"/>
      <c r="Q79" s="3"/>
      <c r="R79" s="3"/>
      <c r="Y79" s="4" t="s">
        <v>1068</v>
      </c>
      <c r="Z79" s="4" t="s">
        <v>1090</v>
      </c>
      <c r="AB79" s="3"/>
      <c r="AC79" s="3"/>
      <c r="AD79" s="3" t="s">
        <v>77</v>
      </c>
      <c r="AE79" s="3">
        <v>1000</v>
      </c>
      <c r="AI79" s="4" t="s">
        <v>1071</v>
      </c>
      <c r="AJ79" s="4" t="s">
        <v>1091</v>
      </c>
      <c r="AK79" s="3"/>
      <c r="AL79" s="4">
        <v>41276</v>
      </c>
      <c r="AM79" s="5">
        <v>71726.44</v>
      </c>
      <c r="AN79" s="4" t="s">
        <v>124</v>
      </c>
      <c r="AO79" s="4">
        <v>97</v>
      </c>
      <c r="AP79" s="4">
        <v>78101804</v>
      </c>
    </row>
    <row r="80" spans="1:42" s="4" customFormat="1" x14ac:dyDescent="0.25">
      <c r="A80" s="3">
        <v>4604592</v>
      </c>
      <c r="B80" s="28">
        <v>42178</v>
      </c>
      <c r="C80" s="3" t="s">
        <v>1278</v>
      </c>
      <c r="D80" s="3">
        <v>10004371</v>
      </c>
      <c r="E80" s="4">
        <v>4533943</v>
      </c>
      <c r="F80" s="3" t="s">
        <v>49</v>
      </c>
      <c r="G80" s="4" t="s">
        <v>1450</v>
      </c>
      <c r="I80" s="5">
        <v>5746.17</v>
      </c>
      <c r="J80" s="3" t="s">
        <v>76</v>
      </c>
      <c r="K80" s="3" t="s">
        <v>77</v>
      </c>
      <c r="L80" s="3" t="s">
        <v>196</v>
      </c>
      <c r="M80" s="4" t="s">
        <v>1451</v>
      </c>
      <c r="N80" s="3" t="s">
        <v>25</v>
      </c>
      <c r="O80" s="3"/>
      <c r="Q80" s="3"/>
      <c r="R80" s="3"/>
      <c r="Y80" s="4" t="s">
        <v>1068</v>
      </c>
      <c r="Z80" s="4" t="s">
        <v>1090</v>
      </c>
      <c r="AB80" s="3"/>
      <c r="AC80" s="3"/>
      <c r="AD80" s="3" t="s">
        <v>351</v>
      </c>
      <c r="AE80" s="3">
        <v>1000</v>
      </c>
      <c r="AI80" s="4" t="s">
        <v>1071</v>
      </c>
      <c r="AJ80" s="4" t="s">
        <v>1091</v>
      </c>
      <c r="AK80" s="3"/>
      <c r="AL80" s="4">
        <v>141128</v>
      </c>
      <c r="AM80" s="5">
        <v>5746.17</v>
      </c>
      <c r="AN80" s="4" t="s">
        <v>124</v>
      </c>
    </row>
    <row r="81" spans="1:42" s="4" customFormat="1" x14ac:dyDescent="0.25">
      <c r="A81" s="3">
        <v>4604595</v>
      </c>
      <c r="B81" s="28">
        <v>42185</v>
      </c>
      <c r="C81" s="3" t="s">
        <v>1278</v>
      </c>
      <c r="D81" s="3">
        <v>10004375</v>
      </c>
      <c r="E81" s="4">
        <v>4533946</v>
      </c>
      <c r="F81" s="3" t="s">
        <v>49</v>
      </c>
      <c r="G81" s="4" t="s">
        <v>1454</v>
      </c>
      <c r="H81" s="4" t="s">
        <v>1455</v>
      </c>
      <c r="I81" s="5">
        <v>38216.199999999997</v>
      </c>
      <c r="J81" s="3" t="s">
        <v>627</v>
      </c>
      <c r="K81" s="3" t="s">
        <v>77</v>
      </c>
      <c r="L81" s="3" t="s">
        <v>196</v>
      </c>
      <c r="M81" s="4" t="s">
        <v>1456</v>
      </c>
      <c r="N81" s="3" t="s">
        <v>25</v>
      </c>
      <c r="O81" s="3"/>
      <c r="Q81" s="3"/>
      <c r="R81" s="3"/>
      <c r="Y81" s="4" t="s">
        <v>1141</v>
      </c>
      <c r="Z81" s="4" t="s">
        <v>1141</v>
      </c>
      <c r="AB81" s="3"/>
      <c r="AC81" s="3"/>
      <c r="AD81" s="3" t="s">
        <v>77</v>
      </c>
      <c r="AE81" s="3">
        <v>1000</v>
      </c>
      <c r="AI81" s="4" t="s">
        <v>1144</v>
      </c>
      <c r="AJ81" s="4" t="s">
        <v>1144</v>
      </c>
      <c r="AK81" s="3"/>
      <c r="AL81" s="4">
        <v>141769</v>
      </c>
      <c r="AM81" s="5">
        <v>38216.199999999997</v>
      </c>
      <c r="AN81" s="4" t="s">
        <v>124</v>
      </c>
      <c r="AO81" s="4">
        <v>99</v>
      </c>
      <c r="AP81" s="4">
        <v>72101500</v>
      </c>
    </row>
    <row r="82" spans="1:42" s="4" customFormat="1" x14ac:dyDescent="0.25">
      <c r="A82" s="3">
        <v>4604596</v>
      </c>
      <c r="B82" s="28">
        <v>41860</v>
      </c>
      <c r="C82" s="3" t="s">
        <v>1278</v>
      </c>
      <c r="D82" s="3">
        <v>10004374</v>
      </c>
      <c r="E82" s="4">
        <v>4533947</v>
      </c>
      <c r="F82" s="3" t="s">
        <v>49</v>
      </c>
      <c r="G82" s="4" t="s">
        <v>1458</v>
      </c>
      <c r="H82" s="4" t="s">
        <v>1459</v>
      </c>
      <c r="I82" s="5">
        <v>15000</v>
      </c>
      <c r="J82" s="3" t="s">
        <v>1457</v>
      </c>
      <c r="K82" s="3" t="s">
        <v>1460</v>
      </c>
      <c r="L82" s="3" t="s">
        <v>196</v>
      </c>
      <c r="M82" s="4" t="s">
        <v>1461</v>
      </c>
      <c r="N82" s="3" t="s">
        <v>25</v>
      </c>
      <c r="O82" s="3"/>
      <c r="Q82" s="3"/>
      <c r="R82" s="3"/>
      <c r="Y82" s="4" t="s">
        <v>1141</v>
      </c>
      <c r="Z82" s="4" t="s">
        <v>1141</v>
      </c>
      <c r="AB82" s="3"/>
      <c r="AC82" s="3"/>
      <c r="AD82" s="3" t="s">
        <v>1452</v>
      </c>
      <c r="AE82" s="3">
        <v>1000</v>
      </c>
      <c r="AI82" s="4" t="s">
        <v>1144</v>
      </c>
      <c r="AJ82" s="4" t="s">
        <v>1144</v>
      </c>
      <c r="AK82" s="3"/>
      <c r="AL82" s="4">
        <v>49909</v>
      </c>
      <c r="AM82" s="5">
        <v>15000</v>
      </c>
      <c r="AN82" s="4" t="s">
        <v>124</v>
      </c>
      <c r="AO82" s="4">
        <v>99</v>
      </c>
      <c r="AP82" s="4">
        <v>72101500</v>
      </c>
    </row>
    <row r="83" spans="1:42" s="4" customFormat="1" x14ac:dyDescent="0.25">
      <c r="A83" s="3">
        <v>4604598</v>
      </c>
      <c r="B83" s="28">
        <v>41827</v>
      </c>
      <c r="C83" s="3" t="s">
        <v>1278</v>
      </c>
      <c r="D83" s="3">
        <v>10004378</v>
      </c>
      <c r="E83" s="4">
        <v>4533949</v>
      </c>
      <c r="F83" s="3" t="s">
        <v>49</v>
      </c>
      <c r="G83" s="4" t="s">
        <v>1099</v>
      </c>
      <c r="H83" s="4" t="s">
        <v>1464</v>
      </c>
      <c r="I83" s="5">
        <v>12000</v>
      </c>
      <c r="J83" s="3" t="s">
        <v>76</v>
      </c>
      <c r="K83" s="3" t="s">
        <v>77</v>
      </c>
      <c r="L83" s="3" t="s">
        <v>196</v>
      </c>
      <c r="M83" s="4" t="s">
        <v>1465</v>
      </c>
      <c r="N83" s="3" t="s">
        <v>25</v>
      </c>
      <c r="O83" s="3"/>
      <c r="Q83" s="3"/>
      <c r="R83" s="3"/>
      <c r="Y83" s="4" t="s">
        <v>1056</v>
      </c>
      <c r="Z83" s="4" t="s">
        <v>1090</v>
      </c>
      <c r="AB83" s="3"/>
      <c r="AC83" s="3"/>
      <c r="AD83" s="3" t="s">
        <v>1462</v>
      </c>
      <c r="AE83" s="3">
        <v>1000</v>
      </c>
      <c r="AI83" s="4" t="s">
        <v>1058</v>
      </c>
      <c r="AJ83" s="4" t="s">
        <v>1091</v>
      </c>
      <c r="AK83" s="3"/>
      <c r="AL83" s="4">
        <v>140163</v>
      </c>
      <c r="AM83" s="5">
        <v>12000</v>
      </c>
      <c r="AN83" s="4" t="s">
        <v>124</v>
      </c>
      <c r="AO83" s="4">
        <v>99</v>
      </c>
      <c r="AP83" s="4">
        <v>43222500</v>
      </c>
    </row>
    <row r="84" spans="1:42" s="4" customFormat="1" x14ac:dyDescent="0.25">
      <c r="A84" s="3">
        <v>4604602</v>
      </c>
      <c r="B84" s="28">
        <v>42066</v>
      </c>
      <c r="C84" s="3" t="s">
        <v>1278</v>
      </c>
      <c r="D84" s="3">
        <v>10004382</v>
      </c>
      <c r="E84" s="4">
        <v>4533953</v>
      </c>
      <c r="F84" s="3" t="s">
        <v>49</v>
      </c>
      <c r="G84" s="4" t="s">
        <v>1380</v>
      </c>
      <c r="H84" s="4" t="s">
        <v>1480</v>
      </c>
      <c r="I84" s="5">
        <v>15000</v>
      </c>
      <c r="J84" s="3" t="s">
        <v>1462</v>
      </c>
      <c r="K84" s="3" t="s">
        <v>77</v>
      </c>
      <c r="L84" s="3" t="s">
        <v>196</v>
      </c>
      <c r="M84" s="4" t="s">
        <v>1480</v>
      </c>
      <c r="N84" s="3" t="s">
        <v>25</v>
      </c>
      <c r="O84" s="3"/>
      <c r="Q84" s="3"/>
      <c r="R84" s="3"/>
      <c r="Y84" s="4" t="s">
        <v>1047</v>
      </c>
      <c r="Z84" s="4" t="s">
        <v>1382</v>
      </c>
      <c r="AB84" s="3"/>
      <c r="AC84" s="3"/>
      <c r="AD84" s="3" t="s">
        <v>486</v>
      </c>
      <c r="AE84" s="3">
        <v>1000</v>
      </c>
      <c r="AI84" s="4" t="s">
        <v>1050</v>
      </c>
      <c r="AJ84" s="4" t="s">
        <v>1383</v>
      </c>
      <c r="AK84" s="3"/>
      <c r="AL84" s="4">
        <v>46327</v>
      </c>
      <c r="AM84" s="5">
        <v>15000</v>
      </c>
      <c r="AN84" s="4" t="s">
        <v>124</v>
      </c>
      <c r="AO84" s="4">
        <v>99</v>
      </c>
      <c r="AP84" s="4">
        <v>80101507</v>
      </c>
    </row>
    <row r="85" spans="1:42" s="4" customFormat="1" x14ac:dyDescent="0.25">
      <c r="A85" s="3">
        <v>4604604</v>
      </c>
      <c r="B85" s="28">
        <v>42188</v>
      </c>
      <c r="C85" s="3" t="s">
        <v>1278</v>
      </c>
      <c r="D85" s="3">
        <v>10004384</v>
      </c>
      <c r="E85" s="4">
        <v>4533955</v>
      </c>
      <c r="F85" s="3" t="s">
        <v>49</v>
      </c>
      <c r="G85" s="4" t="s">
        <v>1482</v>
      </c>
      <c r="H85" s="4" t="s">
        <v>1483</v>
      </c>
      <c r="I85" s="5">
        <v>10053.81</v>
      </c>
      <c r="J85" s="3" t="s">
        <v>76</v>
      </c>
      <c r="K85" s="3" t="s">
        <v>77</v>
      </c>
      <c r="L85" s="3" t="s">
        <v>196</v>
      </c>
      <c r="M85" s="4" t="s">
        <v>1483</v>
      </c>
      <c r="N85" s="3" t="s">
        <v>25</v>
      </c>
      <c r="O85" s="3"/>
      <c r="Q85" s="3"/>
      <c r="R85" s="3"/>
      <c r="Y85" s="4" t="s">
        <v>1068</v>
      </c>
      <c r="Z85" s="4" t="s">
        <v>1090</v>
      </c>
      <c r="AB85" s="3"/>
      <c r="AC85" s="3"/>
      <c r="AD85" s="3" t="s">
        <v>1481</v>
      </c>
      <c r="AE85" s="3">
        <v>1000</v>
      </c>
      <c r="AI85" s="4" t="s">
        <v>1071</v>
      </c>
      <c r="AJ85" s="4" t="s">
        <v>1091</v>
      </c>
      <c r="AK85" s="3"/>
      <c r="AL85" s="4">
        <v>30395</v>
      </c>
      <c r="AM85" s="5">
        <v>10053.81</v>
      </c>
      <c r="AN85" s="4" t="s">
        <v>124</v>
      </c>
      <c r="AO85" s="4">
        <v>99</v>
      </c>
      <c r="AP85" s="4">
        <v>78102200</v>
      </c>
    </row>
    <row r="86" spans="1:42" s="4" customFormat="1" x14ac:dyDescent="0.25">
      <c r="A86" s="3">
        <v>4604605</v>
      </c>
      <c r="B86" s="28">
        <v>42184</v>
      </c>
      <c r="C86" s="3" t="s">
        <v>1278</v>
      </c>
      <c r="D86" s="3">
        <v>10004383</v>
      </c>
      <c r="E86" s="4">
        <v>4533956</v>
      </c>
      <c r="F86" s="3" t="s">
        <v>49</v>
      </c>
      <c r="G86" s="4" t="s">
        <v>1484</v>
      </c>
      <c r="I86" s="5">
        <v>4309.8</v>
      </c>
      <c r="J86" s="3" t="s">
        <v>76</v>
      </c>
      <c r="K86" s="3" t="s">
        <v>77</v>
      </c>
      <c r="L86" s="3" t="s">
        <v>196</v>
      </c>
      <c r="M86" s="4" t="s">
        <v>1485</v>
      </c>
      <c r="N86" s="3" t="s">
        <v>25</v>
      </c>
      <c r="O86" s="3"/>
      <c r="Q86" s="3"/>
      <c r="R86" s="3"/>
      <c r="Y86" s="4" t="s">
        <v>1068</v>
      </c>
      <c r="Z86" s="4" t="s">
        <v>1090</v>
      </c>
      <c r="AB86" s="3"/>
      <c r="AC86" s="3"/>
      <c r="AD86" s="3" t="s">
        <v>287</v>
      </c>
      <c r="AE86" s="3">
        <v>1000</v>
      </c>
      <c r="AI86" s="4" t="s">
        <v>1071</v>
      </c>
      <c r="AJ86" s="4" t="s">
        <v>1091</v>
      </c>
      <c r="AK86" s="3"/>
      <c r="AL86" s="4">
        <v>44176</v>
      </c>
      <c r="AM86" s="5">
        <v>4309.8</v>
      </c>
      <c r="AN86" s="4" t="s">
        <v>124</v>
      </c>
    </row>
    <row r="87" spans="1:42" s="4" customFormat="1" x14ac:dyDescent="0.25">
      <c r="A87" s="3">
        <v>4604608</v>
      </c>
      <c r="B87" s="28">
        <v>42164</v>
      </c>
      <c r="C87" s="3" t="s">
        <v>1278</v>
      </c>
      <c r="D87" s="3">
        <v>10004390</v>
      </c>
      <c r="E87" s="4">
        <v>4533959</v>
      </c>
      <c r="F87" s="3" t="s">
        <v>49</v>
      </c>
      <c r="G87" s="4" t="s">
        <v>1492</v>
      </c>
      <c r="H87" s="4" t="s">
        <v>1493</v>
      </c>
      <c r="I87" s="5">
        <v>12071.84</v>
      </c>
      <c r="J87" s="3" t="s">
        <v>1462</v>
      </c>
      <c r="K87" s="3" t="s">
        <v>77</v>
      </c>
      <c r="L87" s="3" t="s">
        <v>196</v>
      </c>
      <c r="M87" s="4" t="s">
        <v>1493</v>
      </c>
      <c r="N87" s="3" t="s">
        <v>25</v>
      </c>
      <c r="O87" s="3"/>
      <c r="Q87" s="3"/>
      <c r="R87" s="3"/>
      <c r="Y87" s="4" t="s">
        <v>1068</v>
      </c>
      <c r="Z87" s="4" t="s">
        <v>1090</v>
      </c>
      <c r="AB87" s="3"/>
      <c r="AC87" s="3"/>
      <c r="AD87" s="3" t="s">
        <v>1491</v>
      </c>
      <c r="AE87" s="3">
        <v>1000</v>
      </c>
      <c r="AI87" s="4" t="s">
        <v>1071</v>
      </c>
      <c r="AJ87" s="4" t="s">
        <v>1091</v>
      </c>
      <c r="AK87" s="3"/>
      <c r="AL87" s="4">
        <v>49420</v>
      </c>
      <c r="AM87" s="5">
        <v>12071.84</v>
      </c>
      <c r="AN87" s="4" t="s">
        <v>124</v>
      </c>
      <c r="AO87" s="4">
        <v>99</v>
      </c>
      <c r="AP87" s="4">
        <v>80131500</v>
      </c>
    </row>
    <row r="88" spans="1:42" s="4" customFormat="1" x14ac:dyDescent="0.25">
      <c r="A88" s="3">
        <v>4604609</v>
      </c>
      <c r="B88" s="28">
        <v>42143</v>
      </c>
      <c r="C88" s="3" t="s">
        <v>1278</v>
      </c>
      <c r="D88" s="3">
        <v>10004394</v>
      </c>
      <c r="E88" s="4">
        <v>4533960</v>
      </c>
      <c r="F88" s="3" t="s">
        <v>49</v>
      </c>
      <c r="G88" s="4" t="s">
        <v>1494</v>
      </c>
      <c r="H88" s="4" t="s">
        <v>1495</v>
      </c>
      <c r="I88" s="5">
        <v>1324400</v>
      </c>
      <c r="J88" s="3" t="s">
        <v>76</v>
      </c>
      <c r="K88" s="3" t="s">
        <v>294</v>
      </c>
      <c r="L88" s="3" t="s">
        <v>196</v>
      </c>
      <c r="M88" s="4" t="s">
        <v>1495</v>
      </c>
      <c r="N88" s="3" t="s">
        <v>25</v>
      </c>
      <c r="O88" s="3"/>
      <c r="Q88" s="3"/>
      <c r="R88" s="3"/>
      <c r="Y88" s="4" t="s">
        <v>1079</v>
      </c>
      <c r="Z88" s="4" t="s">
        <v>1090</v>
      </c>
      <c r="AB88" s="3"/>
      <c r="AC88" s="3"/>
      <c r="AD88" s="3" t="s">
        <v>516</v>
      </c>
      <c r="AE88" s="3">
        <v>1000</v>
      </c>
      <c r="AI88" s="4" t="s">
        <v>1083</v>
      </c>
      <c r="AJ88" s="4" t="s">
        <v>1091</v>
      </c>
      <c r="AK88" s="3"/>
      <c r="AL88" s="4">
        <v>49295</v>
      </c>
      <c r="AM88" s="5">
        <v>1324400</v>
      </c>
      <c r="AN88" s="4" t="s">
        <v>124</v>
      </c>
      <c r="AO88" s="4">
        <v>99</v>
      </c>
      <c r="AP88" s="4">
        <v>80131500</v>
      </c>
    </row>
    <row r="89" spans="1:42" s="4" customFormat="1" x14ac:dyDescent="0.25">
      <c r="A89" s="3">
        <v>4604610</v>
      </c>
      <c r="B89" s="28">
        <v>41877</v>
      </c>
      <c r="C89" s="3" t="s">
        <v>1278</v>
      </c>
      <c r="D89" s="3">
        <v>10004356</v>
      </c>
      <c r="E89" s="4">
        <v>4533961</v>
      </c>
      <c r="F89" s="3" t="s">
        <v>49</v>
      </c>
      <c r="G89" s="4" t="s">
        <v>1357</v>
      </c>
      <c r="H89" s="4" t="s">
        <v>1426</v>
      </c>
      <c r="I89" s="5">
        <v>414055</v>
      </c>
      <c r="J89" s="3" t="s">
        <v>76</v>
      </c>
      <c r="K89" s="3" t="s">
        <v>77</v>
      </c>
      <c r="L89" s="3" t="s">
        <v>196</v>
      </c>
      <c r="M89" s="4" t="s">
        <v>1426</v>
      </c>
      <c r="N89" s="3" t="s">
        <v>25</v>
      </c>
      <c r="O89" s="3"/>
      <c r="Q89" s="3"/>
      <c r="R89" s="3"/>
      <c r="Y89" s="4" t="s">
        <v>466</v>
      </c>
      <c r="Z89" s="4" t="s">
        <v>466</v>
      </c>
      <c r="AA89" s="4" t="s">
        <v>1497</v>
      </c>
      <c r="AB89" s="3"/>
      <c r="AC89" s="3"/>
      <c r="AD89" s="3" t="s">
        <v>1498</v>
      </c>
      <c r="AE89" s="3">
        <v>1000</v>
      </c>
      <c r="AI89" s="4" t="s">
        <v>468</v>
      </c>
      <c r="AJ89" s="4" t="s">
        <v>468</v>
      </c>
      <c r="AK89" s="3"/>
      <c r="AL89" s="4">
        <v>49941</v>
      </c>
      <c r="AM89" s="5">
        <v>414055</v>
      </c>
      <c r="AN89" s="4" t="s">
        <v>124</v>
      </c>
      <c r="AO89" s="4">
        <v>98</v>
      </c>
      <c r="AP89" s="4">
        <v>43230000</v>
      </c>
    </row>
    <row r="90" spans="1:42" s="4" customFormat="1" x14ac:dyDescent="0.25">
      <c r="A90" s="3">
        <v>4604618</v>
      </c>
      <c r="B90" s="28">
        <v>41876</v>
      </c>
      <c r="C90" s="3" t="s">
        <v>1278</v>
      </c>
      <c r="D90" s="3">
        <v>10004402</v>
      </c>
      <c r="E90" s="4">
        <v>4533969</v>
      </c>
      <c r="F90" s="3" t="s">
        <v>49</v>
      </c>
      <c r="G90" s="4" t="s">
        <v>1517</v>
      </c>
      <c r="H90" s="4" t="s">
        <v>1518</v>
      </c>
      <c r="I90" s="5">
        <v>72000</v>
      </c>
      <c r="J90" s="3" t="s">
        <v>1121</v>
      </c>
      <c r="K90" s="3" t="s">
        <v>832</v>
      </c>
      <c r="L90" s="3" t="s">
        <v>196</v>
      </c>
      <c r="M90" s="4" t="s">
        <v>1518</v>
      </c>
      <c r="N90" s="3" t="s">
        <v>25</v>
      </c>
      <c r="O90" s="3"/>
      <c r="Q90" s="3"/>
      <c r="R90" s="3"/>
      <c r="Y90" s="4" t="s">
        <v>405</v>
      </c>
      <c r="Z90" s="4" t="s">
        <v>1090</v>
      </c>
      <c r="AB90" s="3"/>
      <c r="AC90" s="3"/>
      <c r="AD90" s="3" t="s">
        <v>407</v>
      </c>
      <c r="AE90" s="3">
        <v>1000</v>
      </c>
      <c r="AI90" s="4" t="s">
        <v>408</v>
      </c>
      <c r="AJ90" s="4" t="s">
        <v>1091</v>
      </c>
      <c r="AK90" s="3"/>
      <c r="AL90" s="4">
        <v>49903</v>
      </c>
      <c r="AM90" s="5">
        <v>72000</v>
      </c>
      <c r="AN90" s="4" t="s">
        <v>124</v>
      </c>
      <c r="AO90" s="4">
        <v>98</v>
      </c>
      <c r="AP90" s="4">
        <v>81112200</v>
      </c>
    </row>
    <row r="91" spans="1:42" s="4" customFormat="1" x14ac:dyDescent="0.25">
      <c r="A91" s="3">
        <v>4604624</v>
      </c>
      <c r="B91" s="28">
        <v>42181</v>
      </c>
      <c r="C91" s="3" t="s">
        <v>1278</v>
      </c>
      <c r="D91" s="3">
        <v>10004407</v>
      </c>
      <c r="E91" s="4">
        <v>4533975</v>
      </c>
      <c r="F91" s="3" t="s">
        <v>49</v>
      </c>
      <c r="G91" s="4" t="s">
        <v>1527</v>
      </c>
      <c r="H91" s="4" t="s">
        <v>1528</v>
      </c>
      <c r="I91" s="5">
        <v>20913.560000000001</v>
      </c>
      <c r="J91" s="3" t="s">
        <v>1462</v>
      </c>
      <c r="K91" s="3" t="s">
        <v>77</v>
      </c>
      <c r="L91" s="3" t="s">
        <v>196</v>
      </c>
      <c r="M91" s="4" t="s">
        <v>1528</v>
      </c>
      <c r="N91" s="3" t="s">
        <v>25</v>
      </c>
      <c r="O91" s="3"/>
      <c r="Q91" s="3"/>
      <c r="R91" s="3"/>
      <c r="Y91" s="4" t="s">
        <v>1068</v>
      </c>
      <c r="Z91" s="4" t="s">
        <v>1090</v>
      </c>
      <c r="AB91" s="3"/>
      <c r="AC91" s="3"/>
      <c r="AD91" s="3" t="s">
        <v>1209</v>
      </c>
      <c r="AE91" s="3">
        <v>1000</v>
      </c>
      <c r="AI91" s="4" t="s">
        <v>1071</v>
      </c>
      <c r="AJ91" s="4" t="s">
        <v>1091</v>
      </c>
      <c r="AK91" s="3"/>
      <c r="AL91" s="4">
        <v>140948</v>
      </c>
      <c r="AM91" s="5">
        <v>20913.560000000001</v>
      </c>
      <c r="AN91" s="4" t="s">
        <v>124</v>
      </c>
      <c r="AO91" s="4">
        <v>99</v>
      </c>
      <c r="AP91" s="4">
        <v>83100000</v>
      </c>
    </row>
    <row r="92" spans="1:42" s="4" customFormat="1" x14ac:dyDescent="0.25">
      <c r="A92" s="3">
        <v>4604626</v>
      </c>
      <c r="B92" s="28">
        <v>42184</v>
      </c>
      <c r="C92" s="3" t="s">
        <v>1278</v>
      </c>
      <c r="D92" s="3">
        <v>10004409</v>
      </c>
      <c r="E92" s="4">
        <v>4533977</v>
      </c>
      <c r="F92" s="3" t="s">
        <v>49</v>
      </c>
      <c r="G92" s="4" t="s">
        <v>1533</v>
      </c>
      <c r="I92" s="5">
        <v>3798.08</v>
      </c>
      <c r="J92" s="3" t="s">
        <v>818</v>
      </c>
      <c r="K92" s="3" t="s">
        <v>77</v>
      </c>
      <c r="L92" s="3" t="s">
        <v>196</v>
      </c>
      <c r="M92" s="4" t="s">
        <v>1534</v>
      </c>
      <c r="N92" s="3" t="s">
        <v>25</v>
      </c>
      <c r="O92" s="3"/>
      <c r="Q92" s="3"/>
      <c r="R92" s="3"/>
      <c r="Y92" s="4" t="s">
        <v>1079</v>
      </c>
      <c r="Z92" s="4" t="s">
        <v>1090</v>
      </c>
      <c r="AB92" s="3"/>
      <c r="AC92" s="3"/>
      <c r="AD92" s="3" t="s">
        <v>287</v>
      </c>
      <c r="AE92" s="3">
        <v>1000</v>
      </c>
      <c r="AI92" s="4" t="s">
        <v>1083</v>
      </c>
      <c r="AJ92" s="4" t="s">
        <v>1091</v>
      </c>
      <c r="AK92" s="3"/>
      <c r="AL92" s="4">
        <v>140413</v>
      </c>
      <c r="AM92" s="5">
        <v>3798.08</v>
      </c>
      <c r="AN92" s="4" t="s">
        <v>124</v>
      </c>
    </row>
    <row r="93" spans="1:42" s="4" customFormat="1" x14ac:dyDescent="0.25">
      <c r="A93" s="3">
        <v>4604627</v>
      </c>
      <c r="B93" s="28">
        <v>41845</v>
      </c>
      <c r="C93" s="3" t="s">
        <v>1278</v>
      </c>
      <c r="D93" s="3">
        <v>10004410</v>
      </c>
      <c r="E93" s="4">
        <v>4533978</v>
      </c>
      <c r="F93" s="3" t="s">
        <v>49</v>
      </c>
      <c r="G93" s="4" t="s">
        <v>1535</v>
      </c>
      <c r="H93" s="4" t="s">
        <v>1536</v>
      </c>
      <c r="I93" s="5">
        <v>135648.82999999999</v>
      </c>
      <c r="J93" s="3" t="s">
        <v>1537</v>
      </c>
      <c r="K93" s="3" t="s">
        <v>1538</v>
      </c>
      <c r="L93" s="3" t="s">
        <v>196</v>
      </c>
      <c r="M93" s="4" t="s">
        <v>1536</v>
      </c>
      <c r="N93" s="3" t="s">
        <v>25</v>
      </c>
      <c r="O93" s="3"/>
      <c r="Q93" s="3"/>
      <c r="R93" s="3"/>
      <c r="Y93" s="4" t="s">
        <v>1539</v>
      </c>
      <c r="Z93" s="4" t="s">
        <v>1539</v>
      </c>
      <c r="AB93" s="3"/>
      <c r="AC93" s="3"/>
      <c r="AD93" s="3" t="s">
        <v>1537</v>
      </c>
      <c r="AE93" s="3">
        <v>1000</v>
      </c>
      <c r="AI93" s="4" t="s">
        <v>1540</v>
      </c>
      <c r="AJ93" s="4" t="s">
        <v>1540</v>
      </c>
      <c r="AK93" s="3"/>
      <c r="AL93" s="4">
        <v>30292</v>
      </c>
      <c r="AM93" s="5">
        <v>135648.82999999999</v>
      </c>
      <c r="AN93" s="4" t="s">
        <v>124</v>
      </c>
      <c r="AO93" s="4">
        <v>99</v>
      </c>
      <c r="AP93" s="4">
        <v>80160000</v>
      </c>
    </row>
    <row r="94" spans="1:42" s="4" customFormat="1" x14ac:dyDescent="0.25">
      <c r="A94" s="3">
        <v>4604629</v>
      </c>
      <c r="B94" s="28">
        <v>42188</v>
      </c>
      <c r="C94" s="3" t="s">
        <v>1278</v>
      </c>
      <c r="D94" s="3">
        <v>10004422</v>
      </c>
      <c r="E94" s="4">
        <v>4533980</v>
      </c>
      <c r="F94" s="3" t="s">
        <v>49</v>
      </c>
      <c r="G94" s="4" t="s">
        <v>1541</v>
      </c>
      <c r="H94" s="4" t="s">
        <v>1542</v>
      </c>
      <c r="I94" s="5">
        <v>10449.65</v>
      </c>
      <c r="J94" s="3" t="s">
        <v>76</v>
      </c>
      <c r="K94" s="3" t="s">
        <v>77</v>
      </c>
      <c r="L94" s="3" t="s">
        <v>196</v>
      </c>
      <c r="M94" s="4" t="s">
        <v>1542</v>
      </c>
      <c r="N94" s="3" t="s">
        <v>25</v>
      </c>
      <c r="O94" s="3"/>
      <c r="Q94" s="3"/>
      <c r="R94" s="3"/>
      <c r="Y94" s="4" t="s">
        <v>344</v>
      </c>
      <c r="Z94" s="4" t="s">
        <v>344</v>
      </c>
      <c r="AB94" s="3"/>
      <c r="AC94" s="3"/>
      <c r="AD94" s="3" t="s">
        <v>1481</v>
      </c>
      <c r="AE94" s="3">
        <v>1000</v>
      </c>
      <c r="AI94" s="4" t="s">
        <v>345</v>
      </c>
      <c r="AJ94" s="4" t="s">
        <v>345</v>
      </c>
      <c r="AK94" s="3"/>
      <c r="AL94" s="4">
        <v>140298</v>
      </c>
      <c r="AM94" s="5">
        <v>10449.65</v>
      </c>
      <c r="AN94" s="4" t="s">
        <v>124</v>
      </c>
      <c r="AO94" s="4">
        <v>99</v>
      </c>
      <c r="AP94" s="4">
        <v>43230000</v>
      </c>
    </row>
    <row r="95" spans="1:42" s="4" customFormat="1" x14ac:dyDescent="0.25">
      <c r="A95" s="3">
        <v>4604631</v>
      </c>
      <c r="B95" s="28">
        <v>41843</v>
      </c>
      <c r="C95" s="3" t="s">
        <v>1278</v>
      </c>
      <c r="D95" s="3">
        <v>10004426</v>
      </c>
      <c r="E95" s="4">
        <v>4533982</v>
      </c>
      <c r="F95" s="3" t="s">
        <v>49</v>
      </c>
      <c r="G95" s="4" t="s">
        <v>1544</v>
      </c>
      <c r="H95" s="4" t="s">
        <v>1545</v>
      </c>
      <c r="I95" s="5">
        <v>15000</v>
      </c>
      <c r="J95" s="3" t="s">
        <v>1543</v>
      </c>
      <c r="K95" s="3" t="s">
        <v>77</v>
      </c>
      <c r="L95" s="3" t="s">
        <v>196</v>
      </c>
      <c r="M95" s="4" t="s">
        <v>1546</v>
      </c>
      <c r="N95" s="3" t="s">
        <v>25</v>
      </c>
      <c r="O95" s="3"/>
      <c r="Q95" s="3"/>
      <c r="R95" s="3"/>
      <c r="Y95" s="4" t="s">
        <v>1056</v>
      </c>
      <c r="Z95" s="4" t="s">
        <v>1090</v>
      </c>
      <c r="AB95" s="3"/>
      <c r="AC95" s="3"/>
      <c r="AD95" s="3" t="s">
        <v>1543</v>
      </c>
      <c r="AE95" s="3">
        <v>1000</v>
      </c>
      <c r="AI95" s="4" t="s">
        <v>1058</v>
      </c>
      <c r="AJ95" s="4" t="s">
        <v>1091</v>
      </c>
      <c r="AK95" s="3"/>
      <c r="AL95" s="4">
        <v>40356</v>
      </c>
      <c r="AM95" s="5">
        <v>15000</v>
      </c>
      <c r="AN95" s="4" t="s">
        <v>124</v>
      </c>
      <c r="AO95" s="4">
        <v>99</v>
      </c>
      <c r="AP95" s="4">
        <v>78141501</v>
      </c>
    </row>
    <row r="96" spans="1:42" s="4" customFormat="1" x14ac:dyDescent="0.25">
      <c r="A96" s="3">
        <v>4604635</v>
      </c>
      <c r="B96" s="28">
        <v>41844</v>
      </c>
      <c r="C96" s="3" t="s">
        <v>1278</v>
      </c>
      <c r="D96" s="3">
        <v>10004431</v>
      </c>
      <c r="E96" s="4">
        <v>4533986</v>
      </c>
      <c r="F96" s="3" t="s">
        <v>49</v>
      </c>
      <c r="G96" s="4" t="s">
        <v>1547</v>
      </c>
      <c r="I96" s="5">
        <v>8470.02</v>
      </c>
      <c r="J96" s="3" t="s">
        <v>259</v>
      </c>
      <c r="K96" s="3" t="s">
        <v>321</v>
      </c>
      <c r="L96" s="3" t="s">
        <v>196</v>
      </c>
      <c r="M96" s="4" t="s">
        <v>1548</v>
      </c>
      <c r="N96" s="3" t="s">
        <v>25</v>
      </c>
      <c r="O96" s="3"/>
      <c r="Q96" s="3"/>
      <c r="R96" s="3"/>
      <c r="Y96" s="4" t="s">
        <v>179</v>
      </c>
      <c r="Z96" s="4" t="s">
        <v>179</v>
      </c>
      <c r="AB96" s="3"/>
      <c r="AC96" s="3"/>
      <c r="AD96" s="3" t="s">
        <v>1496</v>
      </c>
      <c r="AE96" s="3">
        <v>1000</v>
      </c>
      <c r="AI96" s="4" t="s">
        <v>182</v>
      </c>
      <c r="AJ96" s="4" t="s">
        <v>182</v>
      </c>
      <c r="AK96" s="3"/>
      <c r="AL96" s="4">
        <v>48169</v>
      </c>
      <c r="AM96" s="5">
        <v>8470.02</v>
      </c>
      <c r="AN96" s="4" t="s">
        <v>124</v>
      </c>
    </row>
    <row r="97" spans="1:42" s="4" customFormat="1" x14ac:dyDescent="0.25">
      <c r="A97" s="3">
        <v>4604637</v>
      </c>
      <c r="B97" s="28">
        <v>41984</v>
      </c>
      <c r="C97" s="3" t="s">
        <v>1278</v>
      </c>
      <c r="D97" s="3">
        <v>10004435</v>
      </c>
      <c r="E97" s="4">
        <v>4533988</v>
      </c>
      <c r="F97" s="3" t="s">
        <v>49</v>
      </c>
      <c r="G97" s="4" t="s">
        <v>1551</v>
      </c>
      <c r="H97" s="4" t="s">
        <v>1552</v>
      </c>
      <c r="I97" s="5">
        <v>26176.42</v>
      </c>
      <c r="J97" s="3" t="s">
        <v>223</v>
      </c>
      <c r="K97" s="3" t="s">
        <v>832</v>
      </c>
      <c r="L97" s="3" t="s">
        <v>196</v>
      </c>
      <c r="M97" s="4" t="s">
        <v>1552</v>
      </c>
      <c r="N97" s="3" t="s">
        <v>25</v>
      </c>
      <c r="O97" s="3" t="s">
        <v>139</v>
      </c>
      <c r="P97" s="4" t="s">
        <v>140</v>
      </c>
      <c r="Q97" s="3"/>
      <c r="R97" s="3"/>
      <c r="Y97" s="4" t="s">
        <v>1079</v>
      </c>
      <c r="Z97" s="4" t="s">
        <v>1430</v>
      </c>
      <c r="AB97" s="3"/>
      <c r="AC97" s="3"/>
      <c r="AD97" s="3" t="s">
        <v>436</v>
      </c>
      <c r="AE97" s="3">
        <v>1000</v>
      </c>
      <c r="AI97" s="4" t="s">
        <v>1083</v>
      </c>
      <c r="AJ97" s="4" t="s">
        <v>1432</v>
      </c>
      <c r="AK97" s="3" t="s">
        <v>143</v>
      </c>
      <c r="AL97" s="4">
        <v>141105</v>
      </c>
      <c r="AM97" s="5">
        <v>26176.42</v>
      </c>
      <c r="AN97" s="4" t="s">
        <v>124</v>
      </c>
      <c r="AO97" s="4">
        <v>99</v>
      </c>
      <c r="AP97" s="4">
        <v>80101505</v>
      </c>
    </row>
    <row r="98" spans="1:42" s="4" customFormat="1" x14ac:dyDescent="0.25">
      <c r="A98" s="3">
        <v>4604640</v>
      </c>
      <c r="B98" s="28">
        <v>41850</v>
      </c>
      <c r="C98" s="3" t="s">
        <v>1278</v>
      </c>
      <c r="D98" s="3">
        <v>10004432</v>
      </c>
      <c r="E98" s="4">
        <v>4533991</v>
      </c>
      <c r="F98" s="3" t="s">
        <v>49</v>
      </c>
      <c r="G98" s="4" t="s">
        <v>1561</v>
      </c>
      <c r="H98" s="4" t="s">
        <v>1562</v>
      </c>
      <c r="I98" s="5">
        <v>37600</v>
      </c>
      <c r="J98" s="3" t="s">
        <v>1563</v>
      </c>
      <c r="K98" s="3" t="s">
        <v>997</v>
      </c>
      <c r="L98" s="3" t="s">
        <v>196</v>
      </c>
      <c r="M98" s="4" t="s">
        <v>1564</v>
      </c>
      <c r="N98" s="3" t="s">
        <v>25</v>
      </c>
      <c r="O98" s="3"/>
      <c r="Q98" s="3"/>
      <c r="R98" s="3"/>
      <c r="Y98" s="4" t="s">
        <v>1056</v>
      </c>
      <c r="Z98" s="4" t="s">
        <v>1090</v>
      </c>
      <c r="AB98" s="3"/>
      <c r="AC98" s="3"/>
      <c r="AD98" s="3" t="s">
        <v>223</v>
      </c>
      <c r="AE98" s="3">
        <v>1000</v>
      </c>
      <c r="AI98" s="4" t="s">
        <v>1058</v>
      </c>
      <c r="AJ98" s="4" t="s">
        <v>1091</v>
      </c>
      <c r="AK98" s="3"/>
      <c r="AL98" s="4">
        <v>30955</v>
      </c>
      <c r="AM98" s="5">
        <v>37600</v>
      </c>
      <c r="AN98" s="4" t="s">
        <v>124</v>
      </c>
      <c r="AO98" s="4">
        <v>99</v>
      </c>
    </row>
    <row r="99" spans="1:42" s="4" customFormat="1" x14ac:dyDescent="0.25">
      <c r="A99" s="3">
        <v>4604641</v>
      </c>
      <c r="B99" s="28">
        <v>41837</v>
      </c>
      <c r="C99" s="3" t="s">
        <v>1278</v>
      </c>
      <c r="D99" s="3">
        <v>10004387</v>
      </c>
      <c r="E99" s="4">
        <v>4533992</v>
      </c>
      <c r="F99" s="3" t="s">
        <v>49</v>
      </c>
      <c r="G99" s="4" t="s">
        <v>1566</v>
      </c>
      <c r="H99" s="4" t="s">
        <v>1567</v>
      </c>
      <c r="I99" s="5">
        <v>11000</v>
      </c>
      <c r="J99" s="3" t="s">
        <v>1565</v>
      </c>
      <c r="K99" s="3" t="s">
        <v>1568</v>
      </c>
      <c r="L99" s="3" t="s">
        <v>196</v>
      </c>
      <c r="M99" s="4" t="s">
        <v>1567</v>
      </c>
      <c r="N99" s="3" t="s">
        <v>25</v>
      </c>
      <c r="O99" s="3"/>
      <c r="Q99" s="3"/>
      <c r="R99" s="3"/>
      <c r="Y99" s="4" t="s">
        <v>1309</v>
      </c>
      <c r="Z99" s="4" t="s">
        <v>1569</v>
      </c>
      <c r="AB99" s="3"/>
      <c r="AC99" s="3"/>
      <c r="AD99" s="3" t="s">
        <v>1570</v>
      </c>
      <c r="AE99" s="3">
        <v>1000</v>
      </c>
      <c r="AI99" s="4" t="s">
        <v>1313</v>
      </c>
      <c r="AJ99" s="4" t="s">
        <v>1571</v>
      </c>
      <c r="AK99" s="3"/>
      <c r="AL99" s="4">
        <v>140505</v>
      </c>
      <c r="AM99" s="5">
        <v>11000</v>
      </c>
      <c r="AN99" s="4" t="s">
        <v>124</v>
      </c>
      <c r="AO99" s="4">
        <v>99</v>
      </c>
      <c r="AP99" s="4">
        <v>82141501</v>
      </c>
    </row>
    <row r="100" spans="1:42" s="4" customFormat="1" x14ac:dyDescent="0.25">
      <c r="A100" s="3">
        <v>4604642</v>
      </c>
      <c r="B100" s="28">
        <v>41852</v>
      </c>
      <c r="C100" s="3" t="s">
        <v>1278</v>
      </c>
      <c r="D100" s="3">
        <v>10004436</v>
      </c>
      <c r="E100" s="4">
        <v>4533993</v>
      </c>
      <c r="F100" s="3" t="s">
        <v>49</v>
      </c>
      <c r="G100" s="4" t="s">
        <v>1245</v>
      </c>
      <c r="H100" s="4" t="s">
        <v>1572</v>
      </c>
      <c r="I100" s="5">
        <v>14392</v>
      </c>
      <c r="J100" s="3" t="s">
        <v>214</v>
      </c>
      <c r="K100" s="3" t="s">
        <v>1573</v>
      </c>
      <c r="L100" s="3" t="s">
        <v>196</v>
      </c>
      <c r="M100" s="4" t="s">
        <v>1574</v>
      </c>
      <c r="N100" s="3" t="s">
        <v>25</v>
      </c>
      <c r="O100" s="3"/>
      <c r="Q100" s="3"/>
      <c r="R100" s="3"/>
      <c r="Y100" s="4" t="s">
        <v>1249</v>
      </c>
      <c r="Z100" s="4" t="s">
        <v>1090</v>
      </c>
      <c r="AB100" s="3"/>
      <c r="AC100" s="3"/>
      <c r="AD100" s="3" t="s">
        <v>223</v>
      </c>
      <c r="AE100" s="3">
        <v>1000</v>
      </c>
      <c r="AI100" s="4" t="s">
        <v>1250</v>
      </c>
      <c r="AJ100" s="4" t="s">
        <v>1091</v>
      </c>
      <c r="AK100" s="3"/>
      <c r="AL100" s="4">
        <v>140158</v>
      </c>
      <c r="AM100" s="5">
        <v>14392</v>
      </c>
      <c r="AN100" s="4" t="s">
        <v>124</v>
      </c>
      <c r="AO100" s="4">
        <v>99</v>
      </c>
      <c r="AP100" s="4">
        <v>76111500</v>
      </c>
    </row>
    <row r="101" spans="1:42" s="4" customFormat="1" x14ac:dyDescent="0.25">
      <c r="A101" s="3">
        <v>4604644</v>
      </c>
      <c r="B101" s="28">
        <v>42185</v>
      </c>
      <c r="C101" s="3" t="s">
        <v>1278</v>
      </c>
      <c r="D101" s="3">
        <v>10004439</v>
      </c>
      <c r="E101" s="4">
        <v>4533995</v>
      </c>
      <c r="F101" s="3" t="s">
        <v>49</v>
      </c>
      <c r="G101" s="4" t="s">
        <v>1575</v>
      </c>
      <c r="I101" s="5">
        <v>1991.19</v>
      </c>
      <c r="J101" s="3" t="s">
        <v>223</v>
      </c>
      <c r="K101" s="3" t="s">
        <v>77</v>
      </c>
      <c r="L101" s="3" t="s">
        <v>196</v>
      </c>
      <c r="M101" s="4" t="s">
        <v>1576</v>
      </c>
      <c r="N101" s="3" t="s">
        <v>25</v>
      </c>
      <c r="O101" s="3"/>
      <c r="Q101" s="3"/>
      <c r="R101" s="3"/>
      <c r="Y101" s="4" t="s">
        <v>1068</v>
      </c>
      <c r="Z101" s="4" t="s">
        <v>1090</v>
      </c>
      <c r="AB101" s="3"/>
      <c r="AC101" s="3"/>
      <c r="AD101" s="3" t="s">
        <v>77</v>
      </c>
      <c r="AE101" s="3">
        <v>1000</v>
      </c>
      <c r="AI101" s="4" t="s">
        <v>1071</v>
      </c>
      <c r="AJ101" s="4" t="s">
        <v>1091</v>
      </c>
      <c r="AK101" s="3"/>
      <c r="AL101" s="4">
        <v>49555</v>
      </c>
      <c r="AM101" s="5">
        <v>1991.19</v>
      </c>
      <c r="AN101" s="4" t="s">
        <v>124</v>
      </c>
    </row>
    <row r="102" spans="1:42" s="4" customFormat="1" x14ac:dyDescent="0.25">
      <c r="A102" s="3">
        <v>4604648</v>
      </c>
      <c r="B102" s="28">
        <v>42185</v>
      </c>
      <c r="C102" s="3" t="s">
        <v>1278</v>
      </c>
      <c r="D102" s="3">
        <v>10004441</v>
      </c>
      <c r="E102" s="4">
        <v>4533999</v>
      </c>
      <c r="F102" s="3" t="s">
        <v>49</v>
      </c>
      <c r="G102" s="4" t="s">
        <v>1454</v>
      </c>
      <c r="H102" s="4" t="s">
        <v>1577</v>
      </c>
      <c r="I102" s="5">
        <v>13064.95</v>
      </c>
      <c r="J102" s="3" t="s">
        <v>1578</v>
      </c>
      <c r="K102" s="3" t="s">
        <v>291</v>
      </c>
      <c r="L102" s="3" t="s">
        <v>196</v>
      </c>
      <c r="M102" s="4" t="s">
        <v>1577</v>
      </c>
      <c r="N102" s="3" t="s">
        <v>25</v>
      </c>
      <c r="O102" s="3"/>
      <c r="Q102" s="3"/>
      <c r="R102" s="3"/>
      <c r="Y102" s="4" t="s">
        <v>1141</v>
      </c>
      <c r="Z102" s="4" t="s">
        <v>1141</v>
      </c>
      <c r="AB102" s="3"/>
      <c r="AC102" s="3"/>
      <c r="AD102" s="3" t="s">
        <v>77</v>
      </c>
      <c r="AE102" s="3">
        <v>1000</v>
      </c>
      <c r="AI102" s="4" t="s">
        <v>1144</v>
      </c>
      <c r="AJ102" s="4" t="s">
        <v>1144</v>
      </c>
      <c r="AK102" s="3"/>
      <c r="AL102" s="4">
        <v>141769</v>
      </c>
      <c r="AM102" s="5">
        <v>13064.95</v>
      </c>
      <c r="AN102" s="4" t="s">
        <v>124</v>
      </c>
      <c r="AO102" s="4">
        <v>99</v>
      </c>
      <c r="AP102" s="4">
        <v>72101500</v>
      </c>
    </row>
    <row r="103" spans="1:42" s="4" customFormat="1" x14ac:dyDescent="0.25">
      <c r="A103" s="3">
        <v>4604650</v>
      </c>
      <c r="B103" s="28">
        <v>41855</v>
      </c>
      <c r="C103" s="3" t="s">
        <v>1278</v>
      </c>
      <c r="D103" s="3">
        <v>10004443</v>
      </c>
      <c r="E103" s="4">
        <v>4534001</v>
      </c>
      <c r="F103" s="3" t="s">
        <v>49</v>
      </c>
      <c r="G103" s="4" t="s">
        <v>1579</v>
      </c>
      <c r="H103" s="4" t="s">
        <v>1580</v>
      </c>
      <c r="I103" s="5">
        <v>17325</v>
      </c>
      <c r="J103" s="3" t="s">
        <v>1578</v>
      </c>
      <c r="K103" s="3" t="s">
        <v>187</v>
      </c>
      <c r="L103" s="3" t="s">
        <v>196</v>
      </c>
      <c r="M103" s="4" t="s">
        <v>1580</v>
      </c>
      <c r="N103" s="3" t="s">
        <v>25</v>
      </c>
      <c r="O103" s="3"/>
      <c r="Q103" s="3"/>
      <c r="R103" s="3"/>
      <c r="Y103" s="4" t="s">
        <v>1309</v>
      </c>
      <c r="Z103" s="4" t="s">
        <v>1309</v>
      </c>
      <c r="AB103" s="3"/>
      <c r="AC103" s="3"/>
      <c r="AD103" s="3" t="s">
        <v>794</v>
      </c>
      <c r="AE103" s="3">
        <v>1000</v>
      </c>
      <c r="AI103" s="4" t="s">
        <v>1313</v>
      </c>
      <c r="AJ103" s="4" t="s">
        <v>1313</v>
      </c>
      <c r="AK103" s="3"/>
      <c r="AL103" s="4">
        <v>141755</v>
      </c>
      <c r="AM103" s="5">
        <v>17325</v>
      </c>
      <c r="AN103" s="4" t="s">
        <v>124</v>
      </c>
      <c r="AO103" s="4">
        <v>99</v>
      </c>
      <c r="AP103" s="4">
        <v>80101507</v>
      </c>
    </row>
    <row r="104" spans="1:42" s="4" customFormat="1" x14ac:dyDescent="0.25">
      <c r="A104" s="3">
        <v>4604658</v>
      </c>
      <c r="B104" s="28">
        <v>41862</v>
      </c>
      <c r="C104" s="3" t="s">
        <v>1278</v>
      </c>
      <c r="D104" s="3">
        <v>10004453</v>
      </c>
      <c r="E104" s="4">
        <v>4534009</v>
      </c>
      <c r="F104" s="3" t="s">
        <v>49</v>
      </c>
      <c r="G104" s="4" t="s">
        <v>1582</v>
      </c>
      <c r="H104" s="4" t="s">
        <v>1583</v>
      </c>
      <c r="I104" s="5">
        <v>27310</v>
      </c>
      <c r="J104" s="3" t="s">
        <v>76</v>
      </c>
      <c r="K104" s="3" t="s">
        <v>302</v>
      </c>
      <c r="L104" s="3" t="s">
        <v>196</v>
      </c>
      <c r="M104" s="4" t="s">
        <v>1584</v>
      </c>
      <c r="N104" s="3" t="s">
        <v>25</v>
      </c>
      <c r="O104" s="3"/>
      <c r="Q104" s="3"/>
      <c r="R104" s="3"/>
      <c r="Y104" s="4" t="s">
        <v>1585</v>
      </c>
      <c r="Z104" s="4" t="s">
        <v>1585</v>
      </c>
      <c r="AB104" s="3"/>
      <c r="AC104" s="3"/>
      <c r="AD104" s="3" t="s">
        <v>1169</v>
      </c>
      <c r="AE104" s="3">
        <v>1000</v>
      </c>
      <c r="AI104" s="4" t="s">
        <v>1586</v>
      </c>
      <c r="AJ104" s="4" t="s">
        <v>1586</v>
      </c>
      <c r="AK104" s="3"/>
      <c r="AL104" s="4">
        <v>30315</v>
      </c>
      <c r="AM104" s="5">
        <v>27310</v>
      </c>
      <c r="AN104" s="4" t="s">
        <v>124</v>
      </c>
      <c r="AO104" s="4">
        <v>99</v>
      </c>
      <c r="AP104" s="4">
        <v>43210000</v>
      </c>
    </row>
    <row r="105" spans="1:42" s="4" customFormat="1" x14ac:dyDescent="0.25">
      <c r="A105" s="3">
        <v>4604665</v>
      </c>
      <c r="B105" s="28">
        <v>41863</v>
      </c>
      <c r="C105" s="3" t="s">
        <v>1278</v>
      </c>
      <c r="D105" s="3">
        <v>10004447</v>
      </c>
      <c r="E105" s="4">
        <v>4534016</v>
      </c>
      <c r="F105" s="3" t="s">
        <v>49</v>
      </c>
      <c r="G105" s="4" t="s">
        <v>1594</v>
      </c>
      <c r="H105" s="4" t="s">
        <v>1595</v>
      </c>
      <c r="I105" s="5">
        <v>51315</v>
      </c>
      <c r="J105" s="3" t="s">
        <v>768</v>
      </c>
      <c r="K105" s="3" t="s">
        <v>807</v>
      </c>
      <c r="L105" s="3" t="s">
        <v>196</v>
      </c>
      <c r="M105" s="4" t="s">
        <v>1595</v>
      </c>
      <c r="N105" s="3" t="s">
        <v>25</v>
      </c>
      <c r="O105" s="3"/>
      <c r="Q105" s="3"/>
      <c r="R105" s="3"/>
      <c r="Y105" s="4" t="s">
        <v>1309</v>
      </c>
      <c r="Z105" s="4" t="s">
        <v>1309</v>
      </c>
      <c r="AB105" s="3"/>
      <c r="AC105" s="3"/>
      <c r="AD105" s="3" t="s">
        <v>292</v>
      </c>
      <c r="AE105" s="3">
        <v>1000</v>
      </c>
      <c r="AI105" s="4" t="s">
        <v>1313</v>
      </c>
      <c r="AJ105" s="4" t="s">
        <v>1313</v>
      </c>
      <c r="AK105" s="3"/>
      <c r="AL105" s="4">
        <v>49706</v>
      </c>
      <c r="AM105" s="5">
        <v>51315</v>
      </c>
      <c r="AN105" s="4" t="s">
        <v>124</v>
      </c>
      <c r="AO105" s="4">
        <v>99</v>
      </c>
      <c r="AP105" s="4">
        <v>80101507</v>
      </c>
    </row>
    <row r="106" spans="1:42" s="4" customFormat="1" x14ac:dyDescent="0.25">
      <c r="A106" s="3">
        <v>4604666</v>
      </c>
      <c r="B106" s="28">
        <v>42185</v>
      </c>
      <c r="C106" s="3" t="s">
        <v>1278</v>
      </c>
      <c r="D106" s="3">
        <v>10004460</v>
      </c>
      <c r="E106" s="4">
        <v>4534017</v>
      </c>
      <c r="F106" s="3" t="s">
        <v>49</v>
      </c>
      <c r="G106" s="4" t="s">
        <v>1454</v>
      </c>
      <c r="H106" s="4" t="s">
        <v>1596</v>
      </c>
      <c r="I106" s="5">
        <v>77388.009999999995</v>
      </c>
      <c r="J106" s="3" t="s">
        <v>1591</v>
      </c>
      <c r="K106" s="3" t="s">
        <v>832</v>
      </c>
      <c r="L106" s="3" t="s">
        <v>196</v>
      </c>
      <c r="M106" s="4" t="s">
        <v>1596</v>
      </c>
      <c r="N106" s="3" t="s">
        <v>25</v>
      </c>
      <c r="O106" s="3"/>
      <c r="Q106" s="3"/>
      <c r="R106" s="3"/>
      <c r="Y106" s="4" t="s">
        <v>1141</v>
      </c>
      <c r="Z106" s="4" t="s">
        <v>1141</v>
      </c>
      <c r="AB106" s="3"/>
      <c r="AC106" s="3"/>
      <c r="AD106" s="3" t="s">
        <v>77</v>
      </c>
      <c r="AE106" s="3">
        <v>1000</v>
      </c>
      <c r="AI106" s="4" t="s">
        <v>1144</v>
      </c>
      <c r="AJ106" s="4" t="s">
        <v>1144</v>
      </c>
      <c r="AK106" s="3"/>
      <c r="AL106" s="4">
        <v>141769</v>
      </c>
      <c r="AM106" s="5">
        <v>77388.009999999995</v>
      </c>
      <c r="AN106" s="4" t="s">
        <v>124</v>
      </c>
      <c r="AO106" s="4">
        <v>99</v>
      </c>
      <c r="AP106" s="4">
        <v>72101500</v>
      </c>
    </row>
    <row r="107" spans="1:42" s="4" customFormat="1" x14ac:dyDescent="0.25">
      <c r="A107" s="3">
        <v>4604669</v>
      </c>
      <c r="B107" s="28">
        <v>41869</v>
      </c>
      <c r="C107" s="3" t="s">
        <v>1278</v>
      </c>
      <c r="D107" s="3">
        <v>10004466</v>
      </c>
      <c r="E107" s="4">
        <v>4534020</v>
      </c>
      <c r="F107" s="3" t="s">
        <v>49</v>
      </c>
      <c r="G107" s="4" t="s">
        <v>1599</v>
      </c>
      <c r="H107" s="4" t="s">
        <v>1600</v>
      </c>
      <c r="I107" s="5">
        <v>79200</v>
      </c>
      <c r="J107" s="3" t="s">
        <v>1084</v>
      </c>
      <c r="K107" s="3" t="s">
        <v>77</v>
      </c>
      <c r="L107" s="3" t="s">
        <v>196</v>
      </c>
      <c r="M107" s="4" t="s">
        <v>1600</v>
      </c>
      <c r="N107" s="3" t="s">
        <v>25</v>
      </c>
      <c r="O107" s="3"/>
      <c r="Q107" s="3"/>
      <c r="R107" s="3"/>
      <c r="Y107" s="4" t="s">
        <v>1222</v>
      </c>
      <c r="Z107" s="4" t="s">
        <v>1090</v>
      </c>
      <c r="AB107" s="3"/>
      <c r="AC107" s="3"/>
      <c r="AD107" s="3" t="s">
        <v>183</v>
      </c>
      <c r="AE107" s="3">
        <v>1000</v>
      </c>
      <c r="AI107" s="4" t="s">
        <v>1226</v>
      </c>
      <c r="AJ107" s="4" t="s">
        <v>1091</v>
      </c>
      <c r="AK107" s="3"/>
      <c r="AL107" s="4">
        <v>141435</v>
      </c>
      <c r="AM107" s="5">
        <v>79200</v>
      </c>
      <c r="AN107" s="4" t="s">
        <v>124</v>
      </c>
      <c r="AO107" s="4">
        <v>99</v>
      </c>
      <c r="AP107" s="4">
        <v>81112200</v>
      </c>
    </row>
    <row r="108" spans="1:42" s="4" customFormat="1" x14ac:dyDescent="0.25">
      <c r="A108" s="3">
        <v>4604670</v>
      </c>
      <c r="B108" s="28">
        <v>41871</v>
      </c>
      <c r="C108" s="3" t="s">
        <v>1278</v>
      </c>
      <c r="D108" s="3">
        <v>10004465</v>
      </c>
      <c r="E108" s="4">
        <v>4534021</v>
      </c>
      <c r="F108" s="3" t="s">
        <v>49</v>
      </c>
      <c r="G108" s="4" t="s">
        <v>1517</v>
      </c>
      <c r="H108" s="4" t="s">
        <v>1602</v>
      </c>
      <c r="I108" s="5">
        <v>17600</v>
      </c>
      <c r="J108" s="3" t="s">
        <v>1601</v>
      </c>
      <c r="K108" s="3" t="s">
        <v>832</v>
      </c>
      <c r="L108" s="3" t="s">
        <v>196</v>
      </c>
      <c r="M108" s="4" t="s">
        <v>1602</v>
      </c>
      <c r="N108" s="3" t="s">
        <v>25</v>
      </c>
      <c r="O108" s="3"/>
      <c r="Q108" s="3"/>
      <c r="R108" s="3"/>
      <c r="Y108" s="4" t="s">
        <v>1222</v>
      </c>
      <c r="Z108" s="4" t="s">
        <v>1090</v>
      </c>
      <c r="AB108" s="3"/>
      <c r="AC108" s="3"/>
      <c r="AD108" s="3" t="s">
        <v>183</v>
      </c>
      <c r="AE108" s="3">
        <v>1000</v>
      </c>
      <c r="AI108" s="4" t="s">
        <v>1226</v>
      </c>
      <c r="AJ108" s="4" t="s">
        <v>1091</v>
      </c>
      <c r="AK108" s="3"/>
      <c r="AL108" s="4">
        <v>49903</v>
      </c>
      <c r="AM108" s="5">
        <v>17600</v>
      </c>
      <c r="AN108" s="4" t="s">
        <v>124</v>
      </c>
      <c r="AO108" s="4">
        <v>99</v>
      </c>
      <c r="AP108" s="4">
        <v>81111700</v>
      </c>
    </row>
    <row r="109" spans="1:42" s="4" customFormat="1" x14ac:dyDescent="0.25">
      <c r="A109" s="3">
        <v>4604671</v>
      </c>
      <c r="B109" s="28">
        <v>42051</v>
      </c>
      <c r="C109" s="3" t="s">
        <v>1278</v>
      </c>
      <c r="D109" s="3">
        <v>10004464</v>
      </c>
      <c r="E109" s="4">
        <v>4534022</v>
      </c>
      <c r="F109" s="3" t="s">
        <v>49</v>
      </c>
      <c r="G109" s="4" t="s">
        <v>1603</v>
      </c>
      <c r="I109" s="5">
        <v>3066.8</v>
      </c>
      <c r="J109" s="3" t="s">
        <v>214</v>
      </c>
      <c r="K109" s="3" t="s">
        <v>77</v>
      </c>
      <c r="L109" s="3" t="s">
        <v>196</v>
      </c>
      <c r="M109" s="4" t="s">
        <v>1604</v>
      </c>
      <c r="N109" s="3" t="s">
        <v>25</v>
      </c>
      <c r="O109" s="3"/>
      <c r="Q109" s="3"/>
      <c r="R109" s="3"/>
      <c r="Y109" s="4" t="s">
        <v>540</v>
      </c>
      <c r="Z109" s="4" t="s">
        <v>1090</v>
      </c>
      <c r="AB109" s="3"/>
      <c r="AC109" s="3"/>
      <c r="AD109" s="3" t="s">
        <v>465</v>
      </c>
      <c r="AE109" s="3">
        <v>1000</v>
      </c>
      <c r="AI109" s="4" t="s">
        <v>542</v>
      </c>
      <c r="AJ109" s="4" t="s">
        <v>1091</v>
      </c>
      <c r="AK109" s="3"/>
      <c r="AL109" s="4">
        <v>41323</v>
      </c>
      <c r="AM109" s="5">
        <v>3066.8</v>
      </c>
      <c r="AN109" s="4" t="s">
        <v>124</v>
      </c>
    </row>
    <row r="110" spans="1:42" s="4" customFormat="1" x14ac:dyDescent="0.25">
      <c r="A110" s="3">
        <v>4604673</v>
      </c>
      <c r="B110" s="28">
        <v>42181</v>
      </c>
      <c r="C110" s="3" t="s">
        <v>1278</v>
      </c>
      <c r="D110" s="3">
        <v>10004463</v>
      </c>
      <c r="E110" s="4">
        <v>4534024</v>
      </c>
      <c r="F110" s="3" t="s">
        <v>49</v>
      </c>
      <c r="G110" s="4" t="s">
        <v>1605</v>
      </c>
      <c r="H110" s="4" t="s">
        <v>1606</v>
      </c>
      <c r="I110" s="5">
        <v>19110</v>
      </c>
      <c r="J110" s="3" t="s">
        <v>214</v>
      </c>
      <c r="K110" s="3" t="s">
        <v>77</v>
      </c>
      <c r="L110" s="3" t="s">
        <v>196</v>
      </c>
      <c r="M110" s="4" t="s">
        <v>1607</v>
      </c>
      <c r="N110" s="3" t="s">
        <v>25</v>
      </c>
      <c r="O110" s="3"/>
      <c r="Q110" s="3"/>
      <c r="R110" s="3"/>
      <c r="Y110" s="4" t="s">
        <v>1068</v>
      </c>
      <c r="Z110" s="4" t="s">
        <v>1090</v>
      </c>
      <c r="AB110" s="3"/>
      <c r="AC110" s="3"/>
      <c r="AD110" s="3" t="s">
        <v>439</v>
      </c>
      <c r="AE110" s="3">
        <v>1000</v>
      </c>
      <c r="AI110" s="4" t="s">
        <v>1071</v>
      </c>
      <c r="AJ110" s="4" t="s">
        <v>1091</v>
      </c>
      <c r="AK110" s="3"/>
      <c r="AL110" s="4">
        <v>30956</v>
      </c>
      <c r="AM110" s="5">
        <v>19110</v>
      </c>
      <c r="AN110" s="4" t="s">
        <v>124</v>
      </c>
      <c r="AO110" s="4">
        <v>99</v>
      </c>
      <c r="AP110" s="4">
        <v>80111700</v>
      </c>
    </row>
    <row r="111" spans="1:42" s="4" customFormat="1" x14ac:dyDescent="0.25">
      <c r="A111" s="3">
        <v>4604678</v>
      </c>
      <c r="B111" s="28">
        <v>42181</v>
      </c>
      <c r="C111" s="3" t="s">
        <v>1278</v>
      </c>
      <c r="D111" s="3">
        <v>10004471</v>
      </c>
      <c r="E111" s="4">
        <v>4534029</v>
      </c>
      <c r="F111" s="3" t="s">
        <v>49</v>
      </c>
      <c r="G111" s="4" t="s">
        <v>1611</v>
      </c>
      <c r="I111" s="4">
        <v>792</v>
      </c>
      <c r="J111" s="3" t="s">
        <v>1608</v>
      </c>
      <c r="K111" s="3" t="s">
        <v>77</v>
      </c>
      <c r="L111" s="3" t="s">
        <v>196</v>
      </c>
      <c r="M111" s="4" t="s">
        <v>1612</v>
      </c>
      <c r="N111" s="3" t="s">
        <v>25</v>
      </c>
      <c r="O111" s="3"/>
      <c r="Q111" s="3"/>
      <c r="R111" s="3"/>
      <c r="Y111" s="4" t="s">
        <v>1068</v>
      </c>
      <c r="Z111" s="4" t="s">
        <v>1090</v>
      </c>
      <c r="AB111" s="3"/>
      <c r="AC111" s="3"/>
      <c r="AD111" s="3" t="s">
        <v>439</v>
      </c>
      <c r="AE111" s="3">
        <v>1000</v>
      </c>
      <c r="AI111" s="4" t="s">
        <v>1071</v>
      </c>
      <c r="AJ111" s="4" t="s">
        <v>1091</v>
      </c>
      <c r="AK111" s="3"/>
      <c r="AL111" s="4">
        <v>140043</v>
      </c>
      <c r="AM111" s="4">
        <v>792</v>
      </c>
      <c r="AN111" s="4" t="s">
        <v>124</v>
      </c>
    </row>
    <row r="112" spans="1:42" s="4" customFormat="1" x14ac:dyDescent="0.25">
      <c r="A112" s="3">
        <v>4604680</v>
      </c>
      <c r="B112" s="28">
        <v>41887</v>
      </c>
      <c r="C112" s="3" t="s">
        <v>1278</v>
      </c>
      <c r="D112" s="3">
        <v>10004475</v>
      </c>
      <c r="E112" s="4">
        <v>4534031</v>
      </c>
      <c r="F112" s="3" t="s">
        <v>49</v>
      </c>
      <c r="G112" s="4" t="s">
        <v>1614</v>
      </c>
      <c r="H112" s="4" t="s">
        <v>1615</v>
      </c>
      <c r="I112" s="5">
        <v>63620.65</v>
      </c>
      <c r="J112" s="3" t="s">
        <v>1425</v>
      </c>
      <c r="K112" s="3" t="s">
        <v>1613</v>
      </c>
      <c r="L112" s="3" t="s">
        <v>196</v>
      </c>
      <c r="M112" s="4" t="s">
        <v>1615</v>
      </c>
      <c r="N112" s="3" t="s">
        <v>25</v>
      </c>
      <c r="O112" s="3"/>
      <c r="Q112" s="3"/>
      <c r="R112" s="3"/>
      <c r="Y112" s="4" t="s">
        <v>1616</v>
      </c>
      <c r="Z112" s="4" t="s">
        <v>1616</v>
      </c>
      <c r="AB112" s="3"/>
      <c r="AC112" s="3"/>
      <c r="AD112" s="3" t="s">
        <v>1496</v>
      </c>
      <c r="AE112" s="3">
        <v>1000</v>
      </c>
      <c r="AI112" s="4" t="s">
        <v>1617</v>
      </c>
      <c r="AJ112" s="4" t="s">
        <v>1617</v>
      </c>
      <c r="AK112" s="3"/>
      <c r="AL112" s="4">
        <v>30264</v>
      </c>
      <c r="AM112" s="5">
        <v>63620.65</v>
      </c>
      <c r="AN112" s="4" t="s">
        <v>124</v>
      </c>
      <c r="AO112" s="4">
        <v>99</v>
      </c>
    </row>
    <row r="113" spans="1:42" s="4" customFormat="1" x14ac:dyDescent="0.25">
      <c r="A113" s="3">
        <v>4604681</v>
      </c>
      <c r="B113" s="28">
        <v>41883</v>
      </c>
      <c r="C113" s="3" t="s">
        <v>1278</v>
      </c>
      <c r="D113" s="3">
        <v>10004477</v>
      </c>
      <c r="E113" s="4">
        <v>4534032</v>
      </c>
      <c r="F113" s="3" t="s">
        <v>49</v>
      </c>
      <c r="G113" s="4" t="s">
        <v>1618</v>
      </c>
      <c r="H113" s="4" t="s">
        <v>1619</v>
      </c>
      <c r="I113" s="5">
        <v>51480</v>
      </c>
      <c r="J113" s="3" t="s">
        <v>1039</v>
      </c>
      <c r="K113" s="3" t="s">
        <v>77</v>
      </c>
      <c r="L113" s="3" t="s">
        <v>196</v>
      </c>
      <c r="M113" s="4" t="s">
        <v>1619</v>
      </c>
      <c r="N113" s="3" t="s">
        <v>25</v>
      </c>
      <c r="O113" s="3"/>
      <c r="Q113" s="3"/>
      <c r="R113" s="3"/>
      <c r="Y113" s="4" t="s">
        <v>1336</v>
      </c>
      <c r="Z113" s="4" t="s">
        <v>1336</v>
      </c>
      <c r="AB113" s="3"/>
      <c r="AC113" s="3"/>
      <c r="AD113" s="3" t="s">
        <v>787</v>
      </c>
      <c r="AE113" s="3">
        <v>1000</v>
      </c>
      <c r="AI113" s="4" t="s">
        <v>1337</v>
      </c>
      <c r="AJ113" s="4" t="s">
        <v>1337</v>
      </c>
      <c r="AK113" s="3"/>
      <c r="AL113" s="4">
        <v>40656</v>
      </c>
      <c r="AM113" s="5">
        <v>51480</v>
      </c>
      <c r="AN113" s="4" t="s">
        <v>124</v>
      </c>
      <c r="AO113" s="4">
        <v>99</v>
      </c>
      <c r="AP113" s="4">
        <v>86000000</v>
      </c>
    </row>
    <row r="114" spans="1:42" s="4" customFormat="1" x14ac:dyDescent="0.25">
      <c r="A114" s="3">
        <v>4604686</v>
      </c>
      <c r="B114" s="28">
        <v>41883</v>
      </c>
      <c r="C114" s="3" t="s">
        <v>1278</v>
      </c>
      <c r="D114" s="3">
        <v>10004484</v>
      </c>
      <c r="E114" s="4">
        <v>4534037</v>
      </c>
      <c r="F114" s="3" t="s">
        <v>49</v>
      </c>
      <c r="G114" s="4" t="s">
        <v>1547</v>
      </c>
      <c r="I114" s="5">
        <v>9801</v>
      </c>
      <c r="J114" s="3" t="s">
        <v>1039</v>
      </c>
      <c r="K114" s="3" t="s">
        <v>480</v>
      </c>
      <c r="L114" s="3" t="s">
        <v>196</v>
      </c>
      <c r="M114" s="4" t="s">
        <v>1628</v>
      </c>
      <c r="N114" s="3" t="s">
        <v>25</v>
      </c>
      <c r="O114" s="3"/>
      <c r="Q114" s="3"/>
      <c r="R114" s="3"/>
      <c r="Y114" s="4" t="s">
        <v>179</v>
      </c>
      <c r="Z114" s="4" t="s">
        <v>178</v>
      </c>
      <c r="AB114" s="3"/>
      <c r="AC114" s="3"/>
      <c r="AD114" s="3" t="s">
        <v>1629</v>
      </c>
      <c r="AE114" s="3">
        <v>1000</v>
      </c>
      <c r="AI114" s="4" t="s">
        <v>182</v>
      </c>
      <c r="AJ114" s="4" t="s">
        <v>181</v>
      </c>
      <c r="AK114" s="3"/>
      <c r="AL114" s="4">
        <v>48169</v>
      </c>
      <c r="AM114" s="5">
        <v>9801</v>
      </c>
      <c r="AN114" s="4" t="s">
        <v>124</v>
      </c>
    </row>
    <row r="115" spans="1:42" s="4" customFormat="1" x14ac:dyDescent="0.25">
      <c r="A115" s="3">
        <v>4604687</v>
      </c>
      <c r="B115" s="28">
        <v>41883</v>
      </c>
      <c r="C115" s="3" t="s">
        <v>1278</v>
      </c>
      <c r="D115" s="3">
        <v>10004479</v>
      </c>
      <c r="E115" s="4">
        <v>4534038</v>
      </c>
      <c r="F115" s="3" t="s">
        <v>49</v>
      </c>
      <c r="G115" s="4" t="s">
        <v>1630</v>
      </c>
      <c r="H115" s="4" t="s">
        <v>1631</v>
      </c>
      <c r="I115" s="5">
        <v>209731.5</v>
      </c>
      <c r="J115" s="3" t="s">
        <v>1039</v>
      </c>
      <c r="K115" s="3" t="s">
        <v>1632</v>
      </c>
      <c r="L115" s="3" t="s">
        <v>196</v>
      </c>
      <c r="M115" s="4" t="s">
        <v>1633</v>
      </c>
      <c r="N115" s="3" t="s">
        <v>25</v>
      </c>
      <c r="O115" s="3"/>
      <c r="Q115" s="3"/>
      <c r="R115" s="3"/>
      <c r="Y115" s="4" t="s">
        <v>179</v>
      </c>
      <c r="Z115" s="4" t="s">
        <v>1336</v>
      </c>
      <c r="AA115" s="4" t="s">
        <v>1634</v>
      </c>
      <c r="AB115" s="3"/>
      <c r="AC115" s="3"/>
      <c r="AD115" s="3" t="s">
        <v>1635</v>
      </c>
      <c r="AE115" s="3">
        <v>1000</v>
      </c>
      <c r="AI115" s="4" t="s">
        <v>182</v>
      </c>
      <c r="AJ115" s="4" t="s">
        <v>1337</v>
      </c>
      <c r="AK115" s="3"/>
      <c r="AL115" s="4">
        <v>141794</v>
      </c>
      <c r="AM115" s="5">
        <v>209731.5</v>
      </c>
      <c r="AN115" s="4" t="s">
        <v>124</v>
      </c>
      <c r="AO115" s="4">
        <v>99</v>
      </c>
      <c r="AP115" s="4">
        <v>86000000</v>
      </c>
    </row>
    <row r="116" spans="1:42" s="4" customFormat="1" x14ac:dyDescent="0.25">
      <c r="A116" s="3">
        <v>4604692</v>
      </c>
      <c r="B116" s="28">
        <v>41883</v>
      </c>
      <c r="C116" s="3" t="s">
        <v>1278</v>
      </c>
      <c r="D116" s="3">
        <v>10004482</v>
      </c>
      <c r="E116" s="4">
        <v>4534043</v>
      </c>
      <c r="F116" s="3" t="s">
        <v>49</v>
      </c>
      <c r="G116" s="4" t="s">
        <v>1638</v>
      </c>
      <c r="H116" s="4" t="s">
        <v>1639</v>
      </c>
      <c r="I116" s="5">
        <v>19800</v>
      </c>
      <c r="J116" s="3" t="s">
        <v>1039</v>
      </c>
      <c r="K116" s="3" t="s">
        <v>1640</v>
      </c>
      <c r="L116" s="3" t="s">
        <v>196</v>
      </c>
      <c r="M116" s="4" t="s">
        <v>1639</v>
      </c>
      <c r="N116" s="3" t="s">
        <v>25</v>
      </c>
      <c r="O116" s="3"/>
      <c r="Q116" s="3"/>
      <c r="R116" s="3"/>
      <c r="Y116" s="4" t="s">
        <v>267</v>
      </c>
      <c r="Z116" s="4" t="s">
        <v>267</v>
      </c>
      <c r="AB116" s="3"/>
      <c r="AC116" s="3"/>
      <c r="AD116" s="3" t="s">
        <v>745</v>
      </c>
      <c r="AE116" s="3">
        <v>1000</v>
      </c>
      <c r="AI116" s="4" t="s">
        <v>270</v>
      </c>
      <c r="AJ116" s="4" t="s">
        <v>270</v>
      </c>
      <c r="AK116" s="3"/>
      <c r="AL116" s="4">
        <v>48042</v>
      </c>
      <c r="AM116" s="5">
        <v>19800</v>
      </c>
      <c r="AN116" s="4" t="s">
        <v>124</v>
      </c>
      <c r="AO116" s="4">
        <v>99</v>
      </c>
      <c r="AP116" s="4">
        <v>80110000</v>
      </c>
    </row>
    <row r="117" spans="1:42" s="4" customFormat="1" x14ac:dyDescent="0.25">
      <c r="A117" s="3">
        <v>4604693</v>
      </c>
      <c r="B117" s="28">
        <v>41892</v>
      </c>
      <c r="C117" s="3" t="s">
        <v>1278</v>
      </c>
      <c r="D117" s="3">
        <v>10004489</v>
      </c>
      <c r="E117" s="4">
        <v>4534044</v>
      </c>
      <c r="F117" s="3" t="s">
        <v>49</v>
      </c>
      <c r="G117" s="4" t="s">
        <v>453</v>
      </c>
      <c r="H117" s="4" t="s">
        <v>1641</v>
      </c>
      <c r="I117" s="5">
        <v>20400</v>
      </c>
      <c r="J117" s="3" t="s">
        <v>745</v>
      </c>
      <c r="K117" s="3" t="s">
        <v>77</v>
      </c>
      <c r="L117" s="3" t="s">
        <v>196</v>
      </c>
      <c r="M117" s="4" t="s">
        <v>1641</v>
      </c>
      <c r="N117" s="3" t="s">
        <v>25</v>
      </c>
      <c r="O117" s="3"/>
      <c r="Q117" s="3"/>
      <c r="R117" s="3"/>
      <c r="Y117" s="4" t="s">
        <v>267</v>
      </c>
      <c r="Z117" s="4" t="s">
        <v>267</v>
      </c>
      <c r="AB117" s="3"/>
      <c r="AC117" s="3"/>
      <c r="AD117" s="3" t="s">
        <v>1587</v>
      </c>
      <c r="AE117" s="3">
        <v>1000</v>
      </c>
      <c r="AI117" s="4" t="s">
        <v>270</v>
      </c>
      <c r="AJ117" s="4" t="s">
        <v>270</v>
      </c>
      <c r="AK117" s="3"/>
      <c r="AL117" s="4">
        <v>47630</v>
      </c>
      <c r="AM117" s="5">
        <v>20400</v>
      </c>
      <c r="AN117" s="4" t="s">
        <v>124</v>
      </c>
      <c r="AO117" s="4">
        <v>99</v>
      </c>
      <c r="AP117" s="4">
        <v>80110000</v>
      </c>
    </row>
    <row r="118" spans="1:42" s="4" customFormat="1" x14ac:dyDescent="0.25">
      <c r="A118" s="3">
        <v>4604694</v>
      </c>
      <c r="B118" s="28">
        <v>41892</v>
      </c>
      <c r="C118" s="3" t="s">
        <v>1278</v>
      </c>
      <c r="D118" s="3">
        <v>10004492</v>
      </c>
      <c r="E118" s="4">
        <v>4534045</v>
      </c>
      <c r="F118" s="3" t="s">
        <v>49</v>
      </c>
      <c r="G118" s="4" t="s">
        <v>1642</v>
      </c>
      <c r="H118" s="4" t="s">
        <v>1643</v>
      </c>
      <c r="I118" s="5">
        <v>30000</v>
      </c>
      <c r="J118" s="3" t="s">
        <v>1587</v>
      </c>
      <c r="K118" s="3" t="s">
        <v>173</v>
      </c>
      <c r="L118" s="3" t="s">
        <v>196</v>
      </c>
      <c r="M118" s="4" t="s">
        <v>1643</v>
      </c>
      <c r="N118" s="3" t="s">
        <v>25</v>
      </c>
      <c r="O118" s="3"/>
      <c r="Q118" s="3"/>
      <c r="R118" s="3"/>
      <c r="Y118" s="4" t="s">
        <v>267</v>
      </c>
      <c r="Z118" s="4" t="s">
        <v>267</v>
      </c>
      <c r="AB118" s="3"/>
      <c r="AC118" s="3"/>
      <c r="AD118" s="3" t="s">
        <v>1587</v>
      </c>
      <c r="AE118" s="3">
        <v>1000</v>
      </c>
      <c r="AI118" s="4" t="s">
        <v>270</v>
      </c>
      <c r="AJ118" s="4" t="s">
        <v>270</v>
      </c>
      <c r="AK118" s="3"/>
      <c r="AL118" s="4">
        <v>141740</v>
      </c>
      <c r="AM118" s="5">
        <v>30000</v>
      </c>
      <c r="AN118" s="4" t="s">
        <v>124</v>
      </c>
      <c r="AO118" s="4">
        <v>99</v>
      </c>
      <c r="AP118" s="4">
        <v>80110000</v>
      </c>
    </row>
    <row r="119" spans="1:42" s="4" customFormat="1" x14ac:dyDescent="0.25">
      <c r="A119" s="3">
        <v>4604709</v>
      </c>
      <c r="B119" s="28">
        <v>41886</v>
      </c>
      <c r="C119" s="3" t="s">
        <v>1278</v>
      </c>
      <c r="D119" s="3">
        <v>10004508</v>
      </c>
      <c r="E119" s="4">
        <v>4534060</v>
      </c>
      <c r="F119" s="3" t="s">
        <v>49</v>
      </c>
      <c r="G119" s="4" t="s">
        <v>1579</v>
      </c>
      <c r="H119" s="4" t="s">
        <v>1580</v>
      </c>
      <c r="I119" s="5">
        <v>49500</v>
      </c>
      <c r="J119" s="3" t="s">
        <v>1623</v>
      </c>
      <c r="K119" s="3" t="s">
        <v>395</v>
      </c>
      <c r="L119" s="3" t="s">
        <v>196</v>
      </c>
      <c r="M119" s="4" t="s">
        <v>1580</v>
      </c>
      <c r="N119" s="3" t="s">
        <v>25</v>
      </c>
      <c r="O119" s="3"/>
      <c r="Q119" s="3"/>
      <c r="R119" s="3"/>
      <c r="Y119" s="4" t="s">
        <v>1309</v>
      </c>
      <c r="Z119" s="4" t="s">
        <v>1309</v>
      </c>
      <c r="AB119" s="3"/>
      <c r="AC119" s="3"/>
      <c r="AD119" s="3" t="s">
        <v>1538</v>
      </c>
      <c r="AE119" s="3">
        <v>1000</v>
      </c>
      <c r="AI119" s="4" t="s">
        <v>1313</v>
      </c>
      <c r="AJ119" s="4" t="s">
        <v>1313</v>
      </c>
      <c r="AK119" s="3"/>
      <c r="AL119" s="4">
        <v>141755</v>
      </c>
      <c r="AM119" s="5">
        <v>49500</v>
      </c>
      <c r="AN119" s="4" t="s">
        <v>124</v>
      </c>
      <c r="AO119" s="4">
        <v>99</v>
      </c>
      <c r="AP119" s="4">
        <v>80101507</v>
      </c>
    </row>
    <row r="120" spans="1:42" s="4" customFormat="1" x14ac:dyDescent="0.25">
      <c r="A120" s="3">
        <v>4604715</v>
      </c>
      <c r="B120" s="28">
        <v>42178</v>
      </c>
      <c r="C120" s="3" t="s">
        <v>1278</v>
      </c>
      <c r="D120" s="3">
        <v>10004513</v>
      </c>
      <c r="E120" s="4">
        <v>4534066</v>
      </c>
      <c r="F120" s="3" t="s">
        <v>49</v>
      </c>
      <c r="G120" s="4" t="s">
        <v>1657</v>
      </c>
      <c r="H120" s="4" t="s">
        <v>1658</v>
      </c>
      <c r="I120" s="5">
        <v>20042</v>
      </c>
      <c r="J120" s="3" t="s">
        <v>783</v>
      </c>
      <c r="K120" s="3" t="s">
        <v>77</v>
      </c>
      <c r="L120" s="3" t="s">
        <v>196</v>
      </c>
      <c r="M120" s="4" t="s">
        <v>1659</v>
      </c>
      <c r="N120" s="3" t="s">
        <v>25</v>
      </c>
      <c r="O120" s="3"/>
      <c r="Q120" s="3"/>
      <c r="R120" s="3"/>
      <c r="Y120" s="4" t="s">
        <v>540</v>
      </c>
      <c r="Z120" s="4" t="s">
        <v>1090</v>
      </c>
      <c r="AB120" s="3"/>
      <c r="AC120" s="3"/>
      <c r="AD120" s="3" t="s">
        <v>351</v>
      </c>
      <c r="AE120" s="3">
        <v>1000</v>
      </c>
      <c r="AI120" s="4" t="s">
        <v>542</v>
      </c>
      <c r="AJ120" s="4" t="s">
        <v>1091</v>
      </c>
      <c r="AK120" s="3"/>
      <c r="AL120" s="4">
        <v>47407</v>
      </c>
      <c r="AM120" s="5">
        <v>20042</v>
      </c>
      <c r="AN120" s="4" t="s">
        <v>124</v>
      </c>
      <c r="AO120" s="4">
        <v>99</v>
      </c>
      <c r="AP120" s="4">
        <v>56111500</v>
      </c>
    </row>
    <row r="121" spans="1:42" s="4" customFormat="1" x14ac:dyDescent="0.25">
      <c r="A121" s="3">
        <v>4604722</v>
      </c>
      <c r="B121" s="28">
        <v>41907</v>
      </c>
      <c r="C121" s="3" t="s">
        <v>1278</v>
      </c>
      <c r="D121" s="3">
        <v>10004512</v>
      </c>
      <c r="E121" s="4">
        <v>4534073</v>
      </c>
      <c r="F121" s="3" t="s">
        <v>49</v>
      </c>
      <c r="G121" s="4" t="s">
        <v>1661</v>
      </c>
      <c r="H121" s="4" t="s">
        <v>1662</v>
      </c>
      <c r="I121" s="5">
        <v>38785.14</v>
      </c>
      <c r="J121" s="3" t="s">
        <v>301</v>
      </c>
      <c r="K121" s="3" t="s">
        <v>137</v>
      </c>
      <c r="L121" s="3" t="s">
        <v>196</v>
      </c>
      <c r="M121" s="4" t="s">
        <v>1663</v>
      </c>
      <c r="N121" s="3" t="s">
        <v>25</v>
      </c>
      <c r="O121" s="3"/>
      <c r="Q121" s="3"/>
      <c r="R121" s="3"/>
      <c r="Y121" s="4" t="s">
        <v>179</v>
      </c>
      <c r="Z121" s="4" t="s">
        <v>179</v>
      </c>
      <c r="AB121" s="3"/>
      <c r="AC121" s="3"/>
      <c r="AD121" s="3" t="s">
        <v>905</v>
      </c>
      <c r="AE121" s="3">
        <v>1000</v>
      </c>
      <c r="AI121" s="4" t="s">
        <v>182</v>
      </c>
      <c r="AJ121" s="4" t="s">
        <v>182</v>
      </c>
      <c r="AK121" s="3"/>
      <c r="AL121" s="4">
        <v>141803</v>
      </c>
      <c r="AM121" s="5">
        <v>38785.14</v>
      </c>
      <c r="AN121" s="4" t="s">
        <v>124</v>
      </c>
      <c r="AO121" s="4">
        <v>99</v>
      </c>
      <c r="AP121" s="4">
        <v>80111700</v>
      </c>
    </row>
    <row r="122" spans="1:42" s="4" customFormat="1" x14ac:dyDescent="0.25">
      <c r="A122" s="3">
        <v>4604727</v>
      </c>
      <c r="B122" s="28">
        <v>41919</v>
      </c>
      <c r="C122" s="3" t="s">
        <v>1278</v>
      </c>
      <c r="D122" s="3">
        <v>10004524</v>
      </c>
      <c r="E122" s="4">
        <v>4534078</v>
      </c>
      <c r="F122" s="3" t="s">
        <v>49</v>
      </c>
      <c r="G122" s="4" t="s">
        <v>1666</v>
      </c>
      <c r="H122" s="4" t="s">
        <v>1667</v>
      </c>
      <c r="I122" s="5">
        <v>143503.79999999999</v>
      </c>
      <c r="J122" s="3" t="s">
        <v>795</v>
      </c>
      <c r="K122" s="3" t="s">
        <v>1668</v>
      </c>
      <c r="L122" s="3" t="s">
        <v>196</v>
      </c>
      <c r="M122" s="4" t="s">
        <v>1667</v>
      </c>
      <c r="N122" s="3" t="s">
        <v>25</v>
      </c>
      <c r="O122" s="3"/>
      <c r="Q122" s="3"/>
      <c r="R122" s="3"/>
      <c r="Y122" s="4" t="s">
        <v>1056</v>
      </c>
      <c r="Z122" s="4" t="s">
        <v>1056</v>
      </c>
      <c r="AB122" s="3"/>
      <c r="AC122" s="3"/>
      <c r="AD122" s="3" t="s">
        <v>284</v>
      </c>
      <c r="AE122" s="3">
        <v>1000</v>
      </c>
      <c r="AI122" s="4" t="s">
        <v>1058</v>
      </c>
      <c r="AJ122" s="4" t="s">
        <v>1058</v>
      </c>
      <c r="AK122" s="3"/>
      <c r="AL122" s="4">
        <v>140565</v>
      </c>
      <c r="AM122" s="5">
        <v>143503.79999999999</v>
      </c>
      <c r="AN122" s="4" t="s">
        <v>124</v>
      </c>
      <c r="AO122" s="4">
        <v>99</v>
      </c>
      <c r="AP122" s="4">
        <v>83110000</v>
      </c>
    </row>
    <row r="123" spans="1:42" s="4" customFormat="1" x14ac:dyDescent="0.25">
      <c r="A123" s="3">
        <v>4604730</v>
      </c>
      <c r="B123" s="28">
        <v>41922</v>
      </c>
      <c r="C123" s="3" t="s">
        <v>1278</v>
      </c>
      <c r="D123" s="3">
        <v>10004528</v>
      </c>
      <c r="E123" s="4">
        <v>4534081</v>
      </c>
      <c r="F123" s="3" t="s">
        <v>49</v>
      </c>
      <c r="G123" s="4" t="s">
        <v>1672</v>
      </c>
      <c r="H123" s="4" t="s">
        <v>1673</v>
      </c>
      <c r="I123" s="5">
        <v>12900</v>
      </c>
      <c r="J123" s="3" t="s">
        <v>272</v>
      </c>
      <c r="K123" s="3" t="s">
        <v>77</v>
      </c>
      <c r="L123" s="3" t="s">
        <v>196</v>
      </c>
      <c r="M123" s="4" t="s">
        <v>1674</v>
      </c>
      <c r="N123" s="3" t="s">
        <v>25</v>
      </c>
      <c r="O123" s="3"/>
      <c r="Q123" s="3"/>
      <c r="R123" s="3"/>
      <c r="Y123" s="4" t="s">
        <v>1056</v>
      </c>
      <c r="Z123" s="4" t="s">
        <v>1056</v>
      </c>
      <c r="AB123" s="3"/>
      <c r="AC123" s="3"/>
      <c r="AD123" s="3" t="s">
        <v>284</v>
      </c>
      <c r="AE123" s="3">
        <v>1000</v>
      </c>
      <c r="AI123" s="4" t="s">
        <v>1058</v>
      </c>
      <c r="AJ123" s="4" t="s">
        <v>1058</v>
      </c>
      <c r="AK123" s="3"/>
      <c r="AL123" s="4">
        <v>30068</v>
      </c>
      <c r="AM123" s="5">
        <v>12900</v>
      </c>
      <c r="AN123" s="4" t="s">
        <v>124</v>
      </c>
      <c r="AO123" s="4">
        <v>99</v>
      </c>
      <c r="AP123" s="4">
        <v>43222500</v>
      </c>
    </row>
    <row r="124" spans="1:42" s="4" customFormat="1" x14ac:dyDescent="0.25">
      <c r="A124" s="3">
        <v>4604731</v>
      </c>
      <c r="B124" s="28">
        <v>41906</v>
      </c>
      <c r="C124" s="3" t="s">
        <v>1278</v>
      </c>
      <c r="D124" s="3">
        <v>10004334</v>
      </c>
      <c r="E124" s="4">
        <v>4534082</v>
      </c>
      <c r="F124" s="3" t="s">
        <v>49</v>
      </c>
      <c r="G124" s="4" t="s">
        <v>1380</v>
      </c>
      <c r="H124" s="4" t="s">
        <v>1676</v>
      </c>
      <c r="I124" s="5">
        <v>42570</v>
      </c>
      <c r="J124" s="3" t="s">
        <v>76</v>
      </c>
      <c r="K124" s="3" t="s">
        <v>77</v>
      </c>
      <c r="L124" s="3" t="s">
        <v>196</v>
      </c>
      <c r="M124" s="4" t="s">
        <v>1676</v>
      </c>
      <c r="N124" s="3" t="s">
        <v>25</v>
      </c>
      <c r="O124" s="3"/>
      <c r="Q124" s="3"/>
      <c r="R124" s="3"/>
      <c r="Y124" s="4" t="s">
        <v>1677</v>
      </c>
      <c r="Z124" s="4" t="s">
        <v>1677</v>
      </c>
      <c r="AB124" s="3"/>
      <c r="AC124" s="3"/>
      <c r="AD124" s="3" t="s">
        <v>757</v>
      </c>
      <c r="AE124" s="3">
        <v>1000</v>
      </c>
      <c r="AI124" s="4" t="s">
        <v>1678</v>
      </c>
      <c r="AJ124" s="4" t="s">
        <v>1678</v>
      </c>
      <c r="AK124" s="3"/>
      <c r="AL124" s="4">
        <v>46327</v>
      </c>
      <c r="AM124" s="5">
        <v>42570</v>
      </c>
      <c r="AN124" s="4" t="s">
        <v>124</v>
      </c>
      <c r="AO124" s="4">
        <v>99</v>
      </c>
      <c r="AP124" s="4">
        <v>81112200</v>
      </c>
    </row>
    <row r="125" spans="1:42" s="4" customFormat="1" x14ac:dyDescent="0.25">
      <c r="A125" s="3">
        <v>4604736</v>
      </c>
      <c r="B125" s="28">
        <v>41919</v>
      </c>
      <c r="C125" s="3" t="s">
        <v>1278</v>
      </c>
      <c r="D125" s="3">
        <v>10004527</v>
      </c>
      <c r="E125" s="4">
        <v>4534087</v>
      </c>
      <c r="F125" s="3" t="s">
        <v>49</v>
      </c>
      <c r="G125" s="4" t="s">
        <v>1378</v>
      </c>
      <c r="I125" s="5">
        <v>3000</v>
      </c>
      <c r="J125" s="3" t="s">
        <v>757</v>
      </c>
      <c r="K125" s="3" t="s">
        <v>932</v>
      </c>
      <c r="L125" s="3" t="s">
        <v>196</v>
      </c>
      <c r="M125" s="4" t="s">
        <v>1682</v>
      </c>
      <c r="N125" s="3" t="s">
        <v>25</v>
      </c>
      <c r="O125" s="3"/>
      <c r="Q125" s="3"/>
      <c r="R125" s="3"/>
      <c r="Y125" s="4" t="s">
        <v>1309</v>
      </c>
      <c r="Z125" s="4" t="s">
        <v>1309</v>
      </c>
      <c r="AB125" s="3"/>
      <c r="AC125" s="3"/>
      <c r="AD125" s="3" t="s">
        <v>1683</v>
      </c>
      <c r="AE125" s="3">
        <v>1000</v>
      </c>
      <c r="AI125" s="4" t="s">
        <v>1313</v>
      </c>
      <c r="AJ125" s="4" t="s">
        <v>1313</v>
      </c>
      <c r="AK125" s="3"/>
      <c r="AL125" s="4">
        <v>42337</v>
      </c>
      <c r="AM125" s="5">
        <v>3000</v>
      </c>
      <c r="AN125" s="4" t="s">
        <v>124</v>
      </c>
    </row>
    <row r="126" spans="1:42" s="4" customFormat="1" x14ac:dyDescent="0.25">
      <c r="A126" s="3">
        <v>4604737</v>
      </c>
      <c r="B126" s="28">
        <v>41922</v>
      </c>
      <c r="C126" s="3" t="s">
        <v>1278</v>
      </c>
      <c r="D126" s="3">
        <v>10004491</v>
      </c>
      <c r="E126" s="4">
        <v>4534088</v>
      </c>
      <c r="F126" s="3" t="s">
        <v>49</v>
      </c>
      <c r="G126" s="4" t="s">
        <v>1657</v>
      </c>
      <c r="H126" s="4" t="s">
        <v>1684</v>
      </c>
      <c r="I126" s="5">
        <v>33110</v>
      </c>
      <c r="J126" s="3" t="s">
        <v>745</v>
      </c>
      <c r="K126" s="3" t="s">
        <v>395</v>
      </c>
      <c r="L126" s="3" t="s">
        <v>196</v>
      </c>
      <c r="M126" s="4" t="s">
        <v>1685</v>
      </c>
      <c r="N126" s="3" t="s">
        <v>25</v>
      </c>
      <c r="O126" s="3"/>
      <c r="Q126" s="3"/>
      <c r="R126" s="3"/>
      <c r="Y126" s="4" t="s">
        <v>1056</v>
      </c>
      <c r="Z126" s="4" t="s">
        <v>1056</v>
      </c>
      <c r="AB126" s="3"/>
      <c r="AC126" s="3"/>
      <c r="AD126" s="3" t="s">
        <v>1683</v>
      </c>
      <c r="AE126" s="3">
        <v>1000</v>
      </c>
      <c r="AI126" s="4" t="s">
        <v>1058</v>
      </c>
      <c r="AJ126" s="4" t="s">
        <v>1058</v>
      </c>
      <c r="AK126" s="3"/>
      <c r="AL126" s="4">
        <v>47407</v>
      </c>
      <c r="AM126" s="5">
        <v>33110</v>
      </c>
      <c r="AN126" s="4" t="s">
        <v>124</v>
      </c>
      <c r="AO126" s="4">
        <v>99</v>
      </c>
      <c r="AP126" s="4">
        <v>44110000</v>
      </c>
    </row>
    <row r="127" spans="1:42" s="4" customFormat="1" x14ac:dyDescent="0.25">
      <c r="A127" s="3">
        <v>4604738</v>
      </c>
      <c r="B127" s="28">
        <v>41925</v>
      </c>
      <c r="C127" s="3" t="s">
        <v>1278</v>
      </c>
      <c r="D127" s="3">
        <v>10004533</v>
      </c>
      <c r="E127" s="4">
        <v>4534089</v>
      </c>
      <c r="F127" s="3" t="s">
        <v>49</v>
      </c>
      <c r="G127" s="4" t="s">
        <v>1686</v>
      </c>
      <c r="H127" s="4" t="s">
        <v>1687</v>
      </c>
      <c r="I127" s="5">
        <v>63800</v>
      </c>
      <c r="J127" s="3" t="s">
        <v>1688</v>
      </c>
      <c r="K127" s="3" t="s">
        <v>77</v>
      </c>
      <c r="L127" s="3" t="s">
        <v>196</v>
      </c>
      <c r="M127" s="4" t="s">
        <v>1687</v>
      </c>
      <c r="N127" s="3" t="s">
        <v>25</v>
      </c>
      <c r="O127" s="3"/>
      <c r="Q127" s="3"/>
      <c r="R127" s="3"/>
      <c r="Y127" s="4" t="s">
        <v>1309</v>
      </c>
      <c r="Z127" s="4" t="s">
        <v>1309</v>
      </c>
      <c r="AB127" s="3"/>
      <c r="AC127" s="3"/>
      <c r="AD127" s="3" t="s">
        <v>351</v>
      </c>
      <c r="AE127" s="3">
        <v>1000</v>
      </c>
      <c r="AI127" s="4" t="s">
        <v>1313</v>
      </c>
      <c r="AJ127" s="4" t="s">
        <v>1313</v>
      </c>
      <c r="AK127" s="3"/>
      <c r="AL127" s="4">
        <v>140652</v>
      </c>
      <c r="AM127" s="5">
        <v>63800</v>
      </c>
      <c r="AN127" s="4" t="s">
        <v>124</v>
      </c>
      <c r="AO127" s="4">
        <v>99</v>
      </c>
      <c r="AP127" s="4">
        <v>80111700</v>
      </c>
    </row>
    <row r="128" spans="1:42" s="4" customFormat="1" x14ac:dyDescent="0.25">
      <c r="A128" s="3">
        <v>4604758</v>
      </c>
      <c r="B128" s="28">
        <v>42107</v>
      </c>
      <c r="C128" s="3" t="s">
        <v>1278</v>
      </c>
      <c r="D128" s="3">
        <v>10004519</v>
      </c>
      <c r="E128" s="4">
        <v>4534109</v>
      </c>
      <c r="F128" s="3" t="s">
        <v>49</v>
      </c>
      <c r="G128" s="4" t="s">
        <v>1551</v>
      </c>
      <c r="H128" s="4" t="s">
        <v>1705</v>
      </c>
      <c r="I128" s="5">
        <v>61640.2</v>
      </c>
      <c r="J128" s="3" t="s">
        <v>1650</v>
      </c>
      <c r="K128" s="3" t="s">
        <v>436</v>
      </c>
      <c r="L128" s="3" t="s">
        <v>196</v>
      </c>
      <c r="M128" s="4" t="s">
        <v>1705</v>
      </c>
      <c r="N128" s="3" t="s">
        <v>25</v>
      </c>
      <c r="O128" s="3" t="s">
        <v>139</v>
      </c>
      <c r="P128" s="4" t="s">
        <v>140</v>
      </c>
      <c r="Q128" s="3"/>
      <c r="R128" s="3"/>
      <c r="Y128" s="4" t="s">
        <v>540</v>
      </c>
      <c r="Z128" s="4" t="s">
        <v>540</v>
      </c>
      <c r="AB128" s="3"/>
      <c r="AC128" s="3"/>
      <c r="AD128" s="3" t="s">
        <v>500</v>
      </c>
      <c r="AE128" s="3">
        <v>1000</v>
      </c>
      <c r="AI128" s="4" t="s">
        <v>542</v>
      </c>
      <c r="AJ128" s="4" t="s">
        <v>542</v>
      </c>
      <c r="AK128" s="3" t="s">
        <v>143</v>
      </c>
      <c r="AL128" s="4">
        <v>141105</v>
      </c>
      <c r="AM128" s="5">
        <v>61640.2</v>
      </c>
      <c r="AN128" s="4" t="s">
        <v>124</v>
      </c>
      <c r="AO128" s="4">
        <v>99</v>
      </c>
      <c r="AP128" s="4">
        <v>80101505</v>
      </c>
    </row>
    <row r="129" spans="1:42" s="4" customFormat="1" x14ac:dyDescent="0.25">
      <c r="A129" s="3">
        <v>4604759</v>
      </c>
      <c r="B129" s="28">
        <v>41957</v>
      </c>
      <c r="C129" s="3" t="s">
        <v>1278</v>
      </c>
      <c r="D129" s="3">
        <v>10004554</v>
      </c>
      <c r="E129" s="4">
        <v>4534110</v>
      </c>
      <c r="F129" s="3" t="s">
        <v>49</v>
      </c>
      <c r="G129" s="4" t="s">
        <v>1380</v>
      </c>
      <c r="H129" s="4" t="s">
        <v>1706</v>
      </c>
      <c r="I129" s="5">
        <v>150000</v>
      </c>
      <c r="J129" s="3" t="s">
        <v>310</v>
      </c>
      <c r="K129" s="3" t="s">
        <v>77</v>
      </c>
      <c r="L129" s="3" t="s">
        <v>196</v>
      </c>
      <c r="M129" s="4" t="s">
        <v>1706</v>
      </c>
      <c r="N129" s="3" t="s">
        <v>25</v>
      </c>
      <c r="O129" s="3"/>
      <c r="Q129" s="3"/>
      <c r="R129" s="3"/>
      <c r="Y129" s="4" t="s">
        <v>1047</v>
      </c>
      <c r="Z129" s="4" t="s">
        <v>1047</v>
      </c>
      <c r="AB129" s="3"/>
      <c r="AC129" s="3"/>
      <c r="AD129" s="3" t="s">
        <v>369</v>
      </c>
      <c r="AE129" s="3">
        <v>1000</v>
      </c>
      <c r="AI129" s="4" t="s">
        <v>1050</v>
      </c>
      <c r="AJ129" s="4" t="s">
        <v>1050</v>
      </c>
      <c r="AK129" s="3"/>
      <c r="AL129" s="4">
        <v>46327</v>
      </c>
      <c r="AM129" s="5">
        <v>150000</v>
      </c>
      <c r="AN129" s="4" t="s">
        <v>124</v>
      </c>
      <c r="AO129" s="4">
        <v>96</v>
      </c>
      <c r="AP129" s="4">
        <v>81112200</v>
      </c>
    </row>
    <row r="130" spans="1:42" s="4" customFormat="1" x14ac:dyDescent="0.25">
      <c r="A130" s="3">
        <v>4604760</v>
      </c>
      <c r="B130" s="28">
        <v>41940</v>
      </c>
      <c r="C130" s="3" t="s">
        <v>1278</v>
      </c>
      <c r="D130" s="3">
        <v>10004548</v>
      </c>
      <c r="E130" s="4">
        <v>4534111</v>
      </c>
      <c r="F130" s="3" t="s">
        <v>49</v>
      </c>
      <c r="G130" s="4" t="s">
        <v>279</v>
      </c>
      <c r="H130" s="4" t="s">
        <v>1707</v>
      </c>
      <c r="I130" s="5">
        <v>16734.21</v>
      </c>
      <c r="J130" s="3" t="s">
        <v>1702</v>
      </c>
      <c r="K130" s="3" t="s">
        <v>324</v>
      </c>
      <c r="L130" s="3" t="s">
        <v>196</v>
      </c>
      <c r="M130" s="4" t="s">
        <v>1707</v>
      </c>
      <c r="N130" s="3" t="s">
        <v>25</v>
      </c>
      <c r="O130" s="3"/>
      <c r="Q130" s="3"/>
      <c r="R130" s="3"/>
      <c r="Y130" s="4" t="s">
        <v>396</v>
      </c>
      <c r="Z130" s="4" t="s">
        <v>396</v>
      </c>
      <c r="AB130" s="3"/>
      <c r="AC130" s="3"/>
      <c r="AD130" s="3" t="s">
        <v>324</v>
      </c>
      <c r="AE130" s="3">
        <v>1000</v>
      </c>
      <c r="AI130" s="4" t="s">
        <v>397</v>
      </c>
      <c r="AJ130" s="4" t="s">
        <v>397</v>
      </c>
      <c r="AK130" s="3"/>
      <c r="AL130" s="4">
        <v>141759</v>
      </c>
      <c r="AM130" s="5">
        <v>16734.21</v>
      </c>
      <c r="AN130" s="4" t="s">
        <v>124</v>
      </c>
      <c r="AO130" s="4">
        <v>99</v>
      </c>
      <c r="AP130" s="4">
        <v>80101504</v>
      </c>
    </row>
    <row r="131" spans="1:42" s="4" customFormat="1" x14ac:dyDescent="0.25">
      <c r="A131" s="3">
        <v>4604763</v>
      </c>
      <c r="B131" s="28">
        <v>41912</v>
      </c>
      <c r="C131" s="3" t="s">
        <v>1278</v>
      </c>
      <c r="D131" s="3">
        <v>10004556</v>
      </c>
      <c r="E131" s="4">
        <v>4534114</v>
      </c>
      <c r="F131" s="3" t="s">
        <v>49</v>
      </c>
      <c r="G131" s="4" t="s">
        <v>1708</v>
      </c>
      <c r="H131" s="4" t="s">
        <v>1709</v>
      </c>
      <c r="I131" s="5">
        <v>10164</v>
      </c>
      <c r="J131" s="3" t="s">
        <v>832</v>
      </c>
      <c r="K131" s="3" t="s">
        <v>395</v>
      </c>
      <c r="L131" s="3" t="s">
        <v>196</v>
      </c>
      <c r="M131" s="4" t="s">
        <v>1709</v>
      </c>
      <c r="N131" s="3" t="s">
        <v>25</v>
      </c>
      <c r="O131" s="3"/>
      <c r="Q131" s="3"/>
      <c r="R131" s="3"/>
      <c r="Y131" s="4" t="s">
        <v>1079</v>
      </c>
      <c r="Z131" s="4" t="s">
        <v>1079</v>
      </c>
      <c r="AB131" s="3"/>
      <c r="AC131" s="3"/>
      <c r="AD131" s="3" t="s">
        <v>932</v>
      </c>
      <c r="AE131" s="3">
        <v>1000</v>
      </c>
      <c r="AI131" s="4" t="s">
        <v>1083</v>
      </c>
      <c r="AJ131" s="4" t="s">
        <v>1083</v>
      </c>
      <c r="AK131" s="3"/>
      <c r="AL131" s="4">
        <v>140104</v>
      </c>
      <c r="AM131" s="5">
        <v>10164</v>
      </c>
      <c r="AN131" s="4" t="s">
        <v>124</v>
      </c>
      <c r="AO131" s="4">
        <v>99</v>
      </c>
      <c r="AP131" s="4">
        <v>80160000</v>
      </c>
    </row>
    <row r="132" spans="1:42" s="4" customFormat="1" x14ac:dyDescent="0.25">
      <c r="A132" s="3">
        <v>4604767</v>
      </c>
      <c r="B132" s="28">
        <v>41941</v>
      </c>
      <c r="C132" s="3" t="s">
        <v>1278</v>
      </c>
      <c r="D132" s="3">
        <v>10004555</v>
      </c>
      <c r="E132" s="4">
        <v>4534118</v>
      </c>
      <c r="F132" s="3" t="s">
        <v>49</v>
      </c>
      <c r="G132" s="4" t="s">
        <v>1714</v>
      </c>
      <c r="I132" s="5">
        <v>7015.01</v>
      </c>
      <c r="J132" s="3" t="s">
        <v>910</v>
      </c>
      <c r="K132" s="3" t="s">
        <v>77</v>
      </c>
      <c r="L132" s="3" t="s">
        <v>196</v>
      </c>
      <c r="M132" s="4" t="s">
        <v>1715</v>
      </c>
      <c r="N132" s="3" t="s">
        <v>25</v>
      </c>
      <c r="O132" s="3"/>
      <c r="Q132" s="3"/>
      <c r="R132" s="3"/>
      <c r="Y132" s="4" t="s">
        <v>540</v>
      </c>
      <c r="Z132" s="4" t="s">
        <v>1090</v>
      </c>
      <c r="AB132" s="3"/>
      <c r="AC132" s="3"/>
      <c r="AD132" s="3" t="s">
        <v>315</v>
      </c>
      <c r="AE132" s="3">
        <v>1000</v>
      </c>
      <c r="AI132" s="4" t="s">
        <v>542</v>
      </c>
      <c r="AJ132" s="4" t="s">
        <v>1091</v>
      </c>
      <c r="AK132" s="3"/>
      <c r="AL132" s="4">
        <v>30321</v>
      </c>
      <c r="AM132" s="5">
        <v>7015.01</v>
      </c>
      <c r="AN132" s="4" t="s">
        <v>124</v>
      </c>
    </row>
    <row r="133" spans="1:42" s="4" customFormat="1" x14ac:dyDescent="0.25">
      <c r="A133" s="3">
        <v>4604776</v>
      </c>
      <c r="B133" s="28">
        <v>42181</v>
      </c>
      <c r="C133" s="3" t="s">
        <v>1278</v>
      </c>
      <c r="D133" s="3">
        <v>10004562</v>
      </c>
      <c r="E133" s="4">
        <v>4534127</v>
      </c>
      <c r="F133" s="3" t="s">
        <v>49</v>
      </c>
      <c r="G133" s="4" t="s">
        <v>1060</v>
      </c>
      <c r="H133" s="4" t="s">
        <v>1722</v>
      </c>
      <c r="I133" s="5">
        <v>22086.41</v>
      </c>
      <c r="J133" s="3" t="s">
        <v>1059</v>
      </c>
      <c r="K133" s="3" t="s">
        <v>77</v>
      </c>
      <c r="L133" s="3" t="s">
        <v>196</v>
      </c>
      <c r="M133" s="4" t="s">
        <v>1723</v>
      </c>
      <c r="N133" s="3" t="s">
        <v>25</v>
      </c>
      <c r="O133" s="3"/>
      <c r="Q133" s="3"/>
      <c r="R133" s="3"/>
      <c r="Y133" s="4" t="s">
        <v>540</v>
      </c>
      <c r="Z133" s="4" t="s">
        <v>1090</v>
      </c>
      <c r="AB133" s="3"/>
      <c r="AC133" s="3"/>
      <c r="AD133" s="3" t="s">
        <v>1209</v>
      </c>
      <c r="AE133" s="3">
        <v>1000</v>
      </c>
      <c r="AI133" s="4" t="s">
        <v>542</v>
      </c>
      <c r="AJ133" s="4" t="s">
        <v>1091</v>
      </c>
      <c r="AK133" s="3"/>
      <c r="AL133" s="4">
        <v>140146</v>
      </c>
      <c r="AM133" s="5">
        <v>22086.41</v>
      </c>
      <c r="AN133" s="4" t="s">
        <v>124</v>
      </c>
      <c r="AO133" s="4">
        <v>99</v>
      </c>
      <c r="AP133" s="4">
        <v>76111506</v>
      </c>
    </row>
    <row r="134" spans="1:42" s="4" customFormat="1" x14ac:dyDescent="0.25">
      <c r="A134" s="3">
        <v>4604784</v>
      </c>
      <c r="B134" s="28">
        <v>42185</v>
      </c>
      <c r="C134" s="3" t="s">
        <v>1278</v>
      </c>
      <c r="D134" s="3">
        <v>10004577</v>
      </c>
      <c r="E134" s="4">
        <v>4534135</v>
      </c>
      <c r="F134" s="3" t="s">
        <v>49</v>
      </c>
      <c r="G134" s="4" t="s">
        <v>1731</v>
      </c>
      <c r="I134" s="5">
        <v>2270</v>
      </c>
      <c r="J134" s="3" t="s">
        <v>1670</v>
      </c>
      <c r="K134" s="3" t="s">
        <v>77</v>
      </c>
      <c r="L134" s="3" t="s">
        <v>196</v>
      </c>
      <c r="M134" s="4" t="s">
        <v>1732</v>
      </c>
      <c r="N134" s="3" t="s">
        <v>25</v>
      </c>
      <c r="O134" s="3"/>
      <c r="Q134" s="3"/>
      <c r="R134" s="3"/>
      <c r="Y134" s="4" t="s">
        <v>1068</v>
      </c>
      <c r="Z134" s="4" t="s">
        <v>1090</v>
      </c>
      <c r="AB134" s="3"/>
      <c r="AC134" s="3"/>
      <c r="AD134" s="3" t="s">
        <v>77</v>
      </c>
      <c r="AE134" s="3">
        <v>1000</v>
      </c>
      <c r="AI134" s="4" t="s">
        <v>1071</v>
      </c>
      <c r="AJ134" s="4" t="s">
        <v>1091</v>
      </c>
      <c r="AK134" s="3"/>
      <c r="AL134" s="4">
        <v>141834</v>
      </c>
      <c r="AM134" s="5">
        <v>2270</v>
      </c>
      <c r="AN134" s="4" t="s">
        <v>124</v>
      </c>
    </row>
    <row r="135" spans="1:42" s="4" customFormat="1" x14ac:dyDescent="0.25">
      <c r="A135" s="3">
        <v>4604786</v>
      </c>
      <c r="B135" s="28">
        <v>41969</v>
      </c>
      <c r="C135" s="3" t="s">
        <v>1278</v>
      </c>
      <c r="D135" s="3">
        <v>10004583</v>
      </c>
      <c r="E135" s="4">
        <v>4534137</v>
      </c>
      <c r="F135" s="3" t="s">
        <v>49</v>
      </c>
      <c r="G135" s="4" t="s">
        <v>1731</v>
      </c>
      <c r="H135" s="4" t="s">
        <v>1733</v>
      </c>
      <c r="I135" s="5">
        <v>17160</v>
      </c>
      <c r="J135" s="3" t="s">
        <v>1734</v>
      </c>
      <c r="K135" s="3" t="s">
        <v>807</v>
      </c>
      <c r="L135" s="3" t="s">
        <v>196</v>
      </c>
      <c r="M135" s="4" t="s">
        <v>1735</v>
      </c>
      <c r="N135" s="3" t="s">
        <v>25</v>
      </c>
      <c r="O135" s="3"/>
      <c r="Q135" s="3"/>
      <c r="R135" s="3"/>
      <c r="Y135" s="4" t="s">
        <v>1079</v>
      </c>
      <c r="Z135" s="4" t="s">
        <v>1079</v>
      </c>
      <c r="AB135" s="3"/>
      <c r="AC135" s="3"/>
      <c r="AD135" s="3" t="s">
        <v>486</v>
      </c>
      <c r="AE135" s="3">
        <v>1000</v>
      </c>
      <c r="AI135" s="4" t="s">
        <v>1083</v>
      </c>
      <c r="AJ135" s="4" t="s">
        <v>1083</v>
      </c>
      <c r="AK135" s="3"/>
      <c r="AL135" s="4">
        <v>141834</v>
      </c>
      <c r="AM135" s="5">
        <v>17160</v>
      </c>
      <c r="AN135" s="4" t="s">
        <v>124</v>
      </c>
      <c r="AO135" s="4">
        <v>99</v>
      </c>
      <c r="AP135" s="4">
        <v>46170000</v>
      </c>
    </row>
    <row r="136" spans="1:42" s="4" customFormat="1" x14ac:dyDescent="0.25">
      <c r="A136" s="3">
        <v>4604787</v>
      </c>
      <c r="B136" s="28">
        <v>41968</v>
      </c>
      <c r="C136" s="3" t="s">
        <v>1278</v>
      </c>
      <c r="D136" s="3">
        <v>10004585</v>
      </c>
      <c r="E136" s="4">
        <v>4534138</v>
      </c>
      <c r="F136" s="3" t="s">
        <v>49</v>
      </c>
      <c r="G136" s="4" t="s">
        <v>393</v>
      </c>
      <c r="H136" s="4" t="s">
        <v>1736</v>
      </c>
      <c r="I136" s="5">
        <v>54740.07</v>
      </c>
      <c r="J136" s="3" t="s">
        <v>1728</v>
      </c>
      <c r="K136" s="3" t="s">
        <v>480</v>
      </c>
      <c r="L136" s="3" t="s">
        <v>196</v>
      </c>
      <c r="M136" s="4" t="s">
        <v>1736</v>
      </c>
      <c r="N136" s="3" t="s">
        <v>25</v>
      </c>
      <c r="O136" s="3"/>
      <c r="Q136" s="3"/>
      <c r="R136" s="3"/>
      <c r="Y136" s="4" t="s">
        <v>179</v>
      </c>
      <c r="Z136" s="4" t="s">
        <v>179</v>
      </c>
      <c r="AB136" s="3"/>
      <c r="AC136" s="3"/>
      <c r="AD136" s="3" t="s">
        <v>1040</v>
      </c>
      <c r="AE136" s="3">
        <v>1000</v>
      </c>
      <c r="AI136" s="4" t="s">
        <v>182</v>
      </c>
      <c r="AJ136" s="4" t="s">
        <v>182</v>
      </c>
      <c r="AK136" s="3"/>
      <c r="AL136" s="4">
        <v>51455</v>
      </c>
      <c r="AM136" s="5">
        <v>54740.07</v>
      </c>
      <c r="AN136" s="4" t="s">
        <v>124</v>
      </c>
      <c r="AO136" s="4">
        <v>99</v>
      </c>
      <c r="AP136" s="4">
        <v>86000000</v>
      </c>
    </row>
    <row r="137" spans="1:42" s="4" customFormat="1" x14ac:dyDescent="0.25">
      <c r="A137" s="3">
        <v>4604791</v>
      </c>
      <c r="B137" s="28">
        <v>41975</v>
      </c>
      <c r="C137" s="3" t="s">
        <v>1278</v>
      </c>
      <c r="D137" s="3">
        <v>10004588</v>
      </c>
      <c r="E137" s="4">
        <v>4534142</v>
      </c>
      <c r="F137" s="3" t="s">
        <v>49</v>
      </c>
      <c r="G137" s="4" t="s">
        <v>1744</v>
      </c>
      <c r="I137" s="5">
        <v>2057</v>
      </c>
      <c r="J137" s="3" t="s">
        <v>176</v>
      </c>
      <c r="K137" s="3" t="s">
        <v>400</v>
      </c>
      <c r="L137" s="3" t="s">
        <v>196</v>
      </c>
      <c r="M137" s="4" t="s">
        <v>1745</v>
      </c>
      <c r="N137" s="3" t="s">
        <v>25</v>
      </c>
      <c r="O137" s="3"/>
      <c r="Q137" s="3"/>
      <c r="R137" s="3"/>
      <c r="Y137" s="4" t="s">
        <v>1079</v>
      </c>
      <c r="Z137" s="4" t="s">
        <v>1090</v>
      </c>
      <c r="AB137" s="3"/>
      <c r="AC137" s="3"/>
      <c r="AD137" s="3" t="s">
        <v>1743</v>
      </c>
      <c r="AE137" s="3">
        <v>1000</v>
      </c>
      <c r="AI137" s="4" t="s">
        <v>1083</v>
      </c>
      <c r="AJ137" s="4" t="s">
        <v>1091</v>
      </c>
      <c r="AK137" s="3"/>
      <c r="AL137" s="4">
        <v>140381</v>
      </c>
      <c r="AM137" s="5">
        <v>2057</v>
      </c>
      <c r="AN137" s="4" t="s">
        <v>124</v>
      </c>
    </row>
    <row r="138" spans="1:42" s="4" customFormat="1" x14ac:dyDescent="0.25">
      <c r="A138" s="3">
        <v>4604807</v>
      </c>
      <c r="B138" s="28">
        <v>41984</v>
      </c>
      <c r="C138" s="3" t="s">
        <v>1278</v>
      </c>
      <c r="D138" s="3">
        <v>10004604</v>
      </c>
      <c r="E138" s="4">
        <v>4534158</v>
      </c>
      <c r="F138" s="3" t="s">
        <v>49</v>
      </c>
      <c r="G138" s="4" t="s">
        <v>1454</v>
      </c>
      <c r="H138" s="4" t="s">
        <v>1756</v>
      </c>
      <c r="I138" s="5">
        <v>31108</v>
      </c>
      <c r="J138" s="3" t="s">
        <v>436</v>
      </c>
      <c r="K138" s="3" t="s">
        <v>901</v>
      </c>
      <c r="L138" s="3" t="s">
        <v>196</v>
      </c>
      <c r="M138" s="4" t="s">
        <v>1757</v>
      </c>
      <c r="N138" s="3" t="s">
        <v>25</v>
      </c>
      <c r="O138" s="3"/>
      <c r="Q138" s="3"/>
      <c r="R138" s="3"/>
      <c r="Y138" s="4" t="s">
        <v>1079</v>
      </c>
      <c r="Z138" s="4" t="s">
        <v>540</v>
      </c>
      <c r="AB138" s="3"/>
      <c r="AC138" s="3"/>
      <c r="AD138" s="3" t="s">
        <v>1240</v>
      </c>
      <c r="AE138" s="3">
        <v>1000</v>
      </c>
      <c r="AI138" s="4" t="s">
        <v>1083</v>
      </c>
      <c r="AJ138" s="4" t="s">
        <v>542</v>
      </c>
      <c r="AK138" s="3"/>
      <c r="AL138" s="4">
        <v>141769</v>
      </c>
      <c r="AM138" s="5">
        <v>31108</v>
      </c>
      <c r="AN138" s="4" t="s">
        <v>124</v>
      </c>
      <c r="AO138" s="4">
        <v>99</v>
      </c>
      <c r="AP138" s="4">
        <v>80100000</v>
      </c>
    </row>
    <row r="139" spans="1:42" s="4" customFormat="1" x14ac:dyDescent="0.25">
      <c r="A139" s="3">
        <v>4604811</v>
      </c>
      <c r="B139" s="28">
        <v>41985</v>
      </c>
      <c r="C139" s="3" t="s">
        <v>1278</v>
      </c>
      <c r="D139" s="3">
        <v>10004605</v>
      </c>
      <c r="E139" s="4">
        <v>4534162</v>
      </c>
      <c r="F139" s="3" t="s">
        <v>49</v>
      </c>
      <c r="G139" s="4" t="s">
        <v>1764</v>
      </c>
      <c r="H139" s="4" t="s">
        <v>1765</v>
      </c>
      <c r="I139" s="5">
        <v>135000</v>
      </c>
      <c r="J139" s="3" t="s">
        <v>436</v>
      </c>
      <c r="K139" s="3" t="s">
        <v>901</v>
      </c>
      <c r="L139" s="3" t="s">
        <v>196</v>
      </c>
      <c r="M139" s="4" t="s">
        <v>1765</v>
      </c>
      <c r="N139" s="3" t="s">
        <v>25</v>
      </c>
      <c r="O139" s="3"/>
      <c r="Q139" s="3"/>
      <c r="R139" s="3"/>
      <c r="Y139" s="4" t="s">
        <v>540</v>
      </c>
      <c r="Z139" s="4" t="s">
        <v>540</v>
      </c>
      <c r="AB139" s="3"/>
      <c r="AC139" s="3"/>
      <c r="AD139" s="3" t="s">
        <v>1240</v>
      </c>
      <c r="AE139" s="3">
        <v>1000</v>
      </c>
      <c r="AI139" s="4" t="s">
        <v>542</v>
      </c>
      <c r="AJ139" s="4" t="s">
        <v>542</v>
      </c>
      <c r="AK139" s="3"/>
      <c r="AL139" s="4">
        <v>140965</v>
      </c>
      <c r="AM139" s="5">
        <v>135000</v>
      </c>
      <c r="AN139" s="4" t="s">
        <v>124</v>
      </c>
      <c r="AO139" s="4">
        <v>99</v>
      </c>
      <c r="AP139" s="4">
        <v>72100000</v>
      </c>
    </row>
    <row r="140" spans="1:42" s="4" customFormat="1" x14ac:dyDescent="0.25">
      <c r="A140" s="3">
        <v>4604818</v>
      </c>
      <c r="B140" s="28">
        <v>42009</v>
      </c>
      <c r="C140" s="3" t="s">
        <v>1278</v>
      </c>
      <c r="D140" s="3">
        <v>10004613</v>
      </c>
      <c r="E140" s="4">
        <v>4534169</v>
      </c>
      <c r="F140" s="3" t="s">
        <v>49</v>
      </c>
      <c r="G140" s="4" t="s">
        <v>1773</v>
      </c>
      <c r="H140" s="4" t="s">
        <v>1774</v>
      </c>
      <c r="I140" s="5">
        <v>235000</v>
      </c>
      <c r="J140" s="3" t="s">
        <v>1772</v>
      </c>
      <c r="K140" s="3" t="s">
        <v>1775</v>
      </c>
      <c r="L140" s="3" t="s">
        <v>196</v>
      </c>
      <c r="M140" s="4" t="s">
        <v>1774</v>
      </c>
      <c r="N140" s="3" t="s">
        <v>25</v>
      </c>
      <c r="O140" s="3"/>
      <c r="Q140" s="3"/>
      <c r="R140" s="3"/>
      <c r="Y140" s="4" t="s">
        <v>260</v>
      </c>
      <c r="Z140" s="4" t="s">
        <v>260</v>
      </c>
      <c r="AB140" s="3"/>
      <c r="AC140" s="3"/>
      <c r="AD140" s="3" t="s">
        <v>369</v>
      </c>
      <c r="AE140" s="3">
        <v>1000</v>
      </c>
      <c r="AI140" s="4" t="s">
        <v>261</v>
      </c>
      <c r="AJ140" s="4" t="s">
        <v>261</v>
      </c>
      <c r="AK140" s="3"/>
      <c r="AL140" s="4">
        <v>141847</v>
      </c>
      <c r="AM140" s="5">
        <v>235000</v>
      </c>
      <c r="AN140" s="4" t="s">
        <v>124</v>
      </c>
      <c r="AO140" s="4">
        <v>96</v>
      </c>
      <c r="AP140" s="4">
        <v>84111500</v>
      </c>
    </row>
    <row r="141" spans="1:42" s="4" customFormat="1" x14ac:dyDescent="0.25">
      <c r="A141" s="3">
        <v>4604821</v>
      </c>
      <c r="B141" s="28">
        <v>42009</v>
      </c>
      <c r="C141" s="3" t="s">
        <v>1278</v>
      </c>
      <c r="D141" s="3">
        <v>10004619</v>
      </c>
      <c r="E141" s="4">
        <v>4534172</v>
      </c>
      <c r="F141" s="3" t="s">
        <v>49</v>
      </c>
      <c r="G141" s="4" t="s">
        <v>1427</v>
      </c>
      <c r="H141" s="4" t="s">
        <v>1777</v>
      </c>
      <c r="I141" s="5">
        <v>14000</v>
      </c>
      <c r="J141" s="3" t="s">
        <v>807</v>
      </c>
      <c r="K141" s="3" t="s">
        <v>77</v>
      </c>
      <c r="L141" s="3" t="s">
        <v>196</v>
      </c>
      <c r="M141" s="4" t="s">
        <v>1777</v>
      </c>
      <c r="N141" s="3" t="s">
        <v>25</v>
      </c>
      <c r="O141" s="3"/>
      <c r="Q141" s="3"/>
      <c r="R141" s="3"/>
      <c r="Y141" s="4" t="s">
        <v>1778</v>
      </c>
      <c r="Z141" s="4" t="s">
        <v>1778</v>
      </c>
      <c r="AB141" s="3"/>
      <c r="AC141" s="3"/>
      <c r="AD141" s="3" t="s">
        <v>1762</v>
      </c>
      <c r="AE141" s="3">
        <v>1000</v>
      </c>
      <c r="AI141" s="4" t="s">
        <v>1779</v>
      </c>
      <c r="AJ141" s="4" t="s">
        <v>1779</v>
      </c>
      <c r="AK141" s="3"/>
      <c r="AL141" s="4">
        <v>141764</v>
      </c>
      <c r="AM141" s="5">
        <v>14000</v>
      </c>
      <c r="AN141" s="4" t="s">
        <v>124</v>
      </c>
      <c r="AO141" s="4">
        <v>99</v>
      </c>
      <c r="AP141" s="4">
        <v>94101600</v>
      </c>
    </row>
    <row r="142" spans="1:42" s="4" customFormat="1" x14ac:dyDescent="0.25">
      <c r="A142" s="3">
        <v>4604822</v>
      </c>
      <c r="B142" s="28">
        <v>42013</v>
      </c>
      <c r="C142" s="3" t="s">
        <v>1278</v>
      </c>
      <c r="D142" s="3">
        <v>10004618</v>
      </c>
      <c r="E142" s="4">
        <v>4534173</v>
      </c>
      <c r="F142" s="3" t="s">
        <v>49</v>
      </c>
      <c r="G142" s="4" t="s">
        <v>1780</v>
      </c>
      <c r="H142" s="4" t="s">
        <v>1781</v>
      </c>
      <c r="I142" s="5">
        <v>18018</v>
      </c>
      <c r="J142" s="3" t="s">
        <v>333</v>
      </c>
      <c r="K142" s="3" t="s">
        <v>728</v>
      </c>
      <c r="L142" s="3" t="s">
        <v>196</v>
      </c>
      <c r="M142" s="4" t="s">
        <v>1781</v>
      </c>
      <c r="N142" s="3" t="s">
        <v>25</v>
      </c>
      <c r="O142" s="3"/>
      <c r="Q142" s="3"/>
      <c r="R142" s="3"/>
      <c r="Y142" s="4" t="s">
        <v>1056</v>
      </c>
      <c r="Z142" s="4" t="s">
        <v>1782</v>
      </c>
      <c r="AB142" s="3"/>
      <c r="AC142" s="3"/>
      <c r="AD142" s="3" t="s">
        <v>335</v>
      </c>
      <c r="AE142" s="3">
        <v>1000</v>
      </c>
      <c r="AI142" s="4" t="s">
        <v>1058</v>
      </c>
      <c r="AJ142" s="4" t="s">
        <v>1783</v>
      </c>
      <c r="AK142" s="3"/>
      <c r="AL142" s="4">
        <v>140558</v>
      </c>
      <c r="AM142" s="5">
        <v>18018</v>
      </c>
      <c r="AN142" s="4" t="s">
        <v>124</v>
      </c>
      <c r="AO142" s="4">
        <v>99</v>
      </c>
      <c r="AP142" s="4">
        <v>43211501</v>
      </c>
    </row>
    <row r="143" spans="1:42" s="4" customFormat="1" x14ac:dyDescent="0.25">
      <c r="A143" s="3">
        <v>4604827</v>
      </c>
      <c r="B143" s="28">
        <v>42019</v>
      </c>
      <c r="C143" s="3" t="s">
        <v>1278</v>
      </c>
      <c r="D143" s="3">
        <v>10004624</v>
      </c>
      <c r="E143" s="4">
        <v>4534178</v>
      </c>
      <c r="F143" s="3" t="s">
        <v>49</v>
      </c>
      <c r="G143" s="4" t="s">
        <v>1293</v>
      </c>
      <c r="H143" s="4" t="s">
        <v>1489</v>
      </c>
      <c r="I143" s="5">
        <v>46001.78</v>
      </c>
      <c r="J143" s="3" t="s">
        <v>1788</v>
      </c>
      <c r="K143" s="3" t="s">
        <v>321</v>
      </c>
      <c r="L143" s="3" t="s">
        <v>196</v>
      </c>
      <c r="M143" s="4" t="s">
        <v>1789</v>
      </c>
      <c r="N143" s="3" t="s">
        <v>25</v>
      </c>
      <c r="O143" s="3"/>
      <c r="Q143" s="3"/>
      <c r="R143" s="3"/>
      <c r="Y143" s="4" t="s">
        <v>1056</v>
      </c>
      <c r="Z143" s="4" t="s">
        <v>1056</v>
      </c>
      <c r="AB143" s="3"/>
      <c r="AC143" s="3"/>
      <c r="AD143" s="3" t="s">
        <v>340</v>
      </c>
      <c r="AE143" s="3">
        <v>1000</v>
      </c>
      <c r="AI143" s="4" t="s">
        <v>1058</v>
      </c>
      <c r="AJ143" s="4" t="s">
        <v>1058</v>
      </c>
      <c r="AK143" s="3"/>
      <c r="AL143" s="4">
        <v>40424</v>
      </c>
      <c r="AM143" s="5">
        <v>46001.78</v>
      </c>
      <c r="AN143" s="4" t="s">
        <v>124</v>
      </c>
      <c r="AO143" s="4">
        <v>99</v>
      </c>
      <c r="AP143" s="4">
        <v>43230000</v>
      </c>
    </row>
    <row r="144" spans="1:42" s="4" customFormat="1" x14ac:dyDescent="0.25">
      <c r="A144" s="3">
        <v>4604834</v>
      </c>
      <c r="B144" s="28">
        <v>42026</v>
      </c>
      <c r="C144" s="3" t="s">
        <v>1278</v>
      </c>
      <c r="D144" s="3">
        <v>10004633</v>
      </c>
      <c r="E144" s="4">
        <v>4534185</v>
      </c>
      <c r="F144" s="3" t="s">
        <v>49</v>
      </c>
      <c r="G144" s="4" t="s">
        <v>1164</v>
      </c>
      <c r="H144" s="4" t="s">
        <v>1794</v>
      </c>
      <c r="I144" s="5">
        <v>24363.46</v>
      </c>
      <c r="J144" s="3" t="s">
        <v>341</v>
      </c>
      <c r="K144" s="3" t="s">
        <v>422</v>
      </c>
      <c r="L144" s="3" t="s">
        <v>196</v>
      </c>
      <c r="M144" s="4" t="s">
        <v>1795</v>
      </c>
      <c r="N144" s="3" t="s">
        <v>25</v>
      </c>
      <c r="O144" s="3"/>
      <c r="Q144" s="3"/>
      <c r="R144" s="3"/>
      <c r="Y144" s="4" t="s">
        <v>1056</v>
      </c>
      <c r="Z144" s="4" t="s">
        <v>1782</v>
      </c>
      <c r="AA144" s="4" t="s">
        <v>1695</v>
      </c>
      <c r="AB144" s="3"/>
      <c r="AC144" s="3"/>
      <c r="AD144" s="3" t="s">
        <v>524</v>
      </c>
      <c r="AE144" s="3">
        <v>1000</v>
      </c>
      <c r="AI144" s="4" t="s">
        <v>1058</v>
      </c>
      <c r="AJ144" s="4" t="s">
        <v>1783</v>
      </c>
      <c r="AK144" s="3"/>
      <c r="AL144" s="4">
        <v>45277</v>
      </c>
      <c r="AM144" s="5">
        <v>24363.46</v>
      </c>
      <c r="AN144" s="4" t="s">
        <v>124</v>
      </c>
      <c r="AO144" s="4">
        <v>99</v>
      </c>
      <c r="AP144" s="4">
        <v>43220000</v>
      </c>
    </row>
    <row r="145" spans="1:42" s="4" customFormat="1" x14ac:dyDescent="0.25">
      <c r="A145" s="3">
        <v>4604835</v>
      </c>
      <c r="B145" s="28">
        <v>42023</v>
      </c>
      <c r="C145" s="3" t="s">
        <v>1278</v>
      </c>
      <c r="D145" s="3">
        <v>10004574</v>
      </c>
      <c r="E145" s="4">
        <v>4534186</v>
      </c>
      <c r="F145" s="3" t="s">
        <v>49</v>
      </c>
      <c r="G145" s="4" t="s">
        <v>1657</v>
      </c>
      <c r="H145" s="4" t="s">
        <v>1796</v>
      </c>
      <c r="I145" s="5">
        <v>26820</v>
      </c>
      <c r="J145" s="3" t="s">
        <v>1724</v>
      </c>
      <c r="K145" s="3" t="s">
        <v>137</v>
      </c>
      <c r="L145" s="3" t="s">
        <v>196</v>
      </c>
      <c r="M145" s="4" t="s">
        <v>1797</v>
      </c>
      <c r="N145" s="3" t="s">
        <v>25</v>
      </c>
      <c r="O145" s="3"/>
      <c r="Q145" s="3"/>
      <c r="R145" s="3"/>
      <c r="Y145" s="4" t="s">
        <v>1056</v>
      </c>
      <c r="Z145" s="4" t="s">
        <v>1782</v>
      </c>
      <c r="AB145" s="3"/>
      <c r="AC145" s="3"/>
      <c r="AD145" s="3" t="s">
        <v>449</v>
      </c>
      <c r="AE145" s="3">
        <v>1000</v>
      </c>
      <c r="AI145" s="4" t="s">
        <v>1058</v>
      </c>
      <c r="AJ145" s="4" t="s">
        <v>1783</v>
      </c>
      <c r="AK145" s="3"/>
      <c r="AL145" s="4">
        <v>47407</v>
      </c>
      <c r="AM145" s="5">
        <v>26820</v>
      </c>
      <c r="AN145" s="4" t="s">
        <v>124</v>
      </c>
      <c r="AO145" s="4">
        <v>99</v>
      </c>
      <c r="AP145" s="4">
        <v>44110000</v>
      </c>
    </row>
    <row r="146" spans="1:42" s="4" customFormat="1" x14ac:dyDescent="0.25">
      <c r="A146" s="3">
        <v>4604839</v>
      </c>
      <c r="B146" s="28">
        <v>42025</v>
      </c>
      <c r="C146" s="3" t="s">
        <v>1278</v>
      </c>
      <c r="D146" s="3">
        <v>10004634</v>
      </c>
      <c r="E146" s="4">
        <v>4534190</v>
      </c>
      <c r="F146" s="3" t="s">
        <v>49</v>
      </c>
      <c r="G146" s="4" t="s">
        <v>271</v>
      </c>
      <c r="H146" s="4" t="s">
        <v>1800</v>
      </c>
      <c r="I146" s="5">
        <v>23100</v>
      </c>
      <c r="J146" s="3" t="s">
        <v>449</v>
      </c>
      <c r="K146" s="3" t="s">
        <v>480</v>
      </c>
      <c r="L146" s="3" t="s">
        <v>196</v>
      </c>
      <c r="M146" s="4" t="s">
        <v>1800</v>
      </c>
      <c r="N146" s="3" t="s">
        <v>25</v>
      </c>
      <c r="O146" s="3"/>
      <c r="Q146" s="3"/>
      <c r="R146" s="3"/>
      <c r="Y146" s="4" t="s">
        <v>179</v>
      </c>
      <c r="Z146" s="4" t="s">
        <v>179</v>
      </c>
      <c r="AB146" s="3"/>
      <c r="AC146" s="3"/>
      <c r="AD146" s="3" t="s">
        <v>841</v>
      </c>
      <c r="AE146" s="3">
        <v>1000</v>
      </c>
      <c r="AI146" s="4" t="s">
        <v>182</v>
      </c>
      <c r="AJ146" s="4" t="s">
        <v>182</v>
      </c>
      <c r="AK146" s="3"/>
      <c r="AL146" s="4">
        <v>46721</v>
      </c>
      <c r="AM146" s="5">
        <v>23100</v>
      </c>
      <c r="AN146" s="4" t="s">
        <v>124</v>
      </c>
      <c r="AO146" s="4">
        <v>99</v>
      </c>
      <c r="AP146" s="4">
        <v>80110000</v>
      </c>
    </row>
    <row r="147" spans="1:42" s="4" customFormat="1" x14ac:dyDescent="0.25">
      <c r="A147" s="3">
        <v>4604844</v>
      </c>
      <c r="B147" s="28">
        <v>42033</v>
      </c>
      <c r="C147" s="3" t="s">
        <v>1278</v>
      </c>
      <c r="D147" s="3">
        <v>10004642</v>
      </c>
      <c r="E147" s="4">
        <v>4534195</v>
      </c>
      <c r="F147" s="3" t="s">
        <v>49</v>
      </c>
      <c r="G147" s="4" t="s">
        <v>393</v>
      </c>
      <c r="H147" s="4" t="s">
        <v>1803</v>
      </c>
      <c r="I147" s="5">
        <v>12056.88</v>
      </c>
      <c r="J147" s="3" t="s">
        <v>122</v>
      </c>
      <c r="K147" s="3" t="s">
        <v>498</v>
      </c>
      <c r="L147" s="3" t="s">
        <v>196</v>
      </c>
      <c r="M147" s="4" t="s">
        <v>1804</v>
      </c>
      <c r="N147" s="3" t="s">
        <v>25</v>
      </c>
      <c r="O147" s="3"/>
      <c r="Q147" s="3"/>
      <c r="R147" s="3"/>
      <c r="Y147" s="4" t="s">
        <v>179</v>
      </c>
      <c r="Z147" s="4" t="s">
        <v>179</v>
      </c>
      <c r="AB147" s="3"/>
      <c r="AC147" s="3"/>
      <c r="AD147" s="3" t="s">
        <v>122</v>
      </c>
      <c r="AE147" s="3">
        <v>1000</v>
      </c>
      <c r="AI147" s="4" t="s">
        <v>182</v>
      </c>
      <c r="AJ147" s="4" t="s">
        <v>182</v>
      </c>
      <c r="AK147" s="3"/>
      <c r="AL147" s="4">
        <v>51455</v>
      </c>
      <c r="AM147" s="5">
        <v>12056.88</v>
      </c>
      <c r="AN147" s="4" t="s">
        <v>124</v>
      </c>
      <c r="AO147" s="4">
        <v>99</v>
      </c>
      <c r="AP147" s="4">
        <v>86000000</v>
      </c>
    </row>
    <row r="148" spans="1:42" s="4" customFormat="1" x14ac:dyDescent="0.25">
      <c r="A148" s="3">
        <v>4604845</v>
      </c>
      <c r="B148" s="28">
        <v>42185</v>
      </c>
      <c r="C148" s="3" t="s">
        <v>1278</v>
      </c>
      <c r="D148" s="3">
        <v>10004643</v>
      </c>
      <c r="E148" s="4">
        <v>4534196</v>
      </c>
      <c r="F148" s="3" t="s">
        <v>49</v>
      </c>
      <c r="G148" s="4" t="s">
        <v>1805</v>
      </c>
      <c r="H148" s="4" t="s">
        <v>1806</v>
      </c>
      <c r="I148" s="5">
        <v>20220</v>
      </c>
      <c r="J148" s="3" t="s">
        <v>122</v>
      </c>
      <c r="K148" s="3" t="s">
        <v>1037</v>
      </c>
      <c r="L148" s="3" t="s">
        <v>196</v>
      </c>
      <c r="M148" s="4" t="s">
        <v>1807</v>
      </c>
      <c r="N148" s="3" t="s">
        <v>25</v>
      </c>
      <c r="O148" s="3"/>
      <c r="Q148" s="3"/>
      <c r="R148" s="3"/>
      <c r="Y148" s="4" t="s">
        <v>179</v>
      </c>
      <c r="Z148" s="4" t="s">
        <v>179</v>
      </c>
      <c r="AB148" s="3"/>
      <c r="AC148" s="3"/>
      <c r="AD148" s="3" t="s">
        <v>77</v>
      </c>
      <c r="AE148" s="3">
        <v>1000</v>
      </c>
      <c r="AI148" s="4" t="s">
        <v>182</v>
      </c>
      <c r="AJ148" s="4" t="s">
        <v>182</v>
      </c>
      <c r="AK148" s="3"/>
      <c r="AL148" s="4">
        <v>140373</v>
      </c>
      <c r="AM148" s="5">
        <v>20220</v>
      </c>
      <c r="AN148" s="4" t="s">
        <v>124</v>
      </c>
      <c r="AO148" s="4">
        <v>99</v>
      </c>
      <c r="AP148" s="4">
        <v>86000000</v>
      </c>
    </row>
    <row r="149" spans="1:42" s="4" customFormat="1" x14ac:dyDescent="0.25">
      <c r="A149" s="3">
        <v>4604846</v>
      </c>
      <c r="B149" s="28">
        <v>42041</v>
      </c>
      <c r="C149" s="3" t="s">
        <v>1278</v>
      </c>
      <c r="D149" s="3">
        <v>10004651</v>
      </c>
      <c r="E149" s="4">
        <v>4534197</v>
      </c>
      <c r="F149" s="3" t="s">
        <v>49</v>
      </c>
      <c r="G149" s="4" t="s">
        <v>1399</v>
      </c>
      <c r="H149" s="4" t="s">
        <v>1808</v>
      </c>
      <c r="I149" s="5">
        <v>116160</v>
      </c>
      <c r="J149" s="3" t="s">
        <v>1809</v>
      </c>
      <c r="K149" s="3" t="s">
        <v>77</v>
      </c>
      <c r="L149" s="3" t="s">
        <v>196</v>
      </c>
      <c r="M149" s="4" t="s">
        <v>1810</v>
      </c>
      <c r="N149" s="3" t="s">
        <v>25</v>
      </c>
      <c r="O149" s="3"/>
      <c r="Q149" s="3"/>
      <c r="R149" s="3"/>
      <c r="Y149" s="4" t="s">
        <v>1811</v>
      </c>
      <c r="Z149" s="4" t="s">
        <v>1090</v>
      </c>
      <c r="AB149" s="3"/>
      <c r="AC149" s="3"/>
      <c r="AD149" s="3" t="s">
        <v>299</v>
      </c>
      <c r="AE149" s="3">
        <v>1000</v>
      </c>
      <c r="AI149" s="4" t="s">
        <v>1812</v>
      </c>
      <c r="AJ149" s="4" t="s">
        <v>1091</v>
      </c>
      <c r="AK149" s="3"/>
      <c r="AL149" s="4">
        <v>42451</v>
      </c>
      <c r="AM149" s="5">
        <v>116160</v>
      </c>
      <c r="AN149" s="4" t="s">
        <v>124</v>
      </c>
      <c r="AO149" s="4">
        <v>99</v>
      </c>
      <c r="AP149" s="4">
        <v>81112200</v>
      </c>
    </row>
    <row r="150" spans="1:42" s="4" customFormat="1" x14ac:dyDescent="0.25">
      <c r="A150" s="3">
        <v>4604852</v>
      </c>
      <c r="B150" s="28">
        <v>42146</v>
      </c>
      <c r="C150" s="3" t="s">
        <v>1278</v>
      </c>
      <c r="D150" s="3">
        <v>10004464</v>
      </c>
      <c r="E150" s="4">
        <v>4534203</v>
      </c>
      <c r="F150" s="3" t="s">
        <v>49</v>
      </c>
      <c r="G150" s="4" t="s">
        <v>1814</v>
      </c>
      <c r="I150" s="5">
        <v>4433</v>
      </c>
      <c r="J150" s="3" t="s">
        <v>465</v>
      </c>
      <c r="K150" s="3" t="s">
        <v>77</v>
      </c>
      <c r="L150" s="3" t="s">
        <v>196</v>
      </c>
      <c r="M150" s="4" t="s">
        <v>1604</v>
      </c>
      <c r="N150" s="3" t="s">
        <v>25</v>
      </c>
      <c r="O150" s="3"/>
      <c r="Q150" s="3"/>
      <c r="R150" s="3"/>
      <c r="Y150" s="4" t="s">
        <v>540</v>
      </c>
      <c r="Z150" s="4" t="s">
        <v>1090</v>
      </c>
      <c r="AB150" s="3"/>
      <c r="AC150" s="3"/>
      <c r="AD150" s="3" t="s">
        <v>360</v>
      </c>
      <c r="AE150" s="3">
        <v>1000</v>
      </c>
      <c r="AI150" s="4" t="s">
        <v>542</v>
      </c>
      <c r="AJ150" s="4" t="s">
        <v>1091</v>
      </c>
      <c r="AK150" s="3"/>
      <c r="AL150" s="4">
        <v>45940</v>
      </c>
      <c r="AM150" s="5">
        <v>4433</v>
      </c>
      <c r="AN150" s="4" t="s">
        <v>124</v>
      </c>
    </row>
    <row r="151" spans="1:42" s="4" customFormat="1" x14ac:dyDescent="0.25">
      <c r="A151" s="3">
        <v>4604855</v>
      </c>
      <c r="B151" s="28">
        <v>42058</v>
      </c>
      <c r="C151" s="3" t="s">
        <v>1278</v>
      </c>
      <c r="D151" s="3">
        <v>10004660</v>
      </c>
      <c r="E151" s="4">
        <v>4534206</v>
      </c>
      <c r="F151" s="3" t="s">
        <v>49</v>
      </c>
      <c r="G151" s="4" t="s">
        <v>1731</v>
      </c>
      <c r="H151" s="4" t="s">
        <v>1815</v>
      </c>
      <c r="I151" s="5">
        <v>25000</v>
      </c>
      <c r="J151" s="3" t="s">
        <v>469</v>
      </c>
      <c r="K151" s="3" t="s">
        <v>498</v>
      </c>
      <c r="L151" s="3" t="s">
        <v>196</v>
      </c>
      <c r="M151" s="4" t="s">
        <v>1815</v>
      </c>
      <c r="N151" s="3" t="s">
        <v>25</v>
      </c>
      <c r="O151" s="3"/>
      <c r="Q151" s="3"/>
      <c r="R151" s="3"/>
      <c r="Y151" s="4" t="s">
        <v>1816</v>
      </c>
      <c r="Z151" s="4" t="s">
        <v>1816</v>
      </c>
      <c r="AB151" s="3"/>
      <c r="AC151" s="3"/>
      <c r="AD151" s="3" t="s">
        <v>469</v>
      </c>
      <c r="AE151" s="3">
        <v>1000</v>
      </c>
      <c r="AI151" s="4" t="s">
        <v>1817</v>
      </c>
      <c r="AJ151" s="4" t="s">
        <v>1817</v>
      </c>
      <c r="AK151" s="3"/>
      <c r="AL151" s="4">
        <v>141834</v>
      </c>
      <c r="AM151" s="5">
        <v>25000</v>
      </c>
      <c r="AN151" s="4" t="s">
        <v>124</v>
      </c>
      <c r="AO151" s="4">
        <v>99</v>
      </c>
      <c r="AP151" s="4">
        <v>84111603</v>
      </c>
    </row>
    <row r="152" spans="1:42" s="4" customFormat="1" x14ac:dyDescent="0.25">
      <c r="A152" s="3">
        <v>4604857</v>
      </c>
      <c r="B152" s="28">
        <v>42060</v>
      </c>
      <c r="C152" s="3" t="s">
        <v>1278</v>
      </c>
      <c r="D152" s="3">
        <v>10004662</v>
      </c>
      <c r="E152" s="4">
        <v>4534208</v>
      </c>
      <c r="F152" s="3" t="s">
        <v>49</v>
      </c>
      <c r="G152" s="4" t="s">
        <v>1085</v>
      </c>
      <c r="H152" s="4" t="s">
        <v>1823</v>
      </c>
      <c r="I152" s="5">
        <v>45283.54</v>
      </c>
      <c r="J152" s="3" t="s">
        <v>1691</v>
      </c>
      <c r="K152" s="3" t="s">
        <v>1822</v>
      </c>
      <c r="L152" s="3" t="s">
        <v>196</v>
      </c>
      <c r="M152" s="4" t="s">
        <v>1823</v>
      </c>
      <c r="N152" s="3" t="s">
        <v>25</v>
      </c>
      <c r="O152" s="3"/>
      <c r="Q152" s="3"/>
      <c r="R152" s="3"/>
      <c r="Y152" s="4" t="s">
        <v>1824</v>
      </c>
      <c r="Z152" s="4" t="s">
        <v>1778</v>
      </c>
      <c r="AB152" s="3"/>
      <c r="AC152" s="3"/>
      <c r="AD152" s="3" t="s">
        <v>1822</v>
      </c>
      <c r="AE152" s="3">
        <v>1000</v>
      </c>
      <c r="AI152" s="4" t="s">
        <v>1825</v>
      </c>
      <c r="AJ152" s="4" t="s">
        <v>1779</v>
      </c>
      <c r="AK152" s="3"/>
      <c r="AL152" s="4">
        <v>30502</v>
      </c>
      <c r="AM152" s="5">
        <v>45283.54</v>
      </c>
      <c r="AN152" s="4" t="s">
        <v>124</v>
      </c>
      <c r="AO152" s="4">
        <v>99</v>
      </c>
      <c r="AP152" s="4">
        <v>86000000</v>
      </c>
    </row>
    <row r="153" spans="1:42" s="4" customFormat="1" x14ac:dyDescent="0.25">
      <c r="A153" s="3">
        <v>4604858</v>
      </c>
      <c r="B153" s="28">
        <v>42061</v>
      </c>
      <c r="C153" s="3" t="s">
        <v>1278</v>
      </c>
      <c r="D153" s="3">
        <v>10004664</v>
      </c>
      <c r="E153" s="4">
        <v>4534209</v>
      </c>
      <c r="F153" s="3" t="s">
        <v>49</v>
      </c>
      <c r="G153" s="4" t="s">
        <v>271</v>
      </c>
      <c r="H153" s="4" t="s">
        <v>1826</v>
      </c>
      <c r="I153" s="5">
        <v>27000</v>
      </c>
      <c r="J153" s="3" t="s">
        <v>1269</v>
      </c>
      <c r="K153" s="3" t="s">
        <v>498</v>
      </c>
      <c r="L153" s="3" t="s">
        <v>196</v>
      </c>
      <c r="M153" s="4" t="s">
        <v>1827</v>
      </c>
      <c r="N153" s="3" t="s">
        <v>25</v>
      </c>
      <c r="O153" s="3"/>
      <c r="Q153" s="3"/>
      <c r="R153" s="3"/>
      <c r="Y153" s="4" t="s">
        <v>267</v>
      </c>
      <c r="Z153" s="4" t="s">
        <v>267</v>
      </c>
      <c r="AB153" s="3"/>
      <c r="AC153" s="3"/>
      <c r="AD153" s="3" t="s">
        <v>1479</v>
      </c>
      <c r="AE153" s="3">
        <v>1000</v>
      </c>
      <c r="AI153" s="4" t="s">
        <v>270</v>
      </c>
      <c r="AJ153" s="4" t="s">
        <v>270</v>
      </c>
      <c r="AK153" s="3"/>
      <c r="AL153" s="4">
        <v>46721</v>
      </c>
      <c r="AM153" s="5">
        <v>27000</v>
      </c>
      <c r="AN153" s="4" t="s">
        <v>124</v>
      </c>
      <c r="AO153" s="4">
        <v>99</v>
      </c>
      <c r="AP153" s="4">
        <v>80111700</v>
      </c>
    </row>
    <row r="154" spans="1:42" s="4" customFormat="1" x14ac:dyDescent="0.25">
      <c r="A154" s="3">
        <v>4604866</v>
      </c>
      <c r="B154" s="28">
        <v>42068</v>
      </c>
      <c r="C154" s="3" t="s">
        <v>1278</v>
      </c>
      <c r="D154" s="3">
        <v>10004672</v>
      </c>
      <c r="E154" s="4">
        <v>4534217</v>
      </c>
      <c r="F154" s="3" t="s">
        <v>49</v>
      </c>
      <c r="G154" s="4" t="s">
        <v>1838</v>
      </c>
      <c r="H154" s="4" t="s">
        <v>1839</v>
      </c>
      <c r="I154" s="5">
        <v>25767.5</v>
      </c>
      <c r="J154" s="3" t="s">
        <v>1479</v>
      </c>
      <c r="K154" s="3" t="s">
        <v>498</v>
      </c>
      <c r="L154" s="3" t="s">
        <v>196</v>
      </c>
      <c r="M154" s="4" t="s">
        <v>1840</v>
      </c>
      <c r="N154" s="3" t="s">
        <v>25</v>
      </c>
      <c r="O154" s="3"/>
      <c r="Q154" s="3"/>
      <c r="R154" s="3"/>
      <c r="Y154" s="4" t="s">
        <v>1056</v>
      </c>
      <c r="Z154" s="4" t="s">
        <v>1056</v>
      </c>
      <c r="AB154" s="3"/>
      <c r="AC154" s="3"/>
      <c r="AD154" s="3" t="s">
        <v>1635</v>
      </c>
      <c r="AE154" s="3">
        <v>1000</v>
      </c>
      <c r="AI154" s="4" t="s">
        <v>1058</v>
      </c>
      <c r="AJ154" s="4" t="s">
        <v>1058</v>
      </c>
      <c r="AK154" s="3"/>
      <c r="AL154" s="4">
        <v>45852</v>
      </c>
      <c r="AM154" s="5">
        <v>25767.5</v>
      </c>
      <c r="AN154" s="4" t="s">
        <v>124</v>
      </c>
      <c r="AO154" s="4">
        <v>99</v>
      </c>
      <c r="AP154" s="4">
        <v>43230000</v>
      </c>
    </row>
    <row r="155" spans="1:42" s="4" customFormat="1" x14ac:dyDescent="0.25">
      <c r="A155" s="3">
        <v>4604877</v>
      </c>
      <c r="B155" s="28">
        <v>42075</v>
      </c>
      <c r="C155" s="3" t="s">
        <v>1278</v>
      </c>
      <c r="D155" s="3">
        <v>10004692</v>
      </c>
      <c r="E155" s="4">
        <v>4534228</v>
      </c>
      <c r="F155" s="3" t="s">
        <v>49</v>
      </c>
      <c r="G155" s="4" t="s">
        <v>329</v>
      </c>
      <c r="H155" s="4" t="s">
        <v>1839</v>
      </c>
      <c r="I155" s="5">
        <v>282549.3</v>
      </c>
      <c r="J155" s="3" t="s">
        <v>486</v>
      </c>
      <c r="K155" s="3" t="s">
        <v>498</v>
      </c>
      <c r="L155" s="3" t="s">
        <v>196</v>
      </c>
      <c r="M155" s="4" t="s">
        <v>1844</v>
      </c>
      <c r="N155" s="3" t="s">
        <v>25</v>
      </c>
      <c r="O155" s="3"/>
      <c r="Q155" s="3"/>
      <c r="R155" s="3"/>
      <c r="Y155" s="4" t="s">
        <v>1056</v>
      </c>
      <c r="Z155" s="4" t="s">
        <v>1056</v>
      </c>
      <c r="AB155" s="3"/>
      <c r="AC155" s="3"/>
      <c r="AD155" s="3" t="s">
        <v>455</v>
      </c>
      <c r="AE155" s="3">
        <v>1000</v>
      </c>
      <c r="AI155" s="4" t="s">
        <v>1058</v>
      </c>
      <c r="AJ155" s="4" t="s">
        <v>1058</v>
      </c>
      <c r="AK155" s="3"/>
      <c r="AL155" s="4">
        <v>42575</v>
      </c>
      <c r="AM155" s="5">
        <v>282549.3</v>
      </c>
      <c r="AN155" s="4" t="s">
        <v>124</v>
      </c>
      <c r="AO155" s="4">
        <v>99</v>
      </c>
      <c r="AP155" s="4">
        <v>43230000</v>
      </c>
    </row>
    <row r="156" spans="1:42" s="4" customFormat="1" x14ac:dyDescent="0.25">
      <c r="A156" s="3">
        <v>4604878</v>
      </c>
      <c r="B156" s="28">
        <v>42091</v>
      </c>
      <c r="C156" s="3" t="s">
        <v>1278</v>
      </c>
      <c r="D156" s="3">
        <v>10004696</v>
      </c>
      <c r="E156" s="4">
        <v>4534229</v>
      </c>
      <c r="F156" s="3" t="s">
        <v>49</v>
      </c>
      <c r="G156" s="4" t="s">
        <v>1234</v>
      </c>
      <c r="H156" s="4" t="s">
        <v>1235</v>
      </c>
      <c r="I156" s="5">
        <v>45000</v>
      </c>
      <c r="J156" s="3" t="s">
        <v>1236</v>
      </c>
      <c r="K156" s="3" t="s">
        <v>1845</v>
      </c>
      <c r="L156" s="3" t="s">
        <v>196</v>
      </c>
      <c r="M156" s="4" t="s">
        <v>1846</v>
      </c>
      <c r="N156" s="3" t="s">
        <v>25</v>
      </c>
      <c r="O156" s="3"/>
      <c r="Q156" s="3"/>
      <c r="R156" s="3"/>
      <c r="Y156" s="4" t="s">
        <v>1847</v>
      </c>
      <c r="Z156" s="4" t="s">
        <v>1847</v>
      </c>
      <c r="AB156" s="3"/>
      <c r="AC156" s="3"/>
      <c r="AD156" s="3" t="s">
        <v>477</v>
      </c>
      <c r="AE156" s="3">
        <v>1000</v>
      </c>
      <c r="AI156" s="4" t="s">
        <v>1848</v>
      </c>
      <c r="AJ156" s="4" t="s">
        <v>1848</v>
      </c>
      <c r="AK156" s="3"/>
      <c r="AL156" s="4">
        <v>43497</v>
      </c>
      <c r="AM156" s="5">
        <v>45000</v>
      </c>
      <c r="AN156" s="4" t="s">
        <v>124</v>
      </c>
      <c r="AO156" s="4">
        <v>99</v>
      </c>
      <c r="AP156" s="4">
        <v>86000000</v>
      </c>
    </row>
    <row r="157" spans="1:42" s="4" customFormat="1" x14ac:dyDescent="0.25">
      <c r="A157" s="3">
        <v>4604881</v>
      </c>
      <c r="B157" s="28">
        <v>42068</v>
      </c>
      <c r="C157" s="3" t="s">
        <v>1278</v>
      </c>
      <c r="D157" s="3">
        <v>10004673</v>
      </c>
      <c r="E157" s="4">
        <v>4534232</v>
      </c>
      <c r="F157" s="3" t="s">
        <v>49</v>
      </c>
      <c r="G157" s="4" t="s">
        <v>271</v>
      </c>
      <c r="H157" s="4" t="s">
        <v>1856</v>
      </c>
      <c r="I157" s="5">
        <v>11000</v>
      </c>
      <c r="J157" s="3" t="s">
        <v>484</v>
      </c>
      <c r="K157" s="3" t="s">
        <v>498</v>
      </c>
      <c r="L157" s="3" t="s">
        <v>196</v>
      </c>
      <c r="M157" s="4" t="s">
        <v>1856</v>
      </c>
      <c r="N157" s="3" t="s">
        <v>25</v>
      </c>
      <c r="O157" s="3"/>
      <c r="Q157" s="3"/>
      <c r="R157" s="3"/>
      <c r="Y157" s="4" t="s">
        <v>267</v>
      </c>
      <c r="Z157" s="4" t="s">
        <v>267</v>
      </c>
      <c r="AB157" s="3"/>
      <c r="AC157" s="3"/>
      <c r="AD157" s="3" t="s">
        <v>477</v>
      </c>
      <c r="AE157" s="3">
        <v>1000</v>
      </c>
      <c r="AI157" s="4" t="s">
        <v>270</v>
      </c>
      <c r="AJ157" s="4" t="s">
        <v>270</v>
      </c>
      <c r="AK157" s="3"/>
      <c r="AL157" s="4">
        <v>46721</v>
      </c>
      <c r="AM157" s="5">
        <v>11000</v>
      </c>
      <c r="AN157" s="4" t="s">
        <v>124</v>
      </c>
      <c r="AO157" s="4">
        <v>99</v>
      </c>
      <c r="AP157" s="4">
        <v>80111600</v>
      </c>
    </row>
    <row r="158" spans="1:42" s="4" customFormat="1" x14ac:dyDescent="0.25">
      <c r="A158" s="3">
        <v>4604882</v>
      </c>
      <c r="B158" s="28">
        <v>42144</v>
      </c>
      <c r="C158" s="3" t="s">
        <v>1278</v>
      </c>
      <c r="D158" s="3">
        <v>10004697</v>
      </c>
      <c r="E158" s="4">
        <v>4534233</v>
      </c>
      <c r="F158" s="3" t="s">
        <v>49</v>
      </c>
      <c r="G158" s="4" t="s">
        <v>1599</v>
      </c>
      <c r="H158" s="4" t="s">
        <v>1857</v>
      </c>
      <c r="I158" s="5">
        <v>47520</v>
      </c>
      <c r="J158" s="3" t="s">
        <v>455</v>
      </c>
      <c r="K158" s="3" t="s">
        <v>1858</v>
      </c>
      <c r="L158" s="3" t="s">
        <v>196</v>
      </c>
      <c r="M158" s="4" t="s">
        <v>1859</v>
      </c>
      <c r="N158" s="3" t="s">
        <v>25</v>
      </c>
      <c r="O158" s="3"/>
      <c r="Q158" s="3"/>
      <c r="R158" s="3"/>
      <c r="Y158" s="4" t="s">
        <v>1309</v>
      </c>
      <c r="Z158" s="4" t="s">
        <v>1309</v>
      </c>
      <c r="AB158" s="3"/>
      <c r="AC158" s="3"/>
      <c r="AD158" s="3" t="s">
        <v>1088</v>
      </c>
      <c r="AE158" s="3">
        <v>1000</v>
      </c>
      <c r="AI158" s="4" t="s">
        <v>1313</v>
      </c>
      <c r="AJ158" s="4" t="s">
        <v>1313</v>
      </c>
      <c r="AK158" s="3"/>
      <c r="AL158" s="4">
        <v>141435</v>
      </c>
      <c r="AM158" s="5">
        <v>47520</v>
      </c>
      <c r="AN158" s="4" t="s">
        <v>124</v>
      </c>
      <c r="AO158" s="4">
        <v>99</v>
      </c>
      <c r="AP158" s="4">
        <v>80101507</v>
      </c>
    </row>
    <row r="159" spans="1:42" s="4" customFormat="1" x14ac:dyDescent="0.25">
      <c r="A159" s="3">
        <v>4604883</v>
      </c>
      <c r="B159" s="28">
        <v>42079</v>
      </c>
      <c r="C159" s="3" t="s">
        <v>1278</v>
      </c>
      <c r="D159" s="3">
        <v>10004695</v>
      </c>
      <c r="E159" s="4">
        <v>4534234</v>
      </c>
      <c r="F159" s="3" t="s">
        <v>49</v>
      </c>
      <c r="G159" s="4" t="s">
        <v>1288</v>
      </c>
      <c r="H159" s="4" t="s">
        <v>1860</v>
      </c>
      <c r="I159" s="5">
        <v>99975.27</v>
      </c>
      <c r="J159" s="3" t="s">
        <v>1861</v>
      </c>
      <c r="K159" s="3" t="s">
        <v>1862</v>
      </c>
      <c r="L159" s="3" t="s">
        <v>196</v>
      </c>
      <c r="M159" s="4" t="s">
        <v>1860</v>
      </c>
      <c r="N159" s="3" t="s">
        <v>25</v>
      </c>
      <c r="O159" s="3"/>
      <c r="Q159" s="3"/>
      <c r="R159" s="3"/>
      <c r="Y159" s="4" t="s">
        <v>1047</v>
      </c>
      <c r="Z159" s="4" t="s">
        <v>1047</v>
      </c>
      <c r="AB159" s="3"/>
      <c r="AC159" s="3"/>
      <c r="AD159" s="3" t="s">
        <v>901</v>
      </c>
      <c r="AE159" s="3">
        <v>1000</v>
      </c>
      <c r="AI159" s="4" t="s">
        <v>1050</v>
      </c>
      <c r="AJ159" s="4" t="s">
        <v>1050</v>
      </c>
      <c r="AK159" s="3"/>
      <c r="AL159" s="4">
        <v>40217</v>
      </c>
      <c r="AM159" s="5">
        <v>99975.27</v>
      </c>
      <c r="AN159" s="4" t="s">
        <v>124</v>
      </c>
      <c r="AO159" s="4">
        <v>99</v>
      </c>
      <c r="AP159" s="4">
        <v>81112200</v>
      </c>
    </row>
    <row r="160" spans="1:42" s="4" customFormat="1" x14ac:dyDescent="0.25">
      <c r="A160" s="3">
        <v>4604884</v>
      </c>
      <c r="B160" s="28">
        <v>42079</v>
      </c>
      <c r="C160" s="3" t="s">
        <v>1278</v>
      </c>
      <c r="D160" s="3">
        <v>10004688</v>
      </c>
      <c r="E160" s="4">
        <v>4534235</v>
      </c>
      <c r="F160" s="3" t="s">
        <v>49</v>
      </c>
      <c r="G160" s="4" t="s">
        <v>1288</v>
      </c>
      <c r="H160" s="4" t="s">
        <v>1863</v>
      </c>
      <c r="I160" s="5">
        <v>14245</v>
      </c>
      <c r="J160" s="3" t="s">
        <v>1179</v>
      </c>
      <c r="K160" s="3" t="s">
        <v>1864</v>
      </c>
      <c r="L160" s="3" t="s">
        <v>196</v>
      </c>
      <c r="M160" s="4" t="s">
        <v>1863</v>
      </c>
      <c r="N160" s="3" t="s">
        <v>25</v>
      </c>
      <c r="O160" s="3"/>
      <c r="Q160" s="3"/>
      <c r="R160" s="3"/>
      <c r="Y160" s="4" t="s">
        <v>1047</v>
      </c>
      <c r="Z160" s="4" t="s">
        <v>1047</v>
      </c>
      <c r="AB160" s="3"/>
      <c r="AC160" s="3"/>
      <c r="AD160" s="3" t="s">
        <v>901</v>
      </c>
      <c r="AE160" s="3">
        <v>1000</v>
      </c>
      <c r="AI160" s="4" t="s">
        <v>1050</v>
      </c>
      <c r="AJ160" s="4" t="s">
        <v>1050</v>
      </c>
      <c r="AK160" s="3"/>
      <c r="AL160" s="4">
        <v>40217</v>
      </c>
      <c r="AM160" s="5">
        <v>14245</v>
      </c>
      <c r="AN160" s="4" t="s">
        <v>124</v>
      </c>
      <c r="AO160" s="4">
        <v>99</v>
      </c>
      <c r="AP160" s="4">
        <v>86000000</v>
      </c>
    </row>
    <row r="161" spans="1:42" s="4" customFormat="1" x14ac:dyDescent="0.25">
      <c r="A161" s="3">
        <v>4604892</v>
      </c>
      <c r="B161" s="28">
        <v>42086</v>
      </c>
      <c r="C161" s="3" t="s">
        <v>1278</v>
      </c>
      <c r="D161" s="3">
        <v>10004707</v>
      </c>
      <c r="E161" s="4">
        <v>4534243</v>
      </c>
      <c r="F161" s="3" t="s">
        <v>49</v>
      </c>
      <c r="G161" s="4" t="s">
        <v>1661</v>
      </c>
      <c r="H161" s="4" t="s">
        <v>1880</v>
      </c>
      <c r="I161" s="5">
        <v>14071.88</v>
      </c>
      <c r="J161" s="3" t="s">
        <v>1870</v>
      </c>
      <c r="K161" s="3" t="s">
        <v>461</v>
      </c>
      <c r="L161" s="3" t="s">
        <v>196</v>
      </c>
      <c r="M161" s="4" t="s">
        <v>1880</v>
      </c>
      <c r="N161" s="3" t="s">
        <v>25</v>
      </c>
      <c r="O161" s="3"/>
      <c r="Q161" s="3"/>
      <c r="R161" s="3"/>
      <c r="Y161" s="4" t="s">
        <v>178</v>
      </c>
      <c r="Z161" s="4" t="s">
        <v>178</v>
      </c>
      <c r="AB161" s="3"/>
      <c r="AC161" s="3"/>
      <c r="AD161" s="3" t="s">
        <v>1870</v>
      </c>
      <c r="AE161" s="3">
        <v>1000</v>
      </c>
      <c r="AI161" s="4" t="s">
        <v>181</v>
      </c>
      <c r="AJ161" s="4" t="s">
        <v>181</v>
      </c>
      <c r="AK161" s="3"/>
      <c r="AL161" s="4">
        <v>141803</v>
      </c>
      <c r="AM161" s="5">
        <v>14071.88</v>
      </c>
      <c r="AN161" s="4" t="s">
        <v>124</v>
      </c>
      <c r="AO161" s="4">
        <v>99</v>
      </c>
      <c r="AP161" s="4">
        <v>80111600</v>
      </c>
    </row>
    <row r="162" spans="1:42" s="4" customFormat="1" x14ac:dyDescent="0.25">
      <c r="A162" s="3">
        <v>4604910</v>
      </c>
      <c r="B162" s="28">
        <v>42107</v>
      </c>
      <c r="C162" s="3" t="s">
        <v>1278</v>
      </c>
      <c r="D162" s="3">
        <v>10004727</v>
      </c>
      <c r="E162" s="4">
        <v>4534261</v>
      </c>
      <c r="F162" s="3" t="s">
        <v>49</v>
      </c>
      <c r="G162" s="4" t="s">
        <v>1321</v>
      </c>
      <c r="H162" s="4" t="s">
        <v>1767</v>
      </c>
      <c r="I162" s="5">
        <v>43337.25</v>
      </c>
      <c r="J162" s="3" t="s">
        <v>500</v>
      </c>
      <c r="K162" s="3" t="s">
        <v>77</v>
      </c>
      <c r="L162" s="3" t="s">
        <v>196</v>
      </c>
      <c r="M162" s="4" t="s">
        <v>1767</v>
      </c>
      <c r="N162" s="3" t="s">
        <v>25</v>
      </c>
      <c r="O162" s="3"/>
      <c r="Q162" s="3"/>
      <c r="R162" s="3"/>
      <c r="Y162" s="4" t="s">
        <v>1309</v>
      </c>
      <c r="Z162" s="4" t="s">
        <v>1309</v>
      </c>
      <c r="AB162" s="3"/>
      <c r="AC162" s="3"/>
      <c r="AD162" s="3" t="s">
        <v>532</v>
      </c>
      <c r="AE162" s="3">
        <v>1000</v>
      </c>
      <c r="AI162" s="4" t="s">
        <v>1313</v>
      </c>
      <c r="AJ162" s="4" t="s">
        <v>1313</v>
      </c>
      <c r="AK162" s="3"/>
      <c r="AL162" s="4">
        <v>140474</v>
      </c>
      <c r="AM162" s="5">
        <v>43337.25</v>
      </c>
      <c r="AN162" s="4" t="s">
        <v>124</v>
      </c>
      <c r="AO162" s="4">
        <v>98</v>
      </c>
      <c r="AP162" s="4">
        <v>80101507</v>
      </c>
    </row>
    <row r="163" spans="1:42" s="4" customFormat="1" x14ac:dyDescent="0.25">
      <c r="A163" s="3">
        <v>4604913</v>
      </c>
      <c r="B163" s="28">
        <v>42086</v>
      </c>
      <c r="C163" s="3" t="s">
        <v>1278</v>
      </c>
      <c r="D163" s="3">
        <v>10004731</v>
      </c>
      <c r="E163" s="4">
        <v>4534264</v>
      </c>
      <c r="F163" s="3" t="s">
        <v>49</v>
      </c>
      <c r="G163" s="4" t="s">
        <v>1661</v>
      </c>
      <c r="H163" s="4" t="s">
        <v>1901</v>
      </c>
      <c r="I163" s="5">
        <v>14071.88</v>
      </c>
      <c r="J163" s="3" t="s">
        <v>1870</v>
      </c>
      <c r="K163" s="3" t="s">
        <v>77</v>
      </c>
      <c r="L163" s="3" t="s">
        <v>196</v>
      </c>
      <c r="M163" s="4" t="s">
        <v>1901</v>
      </c>
      <c r="N163" s="3" t="s">
        <v>25</v>
      </c>
      <c r="O163" s="3"/>
      <c r="Q163" s="3"/>
      <c r="R163" s="3"/>
      <c r="Y163" s="4" t="s">
        <v>178</v>
      </c>
      <c r="Z163" s="4" t="s">
        <v>178</v>
      </c>
      <c r="AB163" s="3"/>
      <c r="AC163" s="3"/>
      <c r="AD163" s="3" t="s">
        <v>497</v>
      </c>
      <c r="AE163" s="3">
        <v>1000</v>
      </c>
      <c r="AI163" s="4" t="s">
        <v>181</v>
      </c>
      <c r="AJ163" s="4" t="s">
        <v>181</v>
      </c>
      <c r="AK163" s="3"/>
      <c r="AL163" s="4">
        <v>141803</v>
      </c>
      <c r="AM163" s="5">
        <v>14071.88</v>
      </c>
      <c r="AN163" s="4" t="s">
        <v>124</v>
      </c>
      <c r="AO163" s="4">
        <v>99</v>
      </c>
      <c r="AP163" s="4">
        <v>80111600</v>
      </c>
    </row>
    <row r="164" spans="1:42" s="4" customFormat="1" x14ac:dyDescent="0.25">
      <c r="A164" s="3">
        <v>4604914</v>
      </c>
      <c r="B164" s="28">
        <v>42125</v>
      </c>
      <c r="C164" s="3" t="s">
        <v>1278</v>
      </c>
      <c r="D164" s="3">
        <v>10004734</v>
      </c>
      <c r="E164" s="4">
        <v>4534265</v>
      </c>
      <c r="F164" s="3" t="s">
        <v>49</v>
      </c>
      <c r="G164" s="4" t="s">
        <v>453</v>
      </c>
      <c r="H164" s="4" t="s">
        <v>1902</v>
      </c>
      <c r="I164" s="5">
        <v>16000</v>
      </c>
      <c r="J164" s="3" t="s">
        <v>53</v>
      </c>
      <c r="K164" s="3" t="s">
        <v>77</v>
      </c>
      <c r="L164" s="3" t="s">
        <v>196</v>
      </c>
      <c r="M164" s="4" t="s">
        <v>1902</v>
      </c>
      <c r="N164" s="3" t="s">
        <v>25</v>
      </c>
      <c r="O164" s="3"/>
      <c r="Q164" s="3"/>
      <c r="R164" s="3"/>
      <c r="Y164" s="4" t="s">
        <v>267</v>
      </c>
      <c r="Z164" s="4" t="s">
        <v>267</v>
      </c>
      <c r="AB164" s="3"/>
      <c r="AC164" s="3"/>
      <c r="AD164" s="3" t="s">
        <v>1903</v>
      </c>
      <c r="AE164" s="3">
        <v>1000</v>
      </c>
      <c r="AI164" s="4" t="s">
        <v>270</v>
      </c>
      <c r="AJ164" s="4" t="s">
        <v>270</v>
      </c>
      <c r="AK164" s="3"/>
      <c r="AL164" s="4">
        <v>47630</v>
      </c>
      <c r="AM164" s="5">
        <v>16000</v>
      </c>
      <c r="AN164" s="4" t="s">
        <v>124</v>
      </c>
      <c r="AO164" s="4">
        <v>99</v>
      </c>
      <c r="AP164" s="4">
        <v>80110000</v>
      </c>
    </row>
    <row r="165" spans="1:42" s="4" customFormat="1" x14ac:dyDescent="0.25">
      <c r="A165" s="3">
        <v>4604922</v>
      </c>
      <c r="B165" s="28">
        <v>42107</v>
      </c>
      <c r="C165" s="3" t="s">
        <v>1278</v>
      </c>
      <c r="D165" s="3">
        <v>10004745</v>
      </c>
      <c r="E165" s="4">
        <v>4534273</v>
      </c>
      <c r="F165" s="3" t="s">
        <v>49</v>
      </c>
      <c r="G165" s="4" t="s">
        <v>1279</v>
      </c>
      <c r="I165" s="5">
        <v>5764</v>
      </c>
      <c r="J165" s="3" t="s">
        <v>500</v>
      </c>
      <c r="K165" s="3" t="s">
        <v>77</v>
      </c>
      <c r="L165" s="3" t="s">
        <v>196</v>
      </c>
      <c r="M165" s="4" t="s">
        <v>1908</v>
      </c>
      <c r="N165" s="3" t="s">
        <v>25</v>
      </c>
      <c r="O165" s="3"/>
      <c r="Q165" s="3"/>
      <c r="R165" s="3"/>
      <c r="Y165" s="4" t="s">
        <v>540</v>
      </c>
      <c r="Z165" s="4" t="s">
        <v>1090</v>
      </c>
      <c r="AB165" s="3"/>
      <c r="AC165" s="3"/>
      <c r="AD165" s="3" t="s">
        <v>500</v>
      </c>
      <c r="AE165" s="3">
        <v>1000</v>
      </c>
      <c r="AI165" s="4" t="s">
        <v>542</v>
      </c>
      <c r="AJ165" s="4" t="s">
        <v>1091</v>
      </c>
      <c r="AK165" s="3"/>
      <c r="AL165" s="4">
        <v>46318</v>
      </c>
      <c r="AM165" s="5">
        <v>5764</v>
      </c>
      <c r="AN165" s="4" t="s">
        <v>124</v>
      </c>
    </row>
    <row r="166" spans="1:42" s="4" customFormat="1" x14ac:dyDescent="0.25">
      <c r="A166" s="3">
        <v>4604923</v>
      </c>
      <c r="B166" s="28">
        <v>42094</v>
      </c>
      <c r="C166" s="3" t="s">
        <v>1278</v>
      </c>
      <c r="D166" s="3">
        <v>10004732</v>
      </c>
      <c r="E166" s="4">
        <v>4534274</v>
      </c>
      <c r="F166" s="3" t="s">
        <v>49</v>
      </c>
      <c r="G166" s="4" t="s">
        <v>1909</v>
      </c>
      <c r="H166" s="4" t="s">
        <v>1910</v>
      </c>
      <c r="I166" s="5">
        <v>62696.7</v>
      </c>
      <c r="J166" s="3" t="s">
        <v>492</v>
      </c>
      <c r="K166" s="3" t="s">
        <v>77</v>
      </c>
      <c r="L166" s="3" t="s">
        <v>196</v>
      </c>
      <c r="M166" s="4" t="s">
        <v>1910</v>
      </c>
      <c r="N166" s="3" t="s">
        <v>25</v>
      </c>
      <c r="O166" s="3"/>
      <c r="Q166" s="3"/>
      <c r="R166" s="3"/>
      <c r="Y166" s="4" t="s">
        <v>1911</v>
      </c>
      <c r="Z166" s="4" t="s">
        <v>1911</v>
      </c>
      <c r="AB166" s="3"/>
      <c r="AC166" s="3"/>
      <c r="AD166" s="3" t="s">
        <v>500</v>
      </c>
      <c r="AE166" s="3">
        <v>1000</v>
      </c>
      <c r="AI166" s="4" t="s">
        <v>1912</v>
      </c>
      <c r="AJ166" s="4" t="s">
        <v>1912</v>
      </c>
      <c r="AK166" s="3"/>
      <c r="AL166" s="4">
        <v>141880</v>
      </c>
      <c r="AM166" s="5">
        <v>62696.7</v>
      </c>
      <c r="AN166" s="4" t="s">
        <v>124</v>
      </c>
      <c r="AO166" s="4">
        <v>99</v>
      </c>
      <c r="AP166" s="4">
        <v>80101504</v>
      </c>
    </row>
    <row r="167" spans="1:42" s="4" customFormat="1" x14ac:dyDescent="0.25">
      <c r="A167" s="3">
        <v>4604925</v>
      </c>
      <c r="B167" s="28">
        <v>42108</v>
      </c>
      <c r="C167" s="3" t="s">
        <v>1278</v>
      </c>
      <c r="D167" s="3">
        <v>10004748</v>
      </c>
      <c r="E167" s="4">
        <v>4534276</v>
      </c>
      <c r="F167" s="3" t="s">
        <v>49</v>
      </c>
      <c r="G167" s="4" t="s">
        <v>1913</v>
      </c>
      <c r="I167" s="5">
        <v>9500</v>
      </c>
      <c r="J167" s="3" t="s">
        <v>510</v>
      </c>
      <c r="K167" s="3" t="s">
        <v>77</v>
      </c>
      <c r="L167" s="3" t="s">
        <v>196</v>
      </c>
      <c r="M167" s="4" t="s">
        <v>1914</v>
      </c>
      <c r="N167" s="3" t="s">
        <v>25</v>
      </c>
      <c r="O167" s="3"/>
      <c r="Q167" s="3"/>
      <c r="R167" s="3"/>
      <c r="Y167" s="4" t="s">
        <v>179</v>
      </c>
      <c r="Z167" s="4" t="s">
        <v>179</v>
      </c>
      <c r="AB167" s="3"/>
      <c r="AC167" s="3"/>
      <c r="AD167" s="3" t="s">
        <v>172</v>
      </c>
      <c r="AE167" s="3">
        <v>1000</v>
      </c>
      <c r="AI167" s="4" t="s">
        <v>182</v>
      </c>
      <c r="AJ167" s="4" t="s">
        <v>182</v>
      </c>
      <c r="AK167" s="3"/>
      <c r="AL167" s="4">
        <v>140741</v>
      </c>
      <c r="AM167" s="5">
        <v>9500</v>
      </c>
      <c r="AN167" s="4" t="s">
        <v>124</v>
      </c>
    </row>
    <row r="168" spans="1:42" s="4" customFormat="1" x14ac:dyDescent="0.25">
      <c r="A168" s="3">
        <v>4604927</v>
      </c>
      <c r="B168" s="28">
        <v>42108</v>
      </c>
      <c r="C168" s="3" t="s">
        <v>1278</v>
      </c>
      <c r="D168" s="3">
        <v>10004747</v>
      </c>
      <c r="E168" s="4">
        <v>4534278</v>
      </c>
      <c r="F168" s="3" t="s">
        <v>49</v>
      </c>
      <c r="G168" s="4" t="s">
        <v>453</v>
      </c>
      <c r="H168" s="4" t="s">
        <v>1915</v>
      </c>
      <c r="I168" s="5">
        <v>11750</v>
      </c>
      <c r="J168" s="3" t="s">
        <v>510</v>
      </c>
      <c r="K168" s="3" t="s">
        <v>77</v>
      </c>
      <c r="L168" s="3" t="s">
        <v>196</v>
      </c>
      <c r="M168" s="4" t="s">
        <v>1915</v>
      </c>
      <c r="N168" s="3" t="s">
        <v>25</v>
      </c>
      <c r="O168" s="3"/>
      <c r="Q168" s="3"/>
      <c r="R168" s="3"/>
      <c r="Y168" s="4" t="s">
        <v>179</v>
      </c>
      <c r="Z168" s="4" t="s">
        <v>179</v>
      </c>
      <c r="AB168" s="3"/>
      <c r="AC168" s="3"/>
      <c r="AD168" s="3" t="s">
        <v>510</v>
      </c>
      <c r="AE168" s="3">
        <v>1000</v>
      </c>
      <c r="AI168" s="4" t="s">
        <v>182</v>
      </c>
      <c r="AJ168" s="4" t="s">
        <v>182</v>
      </c>
      <c r="AK168" s="3"/>
      <c r="AL168" s="4">
        <v>47630</v>
      </c>
      <c r="AM168" s="5">
        <v>11750</v>
      </c>
      <c r="AN168" s="4" t="s">
        <v>124</v>
      </c>
      <c r="AO168" s="4">
        <v>99</v>
      </c>
      <c r="AP168" s="4">
        <v>86000000</v>
      </c>
    </row>
    <row r="169" spans="1:42" s="4" customFormat="1" x14ac:dyDescent="0.25">
      <c r="A169" s="3">
        <v>4604936</v>
      </c>
      <c r="B169" s="28">
        <v>42103</v>
      </c>
      <c r="C169" s="3" t="s">
        <v>1278</v>
      </c>
      <c r="D169" s="3">
        <v>10004750</v>
      </c>
      <c r="E169" s="4">
        <v>4534287</v>
      </c>
      <c r="F169" s="3" t="s">
        <v>49</v>
      </c>
      <c r="G169" s="4" t="s">
        <v>1916</v>
      </c>
      <c r="H169" s="4" t="s">
        <v>1917</v>
      </c>
      <c r="I169" s="5">
        <v>18000</v>
      </c>
      <c r="J169" s="3" t="s">
        <v>1903</v>
      </c>
      <c r="K169" s="3" t="s">
        <v>77</v>
      </c>
      <c r="L169" s="3" t="s">
        <v>196</v>
      </c>
      <c r="M169" s="4" t="s">
        <v>1917</v>
      </c>
      <c r="N169" s="3" t="s">
        <v>25</v>
      </c>
      <c r="O169" s="3" t="s">
        <v>139</v>
      </c>
      <c r="P169" s="4" t="s">
        <v>282</v>
      </c>
      <c r="Q169" s="3"/>
      <c r="R169" s="3"/>
      <c r="Y169" s="4" t="s">
        <v>1176</v>
      </c>
      <c r="Z169" s="4" t="s">
        <v>1176</v>
      </c>
      <c r="AB169" s="3"/>
      <c r="AC169" s="3"/>
      <c r="AD169" s="3" t="s">
        <v>369</v>
      </c>
      <c r="AE169" s="3">
        <v>1000</v>
      </c>
      <c r="AI169" s="4" t="s">
        <v>1178</v>
      </c>
      <c r="AJ169" s="4" t="s">
        <v>1178</v>
      </c>
      <c r="AK169" s="3" t="s">
        <v>286</v>
      </c>
      <c r="AL169" s="4">
        <v>141887</v>
      </c>
      <c r="AM169" s="5">
        <v>18000</v>
      </c>
      <c r="AN169" s="4" t="s">
        <v>124</v>
      </c>
      <c r="AO169" s="4">
        <v>99</v>
      </c>
      <c r="AP169" s="4">
        <v>80100000</v>
      </c>
    </row>
    <row r="170" spans="1:42" s="4" customFormat="1" x14ac:dyDescent="0.25">
      <c r="A170" s="3">
        <v>4604942</v>
      </c>
      <c r="B170" s="28">
        <v>42114</v>
      </c>
      <c r="C170" s="3" t="s">
        <v>1278</v>
      </c>
      <c r="D170" s="3">
        <v>10004759</v>
      </c>
      <c r="E170" s="4">
        <v>4534293</v>
      </c>
      <c r="F170" s="3" t="s">
        <v>49</v>
      </c>
      <c r="G170" s="4" t="s">
        <v>1918</v>
      </c>
      <c r="H170" s="4" t="s">
        <v>1919</v>
      </c>
      <c r="I170" s="5">
        <v>105050</v>
      </c>
      <c r="J170" s="3" t="s">
        <v>513</v>
      </c>
      <c r="K170" s="3" t="s">
        <v>77</v>
      </c>
      <c r="L170" s="3" t="s">
        <v>196</v>
      </c>
      <c r="M170" s="4" t="s">
        <v>1919</v>
      </c>
      <c r="N170" s="3" t="s">
        <v>25</v>
      </c>
      <c r="O170" s="3"/>
      <c r="Q170" s="3"/>
      <c r="R170" s="3"/>
      <c r="Y170" s="4" t="s">
        <v>179</v>
      </c>
      <c r="Z170" s="4" t="s">
        <v>179</v>
      </c>
      <c r="AB170" s="3"/>
      <c r="AC170" s="3"/>
      <c r="AD170" s="3" t="s">
        <v>287</v>
      </c>
      <c r="AE170" s="3">
        <v>1000</v>
      </c>
      <c r="AI170" s="4" t="s">
        <v>182</v>
      </c>
      <c r="AJ170" s="4" t="s">
        <v>182</v>
      </c>
      <c r="AK170" s="3"/>
      <c r="AL170" s="4">
        <v>141891</v>
      </c>
      <c r="AM170" s="5">
        <v>105050</v>
      </c>
      <c r="AN170" s="4" t="s">
        <v>124</v>
      </c>
      <c r="AO170" s="4">
        <v>98</v>
      </c>
      <c r="AP170" s="4">
        <v>80101504</v>
      </c>
    </row>
    <row r="171" spans="1:42" s="4" customFormat="1" x14ac:dyDescent="0.25">
      <c r="A171" s="3">
        <v>4604948</v>
      </c>
      <c r="B171" s="28">
        <v>42122</v>
      </c>
      <c r="C171" s="3" t="s">
        <v>1278</v>
      </c>
      <c r="D171" s="3">
        <v>10004767</v>
      </c>
      <c r="E171" s="4">
        <v>4534299</v>
      </c>
      <c r="F171" s="3" t="s">
        <v>49</v>
      </c>
      <c r="G171" s="4" t="s">
        <v>1174</v>
      </c>
      <c r="H171" s="4" t="s">
        <v>1933</v>
      </c>
      <c r="I171" s="5">
        <v>72380</v>
      </c>
      <c r="J171" s="3" t="s">
        <v>1924</v>
      </c>
      <c r="K171" s="3" t="s">
        <v>374</v>
      </c>
      <c r="L171" s="3" t="s">
        <v>196</v>
      </c>
      <c r="M171" s="4" t="s">
        <v>1933</v>
      </c>
      <c r="N171" s="3" t="s">
        <v>25</v>
      </c>
      <c r="O171" s="3"/>
      <c r="Q171" s="3"/>
      <c r="R171" s="3"/>
      <c r="Y171" s="4" t="s">
        <v>1934</v>
      </c>
      <c r="Z171" s="4" t="s">
        <v>1934</v>
      </c>
      <c r="AB171" s="3"/>
      <c r="AC171" s="3"/>
      <c r="AD171" s="3" t="s">
        <v>1924</v>
      </c>
      <c r="AE171" s="3">
        <v>1000</v>
      </c>
      <c r="AI171" s="4" t="s">
        <v>1935</v>
      </c>
      <c r="AJ171" s="4" t="s">
        <v>1935</v>
      </c>
      <c r="AK171" s="3"/>
      <c r="AL171" s="4">
        <v>42811</v>
      </c>
      <c r="AM171" s="5">
        <v>72380</v>
      </c>
      <c r="AN171" s="4" t="s">
        <v>124</v>
      </c>
      <c r="AO171" s="4">
        <v>99</v>
      </c>
      <c r="AP171" s="4">
        <v>80100000</v>
      </c>
    </row>
    <row r="172" spans="1:42" s="4" customFormat="1" x14ac:dyDescent="0.25">
      <c r="A172" s="3">
        <v>4604950</v>
      </c>
      <c r="B172" s="28">
        <v>42122</v>
      </c>
      <c r="C172" s="3" t="s">
        <v>1278</v>
      </c>
      <c r="D172" s="3">
        <v>10004766</v>
      </c>
      <c r="E172" s="4">
        <v>4534301</v>
      </c>
      <c r="F172" s="3" t="s">
        <v>49</v>
      </c>
      <c r="G172" s="4" t="s">
        <v>1936</v>
      </c>
      <c r="H172" s="4" t="s">
        <v>1937</v>
      </c>
      <c r="I172" s="5">
        <v>10752.5</v>
      </c>
      <c r="J172" s="3" t="s">
        <v>1924</v>
      </c>
      <c r="K172" s="3" t="s">
        <v>1938</v>
      </c>
      <c r="L172" s="3" t="s">
        <v>196</v>
      </c>
      <c r="M172" s="4" t="s">
        <v>1937</v>
      </c>
      <c r="N172" s="3" t="s">
        <v>25</v>
      </c>
      <c r="O172" s="3"/>
      <c r="Q172" s="3"/>
      <c r="R172" s="3"/>
      <c r="Y172" s="4" t="s">
        <v>1934</v>
      </c>
      <c r="Z172" s="4" t="s">
        <v>1934</v>
      </c>
      <c r="AB172" s="3"/>
      <c r="AC172" s="3"/>
      <c r="AD172" s="3" t="s">
        <v>1924</v>
      </c>
      <c r="AE172" s="3">
        <v>1000</v>
      </c>
      <c r="AI172" s="4" t="s">
        <v>1935</v>
      </c>
      <c r="AJ172" s="4" t="s">
        <v>1935</v>
      </c>
      <c r="AK172" s="3"/>
      <c r="AL172" s="4">
        <v>141795</v>
      </c>
      <c r="AM172" s="5">
        <v>10752.5</v>
      </c>
      <c r="AN172" s="4" t="s">
        <v>124</v>
      </c>
      <c r="AO172" s="4">
        <v>99</v>
      </c>
      <c r="AP172" s="4">
        <v>80100000</v>
      </c>
    </row>
    <row r="173" spans="1:42" s="4" customFormat="1" x14ac:dyDescent="0.25">
      <c r="A173" s="3">
        <v>4604954</v>
      </c>
      <c r="B173" s="28">
        <v>42154</v>
      </c>
      <c r="C173" s="3" t="s">
        <v>1278</v>
      </c>
      <c r="D173" s="3">
        <v>10004773</v>
      </c>
      <c r="E173" s="4">
        <v>4534305</v>
      </c>
      <c r="F173" s="3" t="s">
        <v>49</v>
      </c>
      <c r="G173" s="4" t="s">
        <v>1427</v>
      </c>
      <c r="H173" s="4" t="s">
        <v>1942</v>
      </c>
      <c r="I173" s="5">
        <v>47500</v>
      </c>
      <c r="J173" s="3" t="s">
        <v>1266</v>
      </c>
      <c r="K173" s="3" t="s">
        <v>302</v>
      </c>
      <c r="L173" s="3" t="s">
        <v>196</v>
      </c>
      <c r="M173" s="4" t="s">
        <v>1942</v>
      </c>
      <c r="N173" s="3" t="s">
        <v>25</v>
      </c>
      <c r="O173" s="3"/>
      <c r="Q173" s="3"/>
      <c r="R173" s="3"/>
      <c r="Y173" s="4" t="s">
        <v>267</v>
      </c>
      <c r="Z173" s="4" t="s">
        <v>267</v>
      </c>
      <c r="AB173" s="3"/>
      <c r="AC173" s="3"/>
      <c r="AD173" s="3" t="s">
        <v>527</v>
      </c>
      <c r="AE173" s="3">
        <v>1000</v>
      </c>
      <c r="AI173" s="4" t="s">
        <v>270</v>
      </c>
      <c r="AJ173" s="4" t="s">
        <v>270</v>
      </c>
      <c r="AK173" s="3"/>
      <c r="AL173" s="4">
        <v>141764</v>
      </c>
      <c r="AM173" s="5">
        <v>47500</v>
      </c>
      <c r="AN173" s="4" t="s">
        <v>124</v>
      </c>
      <c r="AO173" s="4">
        <v>99</v>
      </c>
      <c r="AP173" s="4">
        <v>80110000</v>
      </c>
    </row>
    <row r="174" spans="1:42" s="4" customFormat="1" x14ac:dyDescent="0.25">
      <c r="A174" s="3">
        <v>4604959</v>
      </c>
      <c r="B174" s="28">
        <v>42132</v>
      </c>
      <c r="C174" s="3" t="s">
        <v>1278</v>
      </c>
      <c r="D174" s="3">
        <v>10004781</v>
      </c>
      <c r="E174" s="4">
        <v>4534310</v>
      </c>
      <c r="F174" s="3" t="s">
        <v>49</v>
      </c>
      <c r="G174" s="4" t="s">
        <v>1949</v>
      </c>
      <c r="H174" s="4" t="s">
        <v>1950</v>
      </c>
      <c r="I174" s="5">
        <v>26150</v>
      </c>
      <c r="J174" s="3" t="s">
        <v>1944</v>
      </c>
      <c r="K174" s="3" t="s">
        <v>77</v>
      </c>
      <c r="L174" s="3" t="s">
        <v>196</v>
      </c>
      <c r="M174" s="4" t="s">
        <v>1950</v>
      </c>
      <c r="N174" s="3" t="s">
        <v>25</v>
      </c>
      <c r="O174" s="3"/>
      <c r="Q174" s="3"/>
      <c r="R174" s="3"/>
      <c r="Y174" s="4" t="s">
        <v>179</v>
      </c>
      <c r="Z174" s="4" t="s">
        <v>179</v>
      </c>
      <c r="AB174" s="3"/>
      <c r="AC174" s="3"/>
      <c r="AD174" s="3" t="s">
        <v>1948</v>
      </c>
      <c r="AE174" s="3">
        <v>1000</v>
      </c>
      <c r="AI174" s="4" t="s">
        <v>182</v>
      </c>
      <c r="AJ174" s="4" t="s">
        <v>182</v>
      </c>
      <c r="AK174" s="3"/>
      <c r="AL174" s="4">
        <v>31110</v>
      </c>
      <c r="AM174" s="5">
        <v>26150</v>
      </c>
      <c r="AN174" s="4" t="s">
        <v>124</v>
      </c>
      <c r="AO174" s="4">
        <v>99</v>
      </c>
      <c r="AP174" s="4">
        <v>80110000</v>
      </c>
    </row>
    <row r="175" spans="1:42" s="4" customFormat="1" x14ac:dyDescent="0.25">
      <c r="A175" s="3">
        <v>4604961</v>
      </c>
      <c r="B175" s="28">
        <v>42167</v>
      </c>
      <c r="C175" s="3" t="s">
        <v>1278</v>
      </c>
      <c r="D175" s="3">
        <v>10004782</v>
      </c>
      <c r="E175" s="4">
        <v>4534312</v>
      </c>
      <c r="F175" s="3" t="s">
        <v>49</v>
      </c>
      <c r="G175" s="4" t="s">
        <v>1838</v>
      </c>
      <c r="H175" s="4" t="s">
        <v>1955</v>
      </c>
      <c r="I175" s="5">
        <v>13660.9</v>
      </c>
      <c r="J175" s="3" t="s">
        <v>485</v>
      </c>
      <c r="K175" s="3" t="s">
        <v>1956</v>
      </c>
      <c r="L175" s="3" t="s">
        <v>196</v>
      </c>
      <c r="M175" s="4" t="s">
        <v>1957</v>
      </c>
      <c r="N175" s="3" t="s">
        <v>25</v>
      </c>
      <c r="O175" s="3"/>
      <c r="Q175" s="3"/>
      <c r="R175" s="3"/>
      <c r="Y175" s="4" t="s">
        <v>1056</v>
      </c>
      <c r="Z175" s="4" t="s">
        <v>1056</v>
      </c>
      <c r="AB175" s="3"/>
      <c r="AC175" s="3"/>
      <c r="AD175" s="3" t="s">
        <v>1117</v>
      </c>
      <c r="AE175" s="3">
        <v>1000</v>
      </c>
      <c r="AI175" s="4" t="s">
        <v>1058</v>
      </c>
      <c r="AJ175" s="4" t="s">
        <v>1058</v>
      </c>
      <c r="AK175" s="3"/>
      <c r="AL175" s="4">
        <v>45852</v>
      </c>
      <c r="AM175" s="5">
        <v>13660.9</v>
      </c>
      <c r="AN175" s="4" t="s">
        <v>124</v>
      </c>
      <c r="AO175" s="4">
        <v>99</v>
      </c>
      <c r="AP175" s="4">
        <v>43230000</v>
      </c>
    </row>
    <row r="176" spans="1:42" s="4" customFormat="1" x14ac:dyDescent="0.25">
      <c r="A176" s="3">
        <v>4604964</v>
      </c>
      <c r="B176" s="28">
        <v>42139</v>
      </c>
      <c r="C176" s="3" t="s">
        <v>1278</v>
      </c>
      <c r="D176" s="3">
        <v>10004784</v>
      </c>
      <c r="E176" s="4">
        <v>4534315</v>
      </c>
      <c r="F176" s="3" t="s">
        <v>49</v>
      </c>
      <c r="G176" s="4" t="s">
        <v>1357</v>
      </c>
      <c r="H176" s="4" t="s">
        <v>1595</v>
      </c>
      <c r="I176" s="5">
        <v>38500</v>
      </c>
      <c r="J176" s="3" t="s">
        <v>1227</v>
      </c>
      <c r="K176" s="3" t="s">
        <v>77</v>
      </c>
      <c r="L176" s="3" t="s">
        <v>196</v>
      </c>
      <c r="M176" s="4" t="s">
        <v>1595</v>
      </c>
      <c r="N176" s="3" t="s">
        <v>25</v>
      </c>
      <c r="O176" s="3"/>
      <c r="Q176" s="3"/>
      <c r="R176" s="3"/>
      <c r="Y176" s="4" t="s">
        <v>1959</v>
      </c>
      <c r="Z176" s="4" t="s">
        <v>1959</v>
      </c>
      <c r="AB176" s="3"/>
      <c r="AC176" s="3"/>
      <c r="AD176" s="3" t="s">
        <v>359</v>
      </c>
      <c r="AE176" s="3">
        <v>1000</v>
      </c>
      <c r="AI176" s="4" t="s">
        <v>1960</v>
      </c>
      <c r="AJ176" s="4" t="s">
        <v>1960</v>
      </c>
      <c r="AK176" s="3"/>
      <c r="AL176" s="4">
        <v>49941</v>
      </c>
      <c r="AM176" s="5">
        <v>38500</v>
      </c>
      <c r="AN176" s="4" t="s">
        <v>124</v>
      </c>
      <c r="AO176" s="4">
        <v>99</v>
      </c>
      <c r="AP176" s="4">
        <v>80101507</v>
      </c>
    </row>
    <row r="177" spans="1:42" s="4" customFormat="1" x14ac:dyDescent="0.25">
      <c r="A177" s="3">
        <v>4604969</v>
      </c>
      <c r="B177" s="28">
        <v>42143</v>
      </c>
      <c r="C177" s="3" t="s">
        <v>1278</v>
      </c>
      <c r="D177" s="3">
        <v>10004792</v>
      </c>
      <c r="E177" s="4">
        <v>4534320</v>
      </c>
      <c r="F177" s="3" t="s">
        <v>49</v>
      </c>
      <c r="G177" s="4" t="s">
        <v>1968</v>
      </c>
      <c r="I177" s="5">
        <v>7150</v>
      </c>
      <c r="J177" s="3" t="s">
        <v>516</v>
      </c>
      <c r="K177" s="3" t="s">
        <v>77</v>
      </c>
      <c r="L177" s="3" t="s">
        <v>196</v>
      </c>
      <c r="M177" s="4" t="s">
        <v>1595</v>
      </c>
      <c r="N177" s="3" t="s">
        <v>56</v>
      </c>
      <c r="O177" s="3"/>
      <c r="Q177" s="3"/>
      <c r="R177" s="3"/>
      <c r="Y177" s="4" t="s">
        <v>1959</v>
      </c>
      <c r="Z177" s="4" t="s">
        <v>1959</v>
      </c>
      <c r="AB177" s="3"/>
      <c r="AC177" s="3"/>
      <c r="AD177" s="3" t="s">
        <v>1088</v>
      </c>
      <c r="AE177" s="3">
        <v>1000</v>
      </c>
      <c r="AI177" s="4" t="s">
        <v>1960</v>
      </c>
      <c r="AJ177" s="4" t="s">
        <v>1960</v>
      </c>
      <c r="AK177" s="3"/>
      <c r="AL177" s="4">
        <v>141901</v>
      </c>
      <c r="AM177" s="5">
        <v>7150</v>
      </c>
      <c r="AN177" s="4" t="s">
        <v>124</v>
      </c>
    </row>
    <row r="178" spans="1:42" s="4" customFormat="1" x14ac:dyDescent="0.25">
      <c r="A178" s="3">
        <v>4604972</v>
      </c>
      <c r="B178" s="28">
        <v>42146</v>
      </c>
      <c r="C178" s="3" t="s">
        <v>1278</v>
      </c>
      <c r="D178" s="3">
        <v>10004807</v>
      </c>
      <c r="E178" s="4">
        <v>4534323</v>
      </c>
      <c r="F178" s="3" t="s">
        <v>49</v>
      </c>
      <c r="G178" s="4" t="s">
        <v>1385</v>
      </c>
      <c r="H178" s="4" t="s">
        <v>1386</v>
      </c>
      <c r="I178" s="5">
        <v>84859.5</v>
      </c>
      <c r="J178" s="3" t="s">
        <v>535</v>
      </c>
      <c r="K178" s="3" t="s">
        <v>1970</v>
      </c>
      <c r="L178" s="3" t="s">
        <v>196</v>
      </c>
      <c r="M178" s="4" t="s">
        <v>1971</v>
      </c>
      <c r="N178" s="3" t="s">
        <v>25</v>
      </c>
      <c r="O178" s="3"/>
      <c r="Q178" s="3"/>
      <c r="R178" s="3"/>
      <c r="Y178" s="4" t="s">
        <v>1972</v>
      </c>
      <c r="Z178" s="4" t="s">
        <v>1972</v>
      </c>
      <c r="AB178" s="3"/>
      <c r="AC178" s="3"/>
      <c r="AD178" s="3" t="s">
        <v>1813</v>
      </c>
      <c r="AE178" s="3">
        <v>1000</v>
      </c>
      <c r="AI178" s="4" t="s">
        <v>1973</v>
      </c>
      <c r="AJ178" s="4" t="s">
        <v>1973</v>
      </c>
      <c r="AK178" s="3"/>
      <c r="AL178" s="4">
        <v>49327</v>
      </c>
      <c r="AM178" s="5">
        <v>84859.5</v>
      </c>
      <c r="AN178" s="4" t="s">
        <v>124</v>
      </c>
      <c r="AO178" s="4">
        <v>99</v>
      </c>
      <c r="AP178" s="4">
        <v>43230000</v>
      </c>
    </row>
    <row r="179" spans="1:42" s="4" customFormat="1" x14ac:dyDescent="0.25">
      <c r="A179" s="3">
        <v>4604977</v>
      </c>
      <c r="B179" s="28">
        <v>42156</v>
      </c>
      <c r="C179" s="3" t="s">
        <v>1278</v>
      </c>
      <c r="D179" s="3">
        <v>10004769</v>
      </c>
      <c r="E179" s="4">
        <v>4534328</v>
      </c>
      <c r="F179" s="3" t="s">
        <v>49</v>
      </c>
      <c r="G179" s="4" t="s">
        <v>1085</v>
      </c>
      <c r="H179" s="4" t="s">
        <v>1979</v>
      </c>
      <c r="I179" s="5">
        <v>58500</v>
      </c>
      <c r="J179" s="3" t="s">
        <v>53</v>
      </c>
      <c r="K179" s="3" t="s">
        <v>77</v>
      </c>
      <c r="L179" s="3" t="s">
        <v>196</v>
      </c>
      <c r="M179" s="4" t="s">
        <v>1979</v>
      </c>
      <c r="N179" s="3" t="s">
        <v>56</v>
      </c>
      <c r="O179" s="3"/>
      <c r="Q179" s="3"/>
      <c r="R179" s="3"/>
      <c r="Y179" s="4" t="s">
        <v>1959</v>
      </c>
      <c r="Z179" s="4" t="s">
        <v>1959</v>
      </c>
      <c r="AA179" s="4" t="s">
        <v>1474</v>
      </c>
      <c r="AB179" s="3" t="s">
        <v>1474</v>
      </c>
      <c r="AC179" s="3" t="s">
        <v>1476</v>
      </c>
      <c r="AD179" s="3" t="s">
        <v>382</v>
      </c>
      <c r="AE179" s="3">
        <v>1000</v>
      </c>
      <c r="AI179" s="4" t="s">
        <v>1960</v>
      </c>
      <c r="AJ179" s="4" t="s">
        <v>1960</v>
      </c>
      <c r="AK179" s="3"/>
      <c r="AL179" s="4">
        <v>30502</v>
      </c>
      <c r="AM179" s="5">
        <v>58500</v>
      </c>
      <c r="AN179" s="4" t="s">
        <v>124</v>
      </c>
      <c r="AO179" s="4">
        <v>99</v>
      </c>
      <c r="AP179" s="4">
        <v>80101507</v>
      </c>
    </row>
    <row r="180" spans="1:42" s="4" customFormat="1" x14ac:dyDescent="0.25">
      <c r="A180" s="3">
        <v>4604978</v>
      </c>
      <c r="B180" s="28">
        <v>42151</v>
      </c>
      <c r="C180" s="3" t="s">
        <v>1278</v>
      </c>
      <c r="D180" s="3">
        <v>10004770</v>
      </c>
      <c r="E180" s="4">
        <v>4534329</v>
      </c>
      <c r="F180" s="3" t="s">
        <v>49</v>
      </c>
      <c r="G180" s="4" t="s">
        <v>1085</v>
      </c>
      <c r="H180" s="4" t="s">
        <v>1981</v>
      </c>
      <c r="I180" s="5">
        <v>236000</v>
      </c>
      <c r="J180" s="3" t="s">
        <v>53</v>
      </c>
      <c r="K180" s="3" t="s">
        <v>77</v>
      </c>
      <c r="L180" s="3" t="s">
        <v>196</v>
      </c>
      <c r="M180" s="4" t="s">
        <v>1981</v>
      </c>
      <c r="N180" s="3" t="s">
        <v>56</v>
      </c>
      <c r="O180" s="3"/>
      <c r="Q180" s="3"/>
      <c r="R180" s="3"/>
      <c r="Y180" s="4" t="s">
        <v>1959</v>
      </c>
      <c r="Z180" s="4" t="s">
        <v>1959</v>
      </c>
      <c r="AA180" s="4" t="s">
        <v>1474</v>
      </c>
      <c r="AB180" s="3" t="s">
        <v>1474</v>
      </c>
      <c r="AC180" s="3" t="s">
        <v>1476</v>
      </c>
      <c r="AD180" s="3" t="s">
        <v>382</v>
      </c>
      <c r="AE180" s="3">
        <v>1000</v>
      </c>
      <c r="AI180" s="4" t="s">
        <v>1960</v>
      </c>
      <c r="AJ180" s="4" t="s">
        <v>1960</v>
      </c>
      <c r="AK180" s="3"/>
      <c r="AL180" s="4">
        <v>30502</v>
      </c>
      <c r="AM180" s="5">
        <v>236000</v>
      </c>
      <c r="AN180" s="4" t="s">
        <v>124</v>
      </c>
      <c r="AO180" s="4">
        <v>99</v>
      </c>
      <c r="AP180" s="4">
        <v>80101507</v>
      </c>
    </row>
    <row r="181" spans="1:42" s="4" customFormat="1" x14ac:dyDescent="0.25">
      <c r="A181" s="3">
        <v>4604981</v>
      </c>
      <c r="B181" s="28">
        <v>42107</v>
      </c>
      <c r="C181" s="3" t="s">
        <v>1278</v>
      </c>
      <c r="D181" s="3">
        <v>10004810</v>
      </c>
      <c r="E181" s="4">
        <v>4534332</v>
      </c>
      <c r="F181" s="3" t="s">
        <v>49</v>
      </c>
      <c r="G181" s="4" t="s">
        <v>1982</v>
      </c>
      <c r="H181" s="4" t="s">
        <v>1983</v>
      </c>
      <c r="I181" s="5">
        <v>24552</v>
      </c>
      <c r="J181" s="3" t="s">
        <v>500</v>
      </c>
      <c r="K181" s="3" t="s">
        <v>77</v>
      </c>
      <c r="L181" s="3" t="s">
        <v>196</v>
      </c>
      <c r="M181" s="4" t="s">
        <v>1983</v>
      </c>
      <c r="N181" s="3" t="s">
        <v>25</v>
      </c>
      <c r="O181" s="3"/>
      <c r="Q181" s="3"/>
      <c r="R181" s="3"/>
      <c r="Y181" s="4" t="s">
        <v>1984</v>
      </c>
      <c r="Z181" s="4" t="s">
        <v>1984</v>
      </c>
      <c r="AB181" s="3"/>
      <c r="AC181" s="3"/>
      <c r="AD181" s="3" t="s">
        <v>1980</v>
      </c>
      <c r="AE181" s="3">
        <v>1000</v>
      </c>
      <c r="AI181" s="4" t="s">
        <v>1985</v>
      </c>
      <c r="AJ181" s="4" t="s">
        <v>1985</v>
      </c>
      <c r="AK181" s="3"/>
      <c r="AL181" s="4">
        <v>141737</v>
      </c>
      <c r="AM181" s="5">
        <v>24552</v>
      </c>
      <c r="AN181" s="4" t="s">
        <v>124</v>
      </c>
      <c r="AO181" s="4">
        <v>99</v>
      </c>
      <c r="AP181" s="4">
        <v>80110000</v>
      </c>
    </row>
    <row r="182" spans="1:42" s="4" customFormat="1" x14ac:dyDescent="0.25">
      <c r="A182" s="3">
        <v>4604983</v>
      </c>
      <c r="B182" s="28">
        <v>42144</v>
      </c>
      <c r="C182" s="3" t="s">
        <v>1278</v>
      </c>
      <c r="D182" s="3">
        <v>10004812</v>
      </c>
      <c r="E182" s="4">
        <v>4534334</v>
      </c>
      <c r="F182" s="3" t="s">
        <v>49</v>
      </c>
      <c r="G182" s="4" t="s">
        <v>1053</v>
      </c>
      <c r="H182" s="4" t="s">
        <v>1054</v>
      </c>
      <c r="I182" s="5">
        <v>23520566</v>
      </c>
      <c r="J182" s="3" t="s">
        <v>419</v>
      </c>
      <c r="K182" s="3" t="s">
        <v>1986</v>
      </c>
      <c r="L182" s="3" t="s">
        <v>196</v>
      </c>
      <c r="M182" s="4" t="s">
        <v>1054</v>
      </c>
      <c r="N182" s="3" t="s">
        <v>25</v>
      </c>
      <c r="O182" s="3"/>
      <c r="Q182" s="3"/>
      <c r="R182" s="3"/>
      <c r="Y182" s="4" t="s">
        <v>1056</v>
      </c>
      <c r="Z182" s="4" t="s">
        <v>1056</v>
      </c>
      <c r="AB182" s="3"/>
      <c r="AC182" s="3"/>
      <c r="AD182" s="3" t="s">
        <v>287</v>
      </c>
      <c r="AE182" s="3">
        <v>1000</v>
      </c>
      <c r="AI182" s="4" t="s">
        <v>1058</v>
      </c>
      <c r="AJ182" s="4" t="s">
        <v>1058</v>
      </c>
      <c r="AK182" s="3"/>
      <c r="AL182" s="4">
        <v>140248</v>
      </c>
      <c r="AM182" s="5">
        <v>23520566</v>
      </c>
      <c r="AN182" s="4" t="s">
        <v>124</v>
      </c>
      <c r="AO182" s="4">
        <v>99</v>
      </c>
      <c r="AP182" s="4">
        <v>81111700</v>
      </c>
    </row>
    <row r="183" spans="1:42" s="4" customFormat="1" x14ac:dyDescent="0.25">
      <c r="A183" s="3">
        <v>4604990</v>
      </c>
      <c r="B183" s="28">
        <v>42146</v>
      </c>
      <c r="C183" s="3" t="s">
        <v>1278</v>
      </c>
      <c r="D183" s="3">
        <v>10004779</v>
      </c>
      <c r="E183" s="4">
        <v>4534341</v>
      </c>
      <c r="F183" s="3" t="s">
        <v>49</v>
      </c>
      <c r="G183" s="4" t="s">
        <v>1360</v>
      </c>
      <c r="H183" s="4" t="s">
        <v>2000</v>
      </c>
      <c r="I183" s="5">
        <v>40000</v>
      </c>
      <c r="J183" s="3" t="s">
        <v>1088</v>
      </c>
      <c r="K183" s="3" t="s">
        <v>77</v>
      </c>
      <c r="L183" s="3" t="s">
        <v>196</v>
      </c>
      <c r="M183" s="4" t="s">
        <v>2000</v>
      </c>
      <c r="N183" s="3" t="s">
        <v>25</v>
      </c>
      <c r="O183" s="3"/>
      <c r="Q183" s="3"/>
      <c r="R183" s="3"/>
      <c r="Y183" s="4" t="s">
        <v>2001</v>
      </c>
      <c r="Z183" s="4" t="s">
        <v>1959</v>
      </c>
      <c r="AB183" s="3"/>
      <c r="AC183" s="3"/>
      <c r="AD183" s="3" t="s">
        <v>365</v>
      </c>
      <c r="AE183" s="3">
        <v>1000</v>
      </c>
      <c r="AI183" s="4" t="s">
        <v>2002</v>
      </c>
      <c r="AJ183" s="4" t="s">
        <v>1960</v>
      </c>
      <c r="AK183" s="3"/>
      <c r="AL183" s="4">
        <v>49879</v>
      </c>
      <c r="AM183" s="5">
        <v>40000</v>
      </c>
      <c r="AN183" s="4" t="s">
        <v>124</v>
      </c>
      <c r="AO183" s="4">
        <v>99</v>
      </c>
      <c r="AP183" s="4">
        <v>43230000</v>
      </c>
    </row>
    <row r="184" spans="1:42" s="4" customFormat="1" x14ac:dyDescent="0.25">
      <c r="A184" s="3">
        <v>4604994</v>
      </c>
      <c r="B184" s="28">
        <v>42159</v>
      </c>
      <c r="C184" s="3" t="s">
        <v>1278</v>
      </c>
      <c r="D184" s="3">
        <v>10004829</v>
      </c>
      <c r="E184" s="4">
        <v>4534345</v>
      </c>
      <c r="F184" s="3" t="s">
        <v>49</v>
      </c>
      <c r="G184" s="4" t="s">
        <v>2004</v>
      </c>
      <c r="H184" s="4" t="s">
        <v>2005</v>
      </c>
      <c r="I184" s="5">
        <v>17600</v>
      </c>
      <c r="J184" s="3" t="s">
        <v>532</v>
      </c>
      <c r="K184" s="3" t="s">
        <v>77</v>
      </c>
      <c r="L184" s="3" t="s">
        <v>196</v>
      </c>
      <c r="M184" s="4" t="s">
        <v>2005</v>
      </c>
      <c r="N184" s="3" t="s">
        <v>25</v>
      </c>
      <c r="O184" s="3"/>
      <c r="Q184" s="3"/>
      <c r="R184" s="3"/>
      <c r="Y184" s="4" t="s">
        <v>1959</v>
      </c>
      <c r="Z184" s="4" t="s">
        <v>1959</v>
      </c>
      <c r="AB184" s="3"/>
      <c r="AC184" s="3"/>
      <c r="AD184" s="3" t="s">
        <v>532</v>
      </c>
      <c r="AE184" s="3">
        <v>1000</v>
      </c>
      <c r="AI184" s="4" t="s">
        <v>1960</v>
      </c>
      <c r="AJ184" s="4" t="s">
        <v>1960</v>
      </c>
      <c r="AK184" s="3"/>
      <c r="AL184" s="4">
        <v>141905</v>
      </c>
      <c r="AM184" s="5">
        <v>17600</v>
      </c>
      <c r="AN184" s="4" t="s">
        <v>124</v>
      </c>
      <c r="AO184" s="4">
        <v>99</v>
      </c>
      <c r="AP184" s="4">
        <v>80101507</v>
      </c>
    </row>
    <row r="185" spans="1:42" s="4" customFormat="1" x14ac:dyDescent="0.25">
      <c r="A185" s="3">
        <v>4604995</v>
      </c>
      <c r="B185" s="28">
        <v>42164</v>
      </c>
      <c r="C185" s="3" t="s">
        <v>1278</v>
      </c>
      <c r="D185" s="3">
        <v>10004831</v>
      </c>
      <c r="E185" s="4">
        <v>4534346</v>
      </c>
      <c r="F185" s="3" t="s">
        <v>49</v>
      </c>
      <c r="G185" s="4" t="s">
        <v>1818</v>
      </c>
      <c r="H185" s="4" t="s">
        <v>2006</v>
      </c>
      <c r="I185" s="5">
        <v>31416</v>
      </c>
      <c r="J185" s="3" t="s">
        <v>1491</v>
      </c>
      <c r="K185" s="3" t="s">
        <v>439</v>
      </c>
      <c r="L185" s="3" t="s">
        <v>196</v>
      </c>
      <c r="M185" s="4" t="s">
        <v>2006</v>
      </c>
      <c r="N185" s="3" t="s">
        <v>25</v>
      </c>
      <c r="O185" s="3"/>
      <c r="Q185" s="3" t="s">
        <v>139</v>
      </c>
      <c r="R185" s="3" t="s">
        <v>427</v>
      </c>
      <c r="S185" s="4" t="s">
        <v>428</v>
      </c>
      <c r="U185" s="4" t="s">
        <v>139</v>
      </c>
      <c r="V185" s="4" t="s">
        <v>427</v>
      </c>
      <c r="W185" s="4" t="s">
        <v>428</v>
      </c>
      <c r="Y185" s="4" t="s">
        <v>1700</v>
      </c>
      <c r="Z185" s="4" t="s">
        <v>1995</v>
      </c>
      <c r="AB185" s="3"/>
      <c r="AC185" s="3"/>
      <c r="AD185" s="3" t="s">
        <v>1491</v>
      </c>
      <c r="AE185" s="3">
        <v>1000</v>
      </c>
      <c r="AI185" s="4" t="s">
        <v>1701</v>
      </c>
      <c r="AJ185" s="4" t="s">
        <v>1999</v>
      </c>
      <c r="AK185" s="3"/>
      <c r="AL185" s="4">
        <v>44100</v>
      </c>
      <c r="AM185" s="5">
        <v>31416</v>
      </c>
      <c r="AN185" s="4" t="s">
        <v>124</v>
      </c>
      <c r="AO185" s="4">
        <v>99</v>
      </c>
      <c r="AP185" s="4">
        <v>80101507</v>
      </c>
    </row>
    <row r="186" spans="1:42" s="4" customFormat="1" x14ac:dyDescent="0.25">
      <c r="A186" s="3">
        <v>4605000</v>
      </c>
      <c r="B186" s="28">
        <v>42157</v>
      </c>
      <c r="C186" s="3" t="s">
        <v>1278</v>
      </c>
      <c r="D186" s="3">
        <v>10004822</v>
      </c>
      <c r="E186" s="4">
        <v>4534351</v>
      </c>
      <c r="F186" s="3" t="s">
        <v>49</v>
      </c>
      <c r="G186" s="4" t="s">
        <v>1759</v>
      </c>
      <c r="I186" s="5">
        <v>9147.6</v>
      </c>
      <c r="J186" s="3" t="s">
        <v>365</v>
      </c>
      <c r="K186" s="3" t="s">
        <v>77</v>
      </c>
      <c r="L186" s="3" t="s">
        <v>196</v>
      </c>
      <c r="M186" s="4" t="s">
        <v>1929</v>
      </c>
      <c r="N186" s="3" t="s">
        <v>56</v>
      </c>
      <c r="O186" s="3"/>
      <c r="Q186" s="3"/>
      <c r="R186" s="3"/>
      <c r="Y186" s="4" t="s">
        <v>1959</v>
      </c>
      <c r="Z186" s="4" t="s">
        <v>1959</v>
      </c>
      <c r="AB186" s="3"/>
      <c r="AC186" s="3"/>
      <c r="AD186" s="3" t="s">
        <v>385</v>
      </c>
      <c r="AE186" s="3">
        <v>1000</v>
      </c>
      <c r="AI186" s="4" t="s">
        <v>1960</v>
      </c>
      <c r="AJ186" s="4" t="s">
        <v>1960</v>
      </c>
      <c r="AK186" s="3"/>
      <c r="AL186" s="4">
        <v>141842</v>
      </c>
      <c r="AM186" s="5">
        <v>9147.6</v>
      </c>
      <c r="AN186" s="4" t="s">
        <v>124</v>
      </c>
    </row>
    <row r="187" spans="1:42" s="4" customFormat="1" x14ac:dyDescent="0.25">
      <c r="A187" s="3">
        <v>4605001</v>
      </c>
      <c r="B187" s="28">
        <v>42156</v>
      </c>
      <c r="C187" s="3" t="s">
        <v>1278</v>
      </c>
      <c r="D187" s="3">
        <v>10004778</v>
      </c>
      <c r="E187" s="4">
        <v>4534352</v>
      </c>
      <c r="F187" s="3" t="s">
        <v>49</v>
      </c>
      <c r="G187" s="4" t="s">
        <v>1686</v>
      </c>
      <c r="H187" s="4" t="s">
        <v>2007</v>
      </c>
      <c r="I187" s="5">
        <v>11385</v>
      </c>
      <c r="J187" s="3" t="s">
        <v>377</v>
      </c>
      <c r="K187" s="3" t="s">
        <v>77</v>
      </c>
      <c r="L187" s="3" t="s">
        <v>196</v>
      </c>
      <c r="M187" s="4" t="s">
        <v>2007</v>
      </c>
      <c r="N187" s="3" t="s">
        <v>25</v>
      </c>
      <c r="O187" s="3"/>
      <c r="Q187" s="3"/>
      <c r="R187" s="3"/>
      <c r="Y187" s="4" t="s">
        <v>1959</v>
      </c>
      <c r="Z187" s="4" t="s">
        <v>1959</v>
      </c>
      <c r="AB187" s="3"/>
      <c r="AC187" s="3"/>
      <c r="AD187" s="3" t="s">
        <v>369</v>
      </c>
      <c r="AE187" s="3">
        <v>1000</v>
      </c>
      <c r="AI187" s="4" t="s">
        <v>1960</v>
      </c>
      <c r="AJ187" s="4" t="s">
        <v>1960</v>
      </c>
      <c r="AK187" s="3"/>
      <c r="AL187" s="4">
        <v>140652</v>
      </c>
      <c r="AM187" s="5">
        <v>11385</v>
      </c>
      <c r="AN187" s="4" t="s">
        <v>124</v>
      </c>
      <c r="AO187" s="4">
        <v>99</v>
      </c>
      <c r="AP187" s="4">
        <v>80111700</v>
      </c>
    </row>
    <row r="188" spans="1:42" s="4" customFormat="1" x14ac:dyDescent="0.25">
      <c r="A188" s="3">
        <v>4605002</v>
      </c>
      <c r="B188" s="28">
        <v>42165</v>
      </c>
      <c r="C188" s="3" t="s">
        <v>1278</v>
      </c>
      <c r="D188" s="3">
        <v>10004832</v>
      </c>
      <c r="E188" s="4">
        <v>4534353</v>
      </c>
      <c r="F188" s="3" t="s">
        <v>49</v>
      </c>
      <c r="G188" s="4" t="s">
        <v>2008</v>
      </c>
      <c r="H188" s="4" t="s">
        <v>2009</v>
      </c>
      <c r="I188" s="5">
        <v>33749.050000000003</v>
      </c>
      <c r="J188" s="3" t="s">
        <v>472</v>
      </c>
      <c r="K188" s="3" t="s">
        <v>77</v>
      </c>
      <c r="L188" s="3" t="s">
        <v>196</v>
      </c>
      <c r="M188" s="4" t="s">
        <v>2009</v>
      </c>
      <c r="N188" s="3" t="s">
        <v>25</v>
      </c>
      <c r="O188" s="3"/>
      <c r="Q188" s="3"/>
      <c r="R188" s="3"/>
      <c r="Y188" s="4" t="s">
        <v>1959</v>
      </c>
      <c r="Z188" s="4" t="s">
        <v>1959</v>
      </c>
      <c r="AB188" s="3"/>
      <c r="AC188" s="3"/>
      <c r="AD188" s="3" t="s">
        <v>77</v>
      </c>
      <c r="AE188" s="3">
        <v>1000</v>
      </c>
      <c r="AI188" s="4" t="s">
        <v>1960</v>
      </c>
      <c r="AJ188" s="4" t="s">
        <v>1960</v>
      </c>
      <c r="AK188" s="3"/>
      <c r="AL188" s="4">
        <v>141907</v>
      </c>
      <c r="AM188" s="5">
        <v>33749.050000000003</v>
      </c>
      <c r="AN188" s="4" t="s">
        <v>124</v>
      </c>
      <c r="AO188" s="4">
        <v>99</v>
      </c>
      <c r="AP188" s="4">
        <v>43230000</v>
      </c>
    </row>
    <row r="189" spans="1:42" s="4" customFormat="1" x14ac:dyDescent="0.25">
      <c r="A189" s="3">
        <v>4605005</v>
      </c>
      <c r="B189" s="28">
        <v>42153</v>
      </c>
      <c r="C189" s="3" t="s">
        <v>1278</v>
      </c>
      <c r="D189" s="3">
        <v>10004820</v>
      </c>
      <c r="E189" s="4">
        <v>4534356</v>
      </c>
      <c r="F189" s="3" t="s">
        <v>49</v>
      </c>
      <c r="G189" s="4" t="s">
        <v>1174</v>
      </c>
      <c r="H189" s="4" t="s">
        <v>2010</v>
      </c>
      <c r="I189" s="5">
        <v>73788</v>
      </c>
      <c r="J189" s="3" t="s">
        <v>1088</v>
      </c>
      <c r="K189" s="3" t="s">
        <v>374</v>
      </c>
      <c r="L189" s="3" t="s">
        <v>196</v>
      </c>
      <c r="M189" s="4" t="s">
        <v>2010</v>
      </c>
      <c r="N189" s="3" t="s">
        <v>25</v>
      </c>
      <c r="O189" s="3"/>
      <c r="Q189" s="3"/>
      <c r="R189" s="3"/>
      <c r="Y189" s="4" t="s">
        <v>1200</v>
      </c>
      <c r="Z189" s="4" t="s">
        <v>1200</v>
      </c>
      <c r="AA189" s="4" t="s">
        <v>2011</v>
      </c>
      <c r="AB189" s="3"/>
      <c r="AC189" s="3"/>
      <c r="AD189" s="3" t="s">
        <v>474</v>
      </c>
      <c r="AE189" s="3">
        <v>1000</v>
      </c>
      <c r="AI189" s="4" t="s">
        <v>1202</v>
      </c>
      <c r="AJ189" s="4" t="s">
        <v>1202</v>
      </c>
      <c r="AK189" s="3"/>
      <c r="AL189" s="4">
        <v>42811</v>
      </c>
      <c r="AM189" s="5">
        <v>73788</v>
      </c>
      <c r="AN189" s="4" t="s">
        <v>124</v>
      </c>
      <c r="AO189" s="4">
        <v>99</v>
      </c>
      <c r="AP189" s="4">
        <v>80160000</v>
      </c>
    </row>
    <row r="190" spans="1:42" s="4" customFormat="1" x14ac:dyDescent="0.25">
      <c r="A190" s="3">
        <v>4605009</v>
      </c>
      <c r="B190" s="28">
        <v>42159</v>
      </c>
      <c r="C190" s="3" t="s">
        <v>1278</v>
      </c>
      <c r="D190" s="3">
        <v>10004833</v>
      </c>
      <c r="E190" s="4">
        <v>4534360</v>
      </c>
      <c r="F190" s="3" t="s">
        <v>49</v>
      </c>
      <c r="G190" s="4" t="s">
        <v>388</v>
      </c>
      <c r="H190" s="4" t="s">
        <v>1929</v>
      </c>
      <c r="I190" s="5">
        <v>16016.01</v>
      </c>
      <c r="J190" s="3" t="s">
        <v>532</v>
      </c>
      <c r="K190" s="3" t="s">
        <v>77</v>
      </c>
      <c r="L190" s="3" t="s">
        <v>196</v>
      </c>
      <c r="M190" s="4" t="s">
        <v>1929</v>
      </c>
      <c r="N190" s="3" t="s">
        <v>25</v>
      </c>
      <c r="O190" s="3"/>
      <c r="Q190" s="3"/>
      <c r="R190" s="3"/>
      <c r="Y190" s="4" t="s">
        <v>1959</v>
      </c>
      <c r="Z190" s="4" t="s">
        <v>1959</v>
      </c>
      <c r="AB190" s="3"/>
      <c r="AC190" s="3"/>
      <c r="AD190" s="3" t="s">
        <v>351</v>
      </c>
      <c r="AE190" s="3">
        <v>1000</v>
      </c>
      <c r="AI190" s="4" t="s">
        <v>1960</v>
      </c>
      <c r="AJ190" s="4" t="s">
        <v>1960</v>
      </c>
      <c r="AK190" s="3"/>
      <c r="AL190" s="4">
        <v>141826</v>
      </c>
      <c r="AM190" s="5">
        <v>16016.01</v>
      </c>
      <c r="AN190" s="4" t="s">
        <v>124</v>
      </c>
      <c r="AO190" s="4">
        <v>99</v>
      </c>
      <c r="AP190" s="4">
        <v>43230000</v>
      </c>
    </row>
    <row r="191" spans="1:42" s="4" customFormat="1" x14ac:dyDescent="0.25">
      <c r="A191" s="3">
        <v>4605012</v>
      </c>
      <c r="B191" s="28">
        <v>42152</v>
      </c>
      <c r="C191" s="3" t="s">
        <v>1278</v>
      </c>
      <c r="D191" s="3">
        <v>10004823</v>
      </c>
      <c r="E191" s="4">
        <v>4534363</v>
      </c>
      <c r="F191" s="3" t="s">
        <v>49</v>
      </c>
      <c r="G191" s="4" t="s">
        <v>1427</v>
      </c>
      <c r="H191" s="4" t="s">
        <v>2014</v>
      </c>
      <c r="I191" s="5">
        <v>71900</v>
      </c>
      <c r="J191" s="3" t="s">
        <v>377</v>
      </c>
      <c r="K191" s="3" t="s">
        <v>2015</v>
      </c>
      <c r="L191" s="3" t="s">
        <v>196</v>
      </c>
      <c r="M191" s="4" t="s">
        <v>2016</v>
      </c>
      <c r="N191" s="3" t="s">
        <v>25</v>
      </c>
      <c r="O191" s="3"/>
      <c r="Q191" s="3"/>
      <c r="R191" s="3"/>
      <c r="Y191" s="4" t="s">
        <v>1510</v>
      </c>
      <c r="Z191" s="4" t="s">
        <v>1995</v>
      </c>
      <c r="AB191" s="3"/>
      <c r="AC191" s="3"/>
      <c r="AD191" s="3" t="s">
        <v>317</v>
      </c>
      <c r="AE191" s="3">
        <v>1000</v>
      </c>
      <c r="AI191" s="4" t="s">
        <v>1512</v>
      </c>
      <c r="AJ191" s="4" t="s">
        <v>1999</v>
      </c>
      <c r="AK191" s="3"/>
      <c r="AL191" s="4">
        <v>141764</v>
      </c>
      <c r="AM191" s="5">
        <v>71900</v>
      </c>
      <c r="AN191" s="4" t="s">
        <v>124</v>
      </c>
      <c r="AO191" s="4">
        <v>99</v>
      </c>
      <c r="AP191" s="4">
        <v>80141500</v>
      </c>
    </row>
    <row r="192" spans="1:42" s="4" customFormat="1" x14ac:dyDescent="0.25">
      <c r="A192" s="3">
        <v>4605019</v>
      </c>
      <c r="B192" s="28">
        <v>42167</v>
      </c>
      <c r="C192" s="3" t="s">
        <v>1278</v>
      </c>
      <c r="D192" s="3">
        <v>10004853</v>
      </c>
      <c r="E192" s="4">
        <v>4534370</v>
      </c>
      <c r="F192" s="3" t="s">
        <v>49</v>
      </c>
      <c r="G192" s="4" t="s">
        <v>2022</v>
      </c>
      <c r="H192" s="4" t="s">
        <v>2023</v>
      </c>
      <c r="I192" s="5">
        <v>120000</v>
      </c>
      <c r="J192" s="3" t="s">
        <v>474</v>
      </c>
      <c r="K192" s="3" t="s">
        <v>374</v>
      </c>
      <c r="L192" s="3" t="s">
        <v>196</v>
      </c>
      <c r="M192" s="4" t="s">
        <v>2024</v>
      </c>
      <c r="N192" s="3" t="s">
        <v>25</v>
      </c>
      <c r="O192" s="3"/>
      <c r="Q192" s="3"/>
      <c r="R192" s="3"/>
      <c r="Y192" s="4" t="s">
        <v>1056</v>
      </c>
      <c r="Z192" s="4" t="s">
        <v>1056</v>
      </c>
      <c r="AB192" s="3"/>
      <c r="AC192" s="3"/>
      <c r="AD192" s="3" t="s">
        <v>287</v>
      </c>
      <c r="AE192" s="3">
        <v>1000</v>
      </c>
      <c r="AI192" s="4" t="s">
        <v>1058</v>
      </c>
      <c r="AJ192" s="4" t="s">
        <v>1058</v>
      </c>
      <c r="AK192" s="3"/>
      <c r="AL192" s="4">
        <v>141918</v>
      </c>
      <c r="AM192" s="5">
        <v>120000</v>
      </c>
      <c r="AN192" s="4" t="s">
        <v>124</v>
      </c>
      <c r="AO192" s="4">
        <v>99</v>
      </c>
      <c r="AP192" s="4">
        <v>43220000</v>
      </c>
    </row>
    <row r="193" spans="1:42" s="4" customFormat="1" x14ac:dyDescent="0.25">
      <c r="A193" s="3">
        <v>4605020</v>
      </c>
      <c r="B193" s="28">
        <v>42172</v>
      </c>
      <c r="C193" s="3" t="s">
        <v>1278</v>
      </c>
      <c r="D193" s="3">
        <v>10004855</v>
      </c>
      <c r="E193" s="4">
        <v>4534371</v>
      </c>
      <c r="F193" s="3" t="s">
        <v>49</v>
      </c>
      <c r="G193" s="4" t="s">
        <v>1085</v>
      </c>
      <c r="H193" s="4" t="s">
        <v>2025</v>
      </c>
      <c r="I193" s="5">
        <v>174299</v>
      </c>
      <c r="J193" s="3" t="s">
        <v>474</v>
      </c>
      <c r="K193" s="3" t="s">
        <v>77</v>
      </c>
      <c r="L193" s="3" t="s">
        <v>196</v>
      </c>
      <c r="M193" s="4" t="s">
        <v>2025</v>
      </c>
      <c r="N193" s="3" t="s">
        <v>25</v>
      </c>
      <c r="O193" s="3"/>
      <c r="Q193" s="3"/>
      <c r="R193" s="3"/>
      <c r="Y193" s="4" t="s">
        <v>267</v>
      </c>
      <c r="Z193" s="4" t="s">
        <v>267</v>
      </c>
      <c r="AB193" s="3"/>
      <c r="AC193" s="3"/>
      <c r="AD193" s="3" t="s">
        <v>385</v>
      </c>
      <c r="AE193" s="3">
        <v>1000</v>
      </c>
      <c r="AI193" s="4" t="s">
        <v>270</v>
      </c>
      <c r="AJ193" s="4" t="s">
        <v>270</v>
      </c>
      <c r="AK193" s="3"/>
      <c r="AL193" s="4">
        <v>30502</v>
      </c>
      <c r="AM193" s="5">
        <v>174299</v>
      </c>
      <c r="AN193" s="4" t="s">
        <v>124</v>
      </c>
      <c r="AO193" s="4">
        <v>99</v>
      </c>
      <c r="AP193" s="4">
        <v>93141805</v>
      </c>
    </row>
    <row r="194" spans="1:42" s="4" customFormat="1" x14ac:dyDescent="0.25">
      <c r="A194" s="3">
        <v>4605021</v>
      </c>
      <c r="B194" s="28">
        <v>42158</v>
      </c>
      <c r="C194" s="3" t="s">
        <v>1278</v>
      </c>
      <c r="D194" s="3">
        <v>10004825</v>
      </c>
      <c r="E194" s="4">
        <v>4534372</v>
      </c>
      <c r="F194" s="3" t="s">
        <v>49</v>
      </c>
      <c r="G194" s="4" t="s">
        <v>1759</v>
      </c>
      <c r="I194" s="5">
        <v>5031.18</v>
      </c>
      <c r="J194" s="3" t="s">
        <v>534</v>
      </c>
      <c r="K194" s="3" t="s">
        <v>77</v>
      </c>
      <c r="L194" s="3" t="s">
        <v>196</v>
      </c>
      <c r="M194" s="4" t="s">
        <v>2026</v>
      </c>
      <c r="N194" s="3" t="s">
        <v>25</v>
      </c>
      <c r="O194" s="3"/>
      <c r="Q194" s="3"/>
      <c r="R194" s="3"/>
      <c r="Y194" s="4" t="s">
        <v>1959</v>
      </c>
      <c r="Z194" s="4" t="s">
        <v>1959</v>
      </c>
      <c r="AB194" s="3"/>
      <c r="AC194" s="3"/>
      <c r="AD194" s="3" t="s">
        <v>380</v>
      </c>
      <c r="AE194" s="3">
        <v>1000</v>
      </c>
      <c r="AI194" s="4" t="s">
        <v>1960</v>
      </c>
      <c r="AJ194" s="4" t="s">
        <v>1960</v>
      </c>
      <c r="AK194" s="3"/>
      <c r="AL194" s="4">
        <v>141842</v>
      </c>
      <c r="AM194" s="5">
        <v>5031.18</v>
      </c>
      <c r="AN194" s="4" t="s">
        <v>124</v>
      </c>
    </row>
    <row r="195" spans="1:42" s="4" customFormat="1" x14ac:dyDescent="0.25">
      <c r="A195" s="3">
        <v>4605023</v>
      </c>
      <c r="B195" s="28">
        <v>42167</v>
      </c>
      <c r="C195" s="3" t="s">
        <v>1278</v>
      </c>
      <c r="D195" s="3">
        <v>10004869</v>
      </c>
      <c r="E195" s="4">
        <v>4534374</v>
      </c>
      <c r="F195" s="3" t="s">
        <v>49</v>
      </c>
      <c r="G195" s="4" t="s">
        <v>1918</v>
      </c>
      <c r="H195" s="4" t="s">
        <v>2027</v>
      </c>
      <c r="I195" s="5">
        <v>21560</v>
      </c>
      <c r="J195" s="3" t="s">
        <v>485</v>
      </c>
      <c r="K195" s="3" t="s">
        <v>77</v>
      </c>
      <c r="L195" s="3" t="s">
        <v>196</v>
      </c>
      <c r="M195" s="4" t="s">
        <v>2027</v>
      </c>
      <c r="N195" s="3" t="s">
        <v>25</v>
      </c>
      <c r="O195" s="3"/>
      <c r="Q195" s="3"/>
      <c r="R195" s="3"/>
      <c r="Y195" s="4" t="s">
        <v>2028</v>
      </c>
      <c r="Z195" s="4" t="s">
        <v>1176</v>
      </c>
      <c r="AB195" s="3"/>
      <c r="AC195" s="3"/>
      <c r="AD195" s="3" t="s">
        <v>385</v>
      </c>
      <c r="AE195" s="3">
        <v>1000</v>
      </c>
      <c r="AI195" s="4" t="s">
        <v>2029</v>
      </c>
      <c r="AJ195" s="4" t="s">
        <v>1178</v>
      </c>
      <c r="AK195" s="3"/>
      <c r="AL195" s="4">
        <v>141891</v>
      </c>
      <c r="AM195" s="5">
        <v>21560</v>
      </c>
      <c r="AN195" s="4" t="s">
        <v>124</v>
      </c>
      <c r="AO195" s="4">
        <v>99</v>
      </c>
      <c r="AP195" s="4">
        <v>80101504</v>
      </c>
    </row>
    <row r="196" spans="1:42" s="4" customFormat="1" x14ac:dyDescent="0.25">
      <c r="A196" s="3">
        <v>4605027</v>
      </c>
      <c r="B196" s="28">
        <v>42173</v>
      </c>
      <c r="C196" s="3" t="s">
        <v>1278</v>
      </c>
      <c r="D196" s="3">
        <v>10004872</v>
      </c>
      <c r="E196" s="4">
        <v>4534378</v>
      </c>
      <c r="F196" s="3" t="s">
        <v>49</v>
      </c>
      <c r="G196" s="4" t="s">
        <v>2022</v>
      </c>
      <c r="H196" s="4" t="s">
        <v>2034</v>
      </c>
      <c r="I196" s="5">
        <v>40885.050000000003</v>
      </c>
      <c r="J196" s="3" t="s">
        <v>407</v>
      </c>
      <c r="K196" s="3" t="s">
        <v>77</v>
      </c>
      <c r="L196" s="3" t="s">
        <v>196</v>
      </c>
      <c r="M196" s="4" t="s">
        <v>2035</v>
      </c>
      <c r="N196" s="3" t="s">
        <v>25</v>
      </c>
      <c r="O196" s="3"/>
      <c r="Q196" s="3"/>
      <c r="R196" s="3"/>
      <c r="Y196" s="4" t="s">
        <v>1510</v>
      </c>
      <c r="Z196" s="4" t="s">
        <v>1995</v>
      </c>
      <c r="AB196" s="3"/>
      <c r="AC196" s="3"/>
      <c r="AD196" s="3" t="s">
        <v>351</v>
      </c>
      <c r="AE196" s="3">
        <v>1000</v>
      </c>
      <c r="AI196" s="4" t="s">
        <v>1512</v>
      </c>
      <c r="AJ196" s="4" t="s">
        <v>1999</v>
      </c>
      <c r="AK196" s="3"/>
      <c r="AL196" s="4">
        <v>141918</v>
      </c>
      <c r="AM196" s="5">
        <v>40885.050000000003</v>
      </c>
      <c r="AN196" s="4" t="s">
        <v>124</v>
      </c>
      <c r="AO196" s="4">
        <v>99</v>
      </c>
      <c r="AP196" s="4">
        <v>43190000</v>
      </c>
    </row>
    <row r="197" spans="1:42" s="4" customFormat="1" x14ac:dyDescent="0.25">
      <c r="A197" s="3">
        <v>4605028</v>
      </c>
      <c r="B197" s="28">
        <v>42177</v>
      </c>
      <c r="C197" s="3" t="s">
        <v>1278</v>
      </c>
      <c r="D197" s="3">
        <v>10004873</v>
      </c>
      <c r="E197" s="4">
        <v>4534379</v>
      </c>
      <c r="F197" s="3" t="s">
        <v>49</v>
      </c>
      <c r="G197" s="4" t="s">
        <v>1561</v>
      </c>
      <c r="H197" s="4" t="s">
        <v>2036</v>
      </c>
      <c r="I197" s="5">
        <v>114783.29</v>
      </c>
      <c r="J197" s="3" t="s">
        <v>485</v>
      </c>
      <c r="K197" s="3" t="s">
        <v>77</v>
      </c>
      <c r="L197" s="3" t="s">
        <v>196</v>
      </c>
      <c r="M197" s="4" t="s">
        <v>2037</v>
      </c>
      <c r="N197" s="3" t="s">
        <v>25</v>
      </c>
      <c r="O197" s="3"/>
      <c r="Q197" s="3"/>
      <c r="R197" s="3"/>
      <c r="Y197" s="4" t="s">
        <v>1056</v>
      </c>
      <c r="Z197" s="4" t="s">
        <v>1056</v>
      </c>
      <c r="AB197" s="3"/>
      <c r="AC197" s="3"/>
      <c r="AD197" s="3" t="s">
        <v>351</v>
      </c>
      <c r="AE197" s="3">
        <v>1000</v>
      </c>
      <c r="AI197" s="4" t="s">
        <v>1058</v>
      </c>
      <c r="AJ197" s="4" t="s">
        <v>1058</v>
      </c>
      <c r="AK197" s="3"/>
      <c r="AL197" s="4">
        <v>30955</v>
      </c>
      <c r="AM197" s="5">
        <v>114783.29</v>
      </c>
      <c r="AN197" s="4" t="s">
        <v>124</v>
      </c>
      <c r="AO197" s="4">
        <v>99</v>
      </c>
      <c r="AP197" s="4">
        <v>43230000</v>
      </c>
    </row>
    <row r="198" spans="1:42" s="4" customFormat="1" x14ac:dyDescent="0.25">
      <c r="A198" s="3">
        <v>4605031</v>
      </c>
      <c r="B198" s="28">
        <v>42177</v>
      </c>
      <c r="C198" s="3" t="s">
        <v>1278</v>
      </c>
      <c r="D198" s="3">
        <v>10004852</v>
      </c>
      <c r="E198" s="4">
        <v>4534382</v>
      </c>
      <c r="F198" s="3" t="s">
        <v>49</v>
      </c>
      <c r="G198" s="4" t="s">
        <v>2038</v>
      </c>
      <c r="H198" s="4" t="s">
        <v>2039</v>
      </c>
      <c r="I198" s="5">
        <v>16185.71</v>
      </c>
      <c r="J198" s="3" t="s">
        <v>1491</v>
      </c>
      <c r="K198" s="3" t="s">
        <v>77</v>
      </c>
      <c r="L198" s="3" t="s">
        <v>196</v>
      </c>
      <c r="M198" s="4" t="s">
        <v>2040</v>
      </c>
      <c r="N198" s="3" t="s">
        <v>25</v>
      </c>
      <c r="O198" s="3"/>
      <c r="Q198" s="3"/>
      <c r="R198" s="3"/>
      <c r="Y198" s="4" t="s">
        <v>1068</v>
      </c>
      <c r="Z198" s="4" t="s">
        <v>1090</v>
      </c>
      <c r="AB198" s="3"/>
      <c r="AC198" s="3"/>
      <c r="AD198" s="3" t="s">
        <v>1159</v>
      </c>
      <c r="AE198" s="3">
        <v>1000</v>
      </c>
      <c r="AI198" s="4" t="s">
        <v>1071</v>
      </c>
      <c r="AJ198" s="4" t="s">
        <v>1091</v>
      </c>
      <c r="AK198" s="3"/>
      <c r="AL198" s="4">
        <v>141916</v>
      </c>
      <c r="AM198" s="5">
        <v>16185.71</v>
      </c>
      <c r="AN198" s="4" t="s">
        <v>124</v>
      </c>
      <c r="AO198" s="4">
        <v>99</v>
      </c>
      <c r="AP198" s="4">
        <v>47120000</v>
      </c>
    </row>
    <row r="199" spans="1:42" s="4" customFormat="1" x14ac:dyDescent="0.25">
      <c r="A199" s="3">
        <v>4605032</v>
      </c>
      <c r="B199" s="28">
        <v>42171</v>
      </c>
      <c r="C199" s="3" t="s">
        <v>1278</v>
      </c>
      <c r="D199" s="3">
        <v>10004887</v>
      </c>
      <c r="E199" s="4">
        <v>4534383</v>
      </c>
      <c r="F199" s="3" t="s">
        <v>49</v>
      </c>
      <c r="G199" s="4" t="s">
        <v>1657</v>
      </c>
      <c r="H199" s="4" t="s">
        <v>2041</v>
      </c>
      <c r="I199" s="5">
        <v>11660</v>
      </c>
      <c r="J199" s="3" t="s">
        <v>317</v>
      </c>
      <c r="K199" s="3" t="s">
        <v>77</v>
      </c>
      <c r="L199" s="3" t="s">
        <v>196</v>
      </c>
      <c r="M199" s="4" t="s">
        <v>2041</v>
      </c>
      <c r="N199" s="3" t="s">
        <v>25</v>
      </c>
      <c r="O199" s="3"/>
      <c r="Q199" s="3"/>
      <c r="R199" s="3"/>
      <c r="Y199" s="4" t="s">
        <v>2042</v>
      </c>
      <c r="Z199" s="4" t="s">
        <v>2042</v>
      </c>
      <c r="AB199" s="3"/>
      <c r="AC199" s="3"/>
      <c r="AD199" s="3" t="s">
        <v>351</v>
      </c>
      <c r="AE199" s="3">
        <v>1000</v>
      </c>
      <c r="AI199" s="4" t="s">
        <v>2043</v>
      </c>
      <c r="AJ199" s="4" t="s">
        <v>2043</v>
      </c>
      <c r="AK199" s="3"/>
      <c r="AL199" s="4">
        <v>47407</v>
      </c>
      <c r="AM199" s="5">
        <v>11660</v>
      </c>
      <c r="AN199" s="4" t="s">
        <v>124</v>
      </c>
      <c r="AO199" s="4">
        <v>99</v>
      </c>
      <c r="AP199" s="4">
        <v>56101700</v>
      </c>
    </row>
    <row r="200" spans="1:42" s="4" customFormat="1" x14ac:dyDescent="0.25">
      <c r="A200" s="3">
        <v>4605038</v>
      </c>
      <c r="B200" s="28">
        <v>42178</v>
      </c>
      <c r="C200" s="3" t="s">
        <v>1278</v>
      </c>
      <c r="D200" s="3">
        <v>10004886</v>
      </c>
      <c r="E200" s="4">
        <v>4534389</v>
      </c>
      <c r="F200" s="3" t="s">
        <v>49</v>
      </c>
      <c r="G200" s="4" t="s">
        <v>2048</v>
      </c>
      <c r="H200" s="4" t="s">
        <v>2049</v>
      </c>
      <c r="I200" s="5">
        <v>20679.3</v>
      </c>
      <c r="J200" s="3" t="s">
        <v>351</v>
      </c>
      <c r="K200" s="3" t="s">
        <v>77</v>
      </c>
      <c r="L200" s="3" t="s">
        <v>196</v>
      </c>
      <c r="M200" s="4" t="s">
        <v>2049</v>
      </c>
      <c r="N200" s="3" t="s">
        <v>25</v>
      </c>
      <c r="O200" s="3"/>
      <c r="Q200" s="3"/>
      <c r="R200" s="3"/>
      <c r="Y200" s="4" t="s">
        <v>1959</v>
      </c>
      <c r="Z200" s="4" t="s">
        <v>1959</v>
      </c>
      <c r="AB200" s="3"/>
      <c r="AC200" s="3"/>
      <c r="AD200" s="3" t="s">
        <v>351</v>
      </c>
      <c r="AE200" s="3">
        <v>1000</v>
      </c>
      <c r="AI200" s="4" t="s">
        <v>1960</v>
      </c>
      <c r="AJ200" s="4" t="s">
        <v>1960</v>
      </c>
      <c r="AK200" s="3"/>
      <c r="AL200" s="4">
        <v>48912</v>
      </c>
      <c r="AM200" s="5">
        <v>20679.3</v>
      </c>
      <c r="AN200" s="4" t="s">
        <v>124</v>
      </c>
      <c r="AO200" s="4">
        <v>99</v>
      </c>
      <c r="AP200" s="4">
        <v>52161500</v>
      </c>
    </row>
    <row r="201" spans="1:42" s="4" customFormat="1" x14ac:dyDescent="0.25">
      <c r="A201" s="3">
        <v>4605043</v>
      </c>
      <c r="B201" s="28">
        <v>42179</v>
      </c>
      <c r="C201" s="3" t="s">
        <v>1278</v>
      </c>
      <c r="D201" s="3">
        <v>10004865</v>
      </c>
      <c r="E201" s="4">
        <v>4534394</v>
      </c>
      <c r="F201" s="3" t="s">
        <v>49</v>
      </c>
      <c r="G201" s="4" t="s">
        <v>1968</v>
      </c>
      <c r="H201" s="4" t="s">
        <v>2052</v>
      </c>
      <c r="I201" s="5">
        <v>57464</v>
      </c>
      <c r="J201" s="3" t="s">
        <v>317</v>
      </c>
      <c r="K201" s="3" t="s">
        <v>77</v>
      </c>
      <c r="L201" s="3" t="s">
        <v>196</v>
      </c>
      <c r="M201" s="4" t="s">
        <v>2052</v>
      </c>
      <c r="N201" s="3" t="s">
        <v>25</v>
      </c>
      <c r="O201" s="3"/>
      <c r="Q201" s="3"/>
      <c r="R201" s="3"/>
      <c r="Y201" s="4" t="s">
        <v>1959</v>
      </c>
      <c r="Z201" s="4" t="s">
        <v>1959</v>
      </c>
      <c r="AB201" s="3"/>
      <c r="AC201" s="3"/>
      <c r="AD201" s="3" t="s">
        <v>369</v>
      </c>
      <c r="AE201" s="3">
        <v>1000</v>
      </c>
      <c r="AI201" s="4" t="s">
        <v>1960</v>
      </c>
      <c r="AJ201" s="4" t="s">
        <v>1960</v>
      </c>
      <c r="AK201" s="3"/>
      <c r="AL201" s="4">
        <v>141901</v>
      </c>
      <c r="AM201" s="5">
        <v>57464</v>
      </c>
      <c r="AN201" s="4" t="s">
        <v>124</v>
      </c>
      <c r="AO201" s="4">
        <v>99</v>
      </c>
      <c r="AP201" s="4">
        <v>80101504</v>
      </c>
    </row>
    <row r="202" spans="1:42" s="4" customFormat="1" x14ac:dyDescent="0.25">
      <c r="A202" s="3">
        <v>4605052</v>
      </c>
      <c r="B202" s="28">
        <v>42180</v>
      </c>
      <c r="C202" s="3" t="s">
        <v>1278</v>
      </c>
      <c r="D202" s="3">
        <v>10004906</v>
      </c>
      <c r="E202" s="4">
        <v>4534403</v>
      </c>
      <c r="F202" s="3" t="s">
        <v>49</v>
      </c>
      <c r="G202" s="4" t="s">
        <v>2022</v>
      </c>
      <c r="I202" s="5">
        <v>8836.34</v>
      </c>
      <c r="J202" s="3" t="s">
        <v>439</v>
      </c>
      <c r="K202" s="3" t="s">
        <v>374</v>
      </c>
      <c r="L202" s="3" t="s">
        <v>196</v>
      </c>
      <c r="M202" s="4" t="s">
        <v>2054</v>
      </c>
      <c r="N202" s="3" t="s">
        <v>25</v>
      </c>
      <c r="O202" s="3"/>
      <c r="Q202" s="3"/>
      <c r="R202" s="3"/>
      <c r="Y202" s="4" t="s">
        <v>1056</v>
      </c>
      <c r="Z202" s="4" t="s">
        <v>1056</v>
      </c>
      <c r="AB202" s="3"/>
      <c r="AC202" s="3"/>
      <c r="AD202" s="3" t="s">
        <v>543</v>
      </c>
      <c r="AE202" s="3">
        <v>1000</v>
      </c>
      <c r="AI202" s="4" t="s">
        <v>1058</v>
      </c>
      <c r="AJ202" s="4" t="s">
        <v>1058</v>
      </c>
      <c r="AK202" s="3"/>
      <c r="AL202" s="4">
        <v>141918</v>
      </c>
      <c r="AM202" s="5">
        <v>8836.34</v>
      </c>
      <c r="AN202" s="4" t="s">
        <v>124</v>
      </c>
    </row>
    <row r="203" spans="1:42" s="4" customFormat="1" x14ac:dyDescent="0.25">
      <c r="A203" s="3">
        <v>4605053</v>
      </c>
      <c r="B203" s="28">
        <v>42180</v>
      </c>
      <c r="C203" s="3" t="s">
        <v>1278</v>
      </c>
      <c r="D203" s="3">
        <v>10004907</v>
      </c>
      <c r="E203" s="4">
        <v>4534404</v>
      </c>
      <c r="F203" s="3" t="s">
        <v>49</v>
      </c>
      <c r="G203" s="4" t="s">
        <v>2055</v>
      </c>
      <c r="H203" s="4" t="s">
        <v>2056</v>
      </c>
      <c r="I203" s="5">
        <v>26202</v>
      </c>
      <c r="J203" s="3" t="s">
        <v>543</v>
      </c>
      <c r="K203" s="3" t="s">
        <v>77</v>
      </c>
      <c r="L203" s="3" t="s">
        <v>196</v>
      </c>
      <c r="M203" s="4" t="s">
        <v>2056</v>
      </c>
      <c r="N203" s="3" t="s">
        <v>25</v>
      </c>
      <c r="O203" s="3"/>
      <c r="Q203" s="3"/>
      <c r="R203" s="3"/>
      <c r="Y203" s="4" t="s">
        <v>2057</v>
      </c>
      <c r="Z203" s="4" t="s">
        <v>2058</v>
      </c>
      <c r="AA203" s="4" t="s">
        <v>2059</v>
      </c>
      <c r="AB203" s="3"/>
      <c r="AC203" s="3"/>
      <c r="AD203" s="3" t="s">
        <v>543</v>
      </c>
      <c r="AE203" s="3">
        <v>1000</v>
      </c>
      <c r="AI203" s="4" t="s">
        <v>2060</v>
      </c>
      <c r="AJ203" s="4" t="s">
        <v>2061</v>
      </c>
      <c r="AK203" s="3"/>
      <c r="AL203" s="4">
        <v>141925</v>
      </c>
      <c r="AM203" s="5">
        <v>26202</v>
      </c>
      <c r="AN203" s="4" t="s">
        <v>124</v>
      </c>
      <c r="AO203" s="4">
        <v>99</v>
      </c>
      <c r="AP203" s="4">
        <v>43210000</v>
      </c>
    </row>
    <row r="204" spans="1:42" s="4" customFormat="1" x14ac:dyDescent="0.25">
      <c r="A204" s="3">
        <v>4605056</v>
      </c>
      <c r="B204" s="28">
        <v>42177</v>
      </c>
      <c r="C204" s="3" t="s">
        <v>1278</v>
      </c>
      <c r="D204" s="3">
        <v>10004911</v>
      </c>
      <c r="E204" s="4">
        <v>4534407</v>
      </c>
      <c r="F204" s="3" t="s">
        <v>49</v>
      </c>
      <c r="G204" s="4" t="s">
        <v>1716</v>
      </c>
      <c r="I204" s="4">
        <v>825</v>
      </c>
      <c r="J204" s="3" t="s">
        <v>77</v>
      </c>
      <c r="K204" s="3" t="s">
        <v>77</v>
      </c>
      <c r="L204" s="3" t="s">
        <v>196</v>
      </c>
      <c r="M204" s="4" t="s">
        <v>2062</v>
      </c>
      <c r="N204" s="3" t="s">
        <v>25</v>
      </c>
      <c r="O204" s="3"/>
      <c r="Q204" s="3"/>
      <c r="R204" s="3"/>
      <c r="Y204" s="4" t="s">
        <v>1510</v>
      </c>
      <c r="Z204" s="4" t="s">
        <v>1995</v>
      </c>
      <c r="AB204" s="3"/>
      <c r="AC204" s="3"/>
      <c r="AD204" s="3" t="s">
        <v>77</v>
      </c>
      <c r="AE204" s="3">
        <v>1000</v>
      </c>
      <c r="AI204" s="4" t="s">
        <v>1512</v>
      </c>
      <c r="AJ204" s="4" t="s">
        <v>1999</v>
      </c>
      <c r="AK204" s="3"/>
      <c r="AL204" s="4">
        <v>44468</v>
      </c>
      <c r="AM204" s="4">
        <v>825</v>
      </c>
      <c r="AN204" s="4" t="s">
        <v>124</v>
      </c>
    </row>
    <row r="205" spans="1:42" s="4" customFormat="1" x14ac:dyDescent="0.25">
      <c r="A205" s="3">
        <v>4605066</v>
      </c>
      <c r="B205" s="28">
        <v>42184</v>
      </c>
      <c r="C205" s="3" t="s">
        <v>1278</v>
      </c>
      <c r="D205" s="3">
        <v>10004910</v>
      </c>
      <c r="E205" s="4">
        <v>4534417</v>
      </c>
      <c r="F205" s="3" t="s">
        <v>49</v>
      </c>
      <c r="G205" s="4" t="s">
        <v>2063</v>
      </c>
      <c r="I205" s="5">
        <v>6275</v>
      </c>
      <c r="J205" s="3" t="s">
        <v>439</v>
      </c>
      <c r="K205" s="3" t="s">
        <v>77</v>
      </c>
      <c r="L205" s="3" t="s">
        <v>196</v>
      </c>
      <c r="M205" s="4" t="s">
        <v>2064</v>
      </c>
      <c r="N205" s="3" t="s">
        <v>25</v>
      </c>
      <c r="O205" s="3"/>
      <c r="Q205" s="3"/>
      <c r="R205" s="3"/>
      <c r="Y205" s="4" t="s">
        <v>1959</v>
      </c>
      <c r="Z205" s="4" t="s">
        <v>1959</v>
      </c>
      <c r="AB205" s="3"/>
      <c r="AC205" s="3"/>
      <c r="AD205" s="3" t="s">
        <v>287</v>
      </c>
      <c r="AE205" s="3">
        <v>5000</v>
      </c>
      <c r="AI205" s="4" t="s">
        <v>1960</v>
      </c>
      <c r="AJ205" s="4" t="s">
        <v>1960</v>
      </c>
      <c r="AK205" s="3"/>
      <c r="AL205" s="4">
        <v>141921</v>
      </c>
      <c r="AM205" s="5">
        <v>6275</v>
      </c>
      <c r="AN205" s="4" t="s">
        <v>31</v>
      </c>
    </row>
    <row r="206" spans="1:42" s="4" customFormat="1" x14ac:dyDescent="0.25">
      <c r="A206" s="3">
        <v>4605067</v>
      </c>
      <c r="B206" s="28">
        <v>42184</v>
      </c>
      <c r="C206" s="3" t="s">
        <v>1278</v>
      </c>
      <c r="D206" s="3">
        <v>10004923</v>
      </c>
      <c r="E206" s="4">
        <v>4534418</v>
      </c>
      <c r="F206" s="3" t="s">
        <v>49</v>
      </c>
      <c r="G206" s="4" t="s">
        <v>2065</v>
      </c>
      <c r="H206" s="4" t="s">
        <v>2066</v>
      </c>
      <c r="I206" s="5">
        <v>12705</v>
      </c>
      <c r="J206" s="3" t="s">
        <v>287</v>
      </c>
      <c r="K206" s="3" t="s">
        <v>287</v>
      </c>
      <c r="L206" s="3" t="s">
        <v>196</v>
      </c>
      <c r="M206" s="4" t="s">
        <v>2066</v>
      </c>
      <c r="N206" s="3" t="s">
        <v>25</v>
      </c>
      <c r="O206" s="3"/>
      <c r="Q206" s="3"/>
      <c r="R206" s="3"/>
      <c r="Y206" s="4" t="s">
        <v>267</v>
      </c>
      <c r="Z206" s="4" t="s">
        <v>267</v>
      </c>
      <c r="AB206" s="3"/>
      <c r="AC206" s="3"/>
      <c r="AD206" s="3" t="s">
        <v>287</v>
      </c>
      <c r="AE206" s="3">
        <v>1000</v>
      </c>
      <c r="AI206" s="4" t="s">
        <v>270</v>
      </c>
      <c r="AJ206" s="4" t="s">
        <v>270</v>
      </c>
      <c r="AK206" s="3"/>
      <c r="AL206" s="4">
        <v>140126</v>
      </c>
      <c r="AM206" s="5">
        <v>12705</v>
      </c>
      <c r="AN206" s="4" t="s">
        <v>124</v>
      </c>
      <c r="AO206" s="4">
        <v>99</v>
      </c>
      <c r="AP206" s="4">
        <v>80110000</v>
      </c>
    </row>
    <row r="207" spans="1:42" s="4" customFormat="1" x14ac:dyDescent="0.25">
      <c r="A207" s="3">
        <v>4605073</v>
      </c>
      <c r="B207" s="28">
        <v>42184</v>
      </c>
      <c r="C207" s="3" t="s">
        <v>1278</v>
      </c>
      <c r="D207" s="3">
        <v>10004932</v>
      </c>
      <c r="E207" s="4">
        <v>4534424</v>
      </c>
      <c r="F207" s="3" t="s">
        <v>49</v>
      </c>
      <c r="G207" s="4" t="s">
        <v>1245</v>
      </c>
      <c r="I207" s="5">
        <v>7502</v>
      </c>
      <c r="J207" s="3" t="s">
        <v>385</v>
      </c>
      <c r="K207" s="3" t="s">
        <v>77</v>
      </c>
      <c r="L207" s="3" t="s">
        <v>196</v>
      </c>
      <c r="M207" s="4" t="s">
        <v>2070</v>
      </c>
      <c r="N207" s="3" t="s">
        <v>25</v>
      </c>
      <c r="O207" s="3"/>
      <c r="Q207" s="3"/>
      <c r="R207" s="3"/>
      <c r="Y207" s="4" t="s">
        <v>1141</v>
      </c>
      <c r="Z207" s="4" t="s">
        <v>1090</v>
      </c>
      <c r="AB207" s="3"/>
      <c r="AC207" s="3"/>
      <c r="AD207" s="3" t="s">
        <v>77</v>
      </c>
      <c r="AE207" s="3">
        <v>1000</v>
      </c>
      <c r="AI207" s="4" t="s">
        <v>1144</v>
      </c>
      <c r="AJ207" s="4" t="s">
        <v>1091</v>
      </c>
      <c r="AK207" s="3"/>
      <c r="AL207" s="4">
        <v>140158</v>
      </c>
      <c r="AM207" s="5">
        <v>7502</v>
      </c>
      <c r="AN207" s="4" t="s">
        <v>124</v>
      </c>
    </row>
    <row r="208" spans="1:42" s="4" customFormat="1" x14ac:dyDescent="0.25">
      <c r="A208" s="3">
        <v>4604752</v>
      </c>
      <c r="B208" s="28">
        <v>41878</v>
      </c>
      <c r="C208" s="3" t="s">
        <v>2073</v>
      </c>
      <c r="D208" s="3">
        <v>10004476</v>
      </c>
      <c r="E208" s="4">
        <v>4534103</v>
      </c>
      <c r="F208" s="3" t="s">
        <v>49</v>
      </c>
      <c r="G208" s="4" t="s">
        <v>1353</v>
      </c>
      <c r="H208" s="4" t="s">
        <v>2082</v>
      </c>
      <c r="I208" s="5">
        <v>51590</v>
      </c>
      <c r="J208" s="3" t="s">
        <v>1039</v>
      </c>
      <c r="K208" s="3" t="s">
        <v>77</v>
      </c>
      <c r="L208" s="3" t="s">
        <v>196</v>
      </c>
      <c r="M208" s="4" t="s">
        <v>2082</v>
      </c>
      <c r="N208" s="3" t="s">
        <v>25</v>
      </c>
      <c r="O208" s="3"/>
      <c r="Q208" s="3"/>
      <c r="R208" s="3"/>
      <c r="Y208" s="4" t="s">
        <v>688</v>
      </c>
      <c r="Z208" s="4" t="s">
        <v>688</v>
      </c>
      <c r="AB208" s="3"/>
      <c r="AC208" s="3"/>
      <c r="AD208" s="3" t="s">
        <v>910</v>
      </c>
      <c r="AE208" s="3">
        <v>1000</v>
      </c>
      <c r="AI208" s="4" t="s">
        <v>689</v>
      </c>
      <c r="AJ208" s="4" t="s">
        <v>689</v>
      </c>
      <c r="AK208" s="3"/>
      <c r="AL208" s="4">
        <v>140449</v>
      </c>
      <c r="AM208" s="5">
        <v>51590</v>
      </c>
      <c r="AN208" s="4" t="s">
        <v>124</v>
      </c>
      <c r="AO208" s="4">
        <v>99</v>
      </c>
    </row>
    <row r="209" spans="1:42" s="4" customFormat="1" x14ac:dyDescent="0.25">
      <c r="A209" s="3">
        <v>4604556</v>
      </c>
      <c r="B209" s="28">
        <v>41775</v>
      </c>
      <c r="C209" s="3" t="s">
        <v>2083</v>
      </c>
      <c r="D209" s="3">
        <v>10004340</v>
      </c>
      <c r="E209" s="4">
        <v>4533907</v>
      </c>
      <c r="F209" s="3" t="s">
        <v>49</v>
      </c>
      <c r="G209" s="4" t="s">
        <v>572</v>
      </c>
      <c r="H209" s="4" t="s">
        <v>2084</v>
      </c>
      <c r="I209" s="5">
        <v>79200</v>
      </c>
      <c r="J209" s="3" t="s">
        <v>1333</v>
      </c>
      <c r="K209" s="3" t="s">
        <v>187</v>
      </c>
      <c r="L209" s="3" t="s">
        <v>196</v>
      </c>
      <c r="M209" s="4" t="s">
        <v>2084</v>
      </c>
      <c r="N209" s="3" t="s">
        <v>25</v>
      </c>
      <c r="O209" s="3"/>
      <c r="Q209" s="3"/>
      <c r="R209" s="3"/>
      <c r="Y209" s="4" t="s">
        <v>1616</v>
      </c>
      <c r="Z209" s="4" t="s">
        <v>1616</v>
      </c>
      <c r="AB209" s="3"/>
      <c r="AC209" s="3"/>
      <c r="AD209" s="3" t="s">
        <v>577</v>
      </c>
      <c r="AE209" s="3">
        <v>1000</v>
      </c>
      <c r="AI209" s="4" t="s">
        <v>1617</v>
      </c>
      <c r="AJ209" s="4" t="s">
        <v>1617</v>
      </c>
      <c r="AK209" s="3"/>
      <c r="AL209" s="4">
        <v>45868</v>
      </c>
      <c r="AM209" s="5">
        <v>79200</v>
      </c>
      <c r="AN209" s="4" t="s">
        <v>124</v>
      </c>
      <c r="AO209" s="4">
        <v>99</v>
      </c>
      <c r="AP209" s="4">
        <v>80101706</v>
      </c>
    </row>
    <row r="210" spans="1:42" s="4" customFormat="1" x14ac:dyDescent="0.25">
      <c r="A210" s="3">
        <v>4604620</v>
      </c>
      <c r="B210" s="28">
        <v>41831</v>
      </c>
      <c r="C210" s="3" t="s">
        <v>2083</v>
      </c>
      <c r="D210" s="3">
        <v>10004395</v>
      </c>
      <c r="E210" s="4">
        <v>4533971</v>
      </c>
      <c r="F210" s="3" t="s">
        <v>49</v>
      </c>
      <c r="G210" s="4" t="s">
        <v>2085</v>
      </c>
      <c r="H210" s="4" t="s">
        <v>2086</v>
      </c>
      <c r="I210" s="5">
        <v>24000</v>
      </c>
      <c r="J210" s="3" t="s">
        <v>1052</v>
      </c>
      <c r="K210" s="3" t="s">
        <v>77</v>
      </c>
      <c r="L210" s="3" t="s">
        <v>196</v>
      </c>
      <c r="M210" s="4" t="s">
        <v>2086</v>
      </c>
      <c r="N210" s="3" t="s">
        <v>25</v>
      </c>
      <c r="O210" s="3"/>
      <c r="Q210" s="3"/>
      <c r="R210" s="3"/>
      <c r="Y210" s="4" t="s">
        <v>1616</v>
      </c>
      <c r="Z210" s="4" t="s">
        <v>1616</v>
      </c>
      <c r="AB210" s="3"/>
      <c r="AC210" s="3"/>
      <c r="AD210" s="3" t="s">
        <v>1121</v>
      </c>
      <c r="AE210" s="3">
        <v>1000</v>
      </c>
      <c r="AI210" s="4" t="s">
        <v>1617</v>
      </c>
      <c r="AJ210" s="4" t="s">
        <v>1617</v>
      </c>
      <c r="AK210" s="3"/>
      <c r="AL210" s="4">
        <v>141774</v>
      </c>
      <c r="AM210" s="5">
        <v>24000</v>
      </c>
      <c r="AN210" s="4" t="s">
        <v>124</v>
      </c>
      <c r="AO210" s="4">
        <v>99</v>
      </c>
      <c r="AP210" s="4">
        <v>80101604</v>
      </c>
    </row>
    <row r="211" spans="1:42" s="4" customFormat="1" x14ac:dyDescent="0.25">
      <c r="A211" s="3">
        <v>4604621</v>
      </c>
      <c r="B211" s="28">
        <v>41831</v>
      </c>
      <c r="C211" s="3" t="s">
        <v>2083</v>
      </c>
      <c r="D211" s="3">
        <v>10004401</v>
      </c>
      <c r="E211" s="4">
        <v>4533972</v>
      </c>
      <c r="F211" s="3" t="s">
        <v>49</v>
      </c>
      <c r="G211" s="4" t="s">
        <v>2087</v>
      </c>
      <c r="I211" s="5">
        <v>4000</v>
      </c>
      <c r="J211" s="3" t="s">
        <v>1052</v>
      </c>
      <c r="K211" s="3" t="s">
        <v>77</v>
      </c>
      <c r="L211" s="3" t="s">
        <v>196</v>
      </c>
      <c r="M211" s="4" t="s">
        <v>2088</v>
      </c>
      <c r="N211" s="3" t="s">
        <v>25</v>
      </c>
      <c r="O211" s="3"/>
      <c r="Q211" s="3"/>
      <c r="R211" s="3"/>
      <c r="Y211" s="4" t="s">
        <v>1616</v>
      </c>
      <c r="Z211" s="4" t="s">
        <v>1616</v>
      </c>
      <c r="AB211" s="3"/>
      <c r="AC211" s="3"/>
      <c r="AD211" s="3" t="s">
        <v>301</v>
      </c>
      <c r="AE211" s="3">
        <v>1000</v>
      </c>
      <c r="AI211" s="4" t="s">
        <v>1617</v>
      </c>
      <c r="AJ211" s="4" t="s">
        <v>1617</v>
      </c>
      <c r="AK211" s="3"/>
      <c r="AL211" s="4">
        <v>141661</v>
      </c>
      <c r="AM211" s="5">
        <v>4000</v>
      </c>
      <c r="AN211" s="4" t="s">
        <v>124</v>
      </c>
    </row>
    <row r="212" spans="1:42" s="4" customFormat="1" x14ac:dyDescent="0.25">
      <c r="A212" s="3">
        <v>4604628</v>
      </c>
      <c r="B212" s="28">
        <v>41838</v>
      </c>
      <c r="C212" s="3" t="s">
        <v>2083</v>
      </c>
      <c r="D212" s="3">
        <v>10004421</v>
      </c>
      <c r="E212" s="4">
        <v>4533979</v>
      </c>
      <c r="F212" s="3" t="s">
        <v>49</v>
      </c>
      <c r="G212" s="4" t="s">
        <v>2090</v>
      </c>
      <c r="H212" s="4" t="s">
        <v>2091</v>
      </c>
      <c r="I212" s="5">
        <v>14850</v>
      </c>
      <c r="J212" s="3" t="s">
        <v>2089</v>
      </c>
      <c r="K212" s="3" t="s">
        <v>1568</v>
      </c>
      <c r="L212" s="3" t="s">
        <v>196</v>
      </c>
      <c r="M212" s="4" t="s">
        <v>2091</v>
      </c>
      <c r="N212" s="3" t="s">
        <v>25</v>
      </c>
      <c r="O212" s="3"/>
      <c r="Q212" s="3"/>
      <c r="R212" s="3"/>
      <c r="Y212" s="4" t="s">
        <v>1616</v>
      </c>
      <c r="Z212" s="4" t="s">
        <v>1616</v>
      </c>
      <c r="AB212" s="3"/>
      <c r="AC212" s="3"/>
      <c r="AD212" s="3" t="s">
        <v>258</v>
      </c>
      <c r="AE212" s="3">
        <v>1000</v>
      </c>
      <c r="AI212" s="4" t="s">
        <v>1617</v>
      </c>
      <c r="AJ212" s="4" t="s">
        <v>1617</v>
      </c>
      <c r="AK212" s="3"/>
      <c r="AL212" s="4">
        <v>141776</v>
      </c>
      <c r="AM212" s="5">
        <v>14850</v>
      </c>
      <c r="AN212" s="4" t="s">
        <v>124</v>
      </c>
      <c r="AO212" s="4">
        <v>99</v>
      </c>
      <c r="AP212" s="4">
        <v>80141609</v>
      </c>
    </row>
    <row r="213" spans="1:42" s="4" customFormat="1" x14ac:dyDescent="0.25">
      <c r="A213" s="3">
        <v>4604679</v>
      </c>
      <c r="B213" s="28">
        <v>41894</v>
      </c>
      <c r="C213" s="3" t="s">
        <v>2083</v>
      </c>
      <c r="D213" s="3">
        <v>10004469</v>
      </c>
      <c r="E213" s="4">
        <v>4534030</v>
      </c>
      <c r="F213" s="3" t="s">
        <v>49</v>
      </c>
      <c r="G213" s="4" t="s">
        <v>1378</v>
      </c>
      <c r="I213" s="5">
        <v>7392</v>
      </c>
      <c r="J213" s="3" t="s">
        <v>183</v>
      </c>
      <c r="K213" s="3" t="s">
        <v>291</v>
      </c>
      <c r="L213" s="3" t="s">
        <v>196</v>
      </c>
      <c r="M213" s="4" t="s">
        <v>2092</v>
      </c>
      <c r="N213" s="3" t="s">
        <v>56</v>
      </c>
      <c r="O213" s="3"/>
      <c r="Q213" s="3"/>
      <c r="R213" s="3"/>
      <c r="Y213" s="4" t="s">
        <v>1616</v>
      </c>
      <c r="Z213" s="4" t="s">
        <v>1616</v>
      </c>
      <c r="AB213" s="3"/>
      <c r="AC213" s="3"/>
      <c r="AD213" s="3" t="s">
        <v>1496</v>
      </c>
      <c r="AE213" s="3">
        <v>5000</v>
      </c>
      <c r="AI213" s="4" t="s">
        <v>1617</v>
      </c>
      <c r="AJ213" s="4" t="s">
        <v>1617</v>
      </c>
      <c r="AK213" s="3"/>
      <c r="AL213" s="4">
        <v>42337</v>
      </c>
      <c r="AM213" s="5">
        <v>7392</v>
      </c>
      <c r="AN213" s="4" t="s">
        <v>31</v>
      </c>
    </row>
    <row r="214" spans="1:42" s="4" customFormat="1" x14ac:dyDescent="0.25">
      <c r="A214" s="3">
        <v>4604704</v>
      </c>
      <c r="B214" s="28">
        <v>41957</v>
      </c>
      <c r="C214" s="3" t="s">
        <v>2093</v>
      </c>
      <c r="D214" s="3">
        <v>10004502</v>
      </c>
      <c r="E214" s="4">
        <v>4534055</v>
      </c>
      <c r="F214" s="3" t="s">
        <v>49</v>
      </c>
      <c r="G214" s="4" t="s">
        <v>2095</v>
      </c>
      <c r="H214" s="4" t="s">
        <v>2096</v>
      </c>
      <c r="I214" s="5">
        <v>78000</v>
      </c>
      <c r="J214" s="3" t="s">
        <v>2097</v>
      </c>
      <c r="K214" s="3" t="s">
        <v>2098</v>
      </c>
      <c r="L214" s="3" t="s">
        <v>196</v>
      </c>
      <c r="M214" s="4" t="s">
        <v>2096</v>
      </c>
      <c r="N214" s="3" t="s">
        <v>25</v>
      </c>
      <c r="O214" s="3"/>
      <c r="Q214" s="3"/>
      <c r="R214" s="3"/>
      <c r="Y214" s="4" t="s">
        <v>1616</v>
      </c>
      <c r="Z214" s="4" t="s">
        <v>1616</v>
      </c>
      <c r="AB214" s="3"/>
      <c r="AC214" s="3"/>
      <c r="AD214" s="3" t="s">
        <v>2099</v>
      </c>
      <c r="AE214" s="3">
        <v>1000</v>
      </c>
      <c r="AI214" s="4" t="s">
        <v>1617</v>
      </c>
      <c r="AJ214" s="4" t="s">
        <v>1617</v>
      </c>
      <c r="AK214" s="3"/>
      <c r="AL214" s="4">
        <v>141800</v>
      </c>
      <c r="AM214" s="5">
        <v>78000</v>
      </c>
      <c r="AN214" s="4" t="s">
        <v>124</v>
      </c>
      <c r="AO214" s="4">
        <v>99</v>
      </c>
      <c r="AP214" s="4">
        <v>80101706</v>
      </c>
    </row>
    <row r="215" spans="1:42" s="4" customFormat="1" x14ac:dyDescent="0.25">
      <c r="A215" s="3">
        <v>4604716</v>
      </c>
      <c r="B215" s="28">
        <v>42062</v>
      </c>
      <c r="C215" s="3" t="s">
        <v>2093</v>
      </c>
      <c r="D215" s="3">
        <v>10004507</v>
      </c>
      <c r="E215" s="4">
        <v>4534067</v>
      </c>
      <c r="F215" s="3" t="s">
        <v>49</v>
      </c>
      <c r="G215" s="4" t="s">
        <v>572</v>
      </c>
      <c r="H215" s="4" t="s">
        <v>2101</v>
      </c>
      <c r="I215" s="5">
        <v>250000</v>
      </c>
      <c r="J215" s="3" t="s">
        <v>783</v>
      </c>
      <c r="K215" s="3" t="s">
        <v>480</v>
      </c>
      <c r="L215" s="3" t="s">
        <v>196</v>
      </c>
      <c r="M215" s="4" t="s">
        <v>2102</v>
      </c>
      <c r="N215" s="3" t="s">
        <v>25</v>
      </c>
      <c r="O215" s="3"/>
      <c r="Q215" s="3"/>
      <c r="R215" s="3"/>
      <c r="Y215" s="4" t="s">
        <v>1616</v>
      </c>
      <c r="Z215" s="4" t="s">
        <v>1616</v>
      </c>
      <c r="AB215" s="3"/>
      <c r="AC215" s="3"/>
      <c r="AD215" s="3" t="s">
        <v>2099</v>
      </c>
      <c r="AE215" s="3">
        <v>1000</v>
      </c>
      <c r="AI215" s="4" t="s">
        <v>1617</v>
      </c>
      <c r="AJ215" s="4" t="s">
        <v>1617</v>
      </c>
      <c r="AK215" s="3"/>
      <c r="AL215" s="4">
        <v>45868</v>
      </c>
      <c r="AM215" s="5">
        <v>250000</v>
      </c>
      <c r="AN215" s="4" t="s">
        <v>124</v>
      </c>
      <c r="AO215" s="4">
        <v>99</v>
      </c>
      <c r="AP215" s="4">
        <v>80101706</v>
      </c>
    </row>
    <row r="216" spans="1:42" s="4" customFormat="1" x14ac:dyDescent="0.25">
      <c r="A216" s="3">
        <v>4604717</v>
      </c>
      <c r="B216" s="28">
        <v>42090</v>
      </c>
      <c r="C216" s="3" t="s">
        <v>2093</v>
      </c>
      <c r="D216" s="3">
        <v>10004514</v>
      </c>
      <c r="E216" s="4">
        <v>4534068</v>
      </c>
      <c r="F216" s="3" t="s">
        <v>49</v>
      </c>
      <c r="G216" s="4" t="s">
        <v>648</v>
      </c>
      <c r="H216" s="4" t="s">
        <v>2103</v>
      </c>
      <c r="I216" s="5">
        <v>80000</v>
      </c>
      <c r="J216" s="3" t="s">
        <v>832</v>
      </c>
      <c r="K216" s="3" t="s">
        <v>1704</v>
      </c>
      <c r="L216" s="3" t="s">
        <v>196</v>
      </c>
      <c r="M216" s="4" t="s">
        <v>2103</v>
      </c>
      <c r="N216" s="3" t="s">
        <v>25</v>
      </c>
      <c r="O216" s="3"/>
      <c r="Q216" s="3"/>
      <c r="R216" s="3"/>
      <c r="Y216" s="4" t="s">
        <v>1616</v>
      </c>
      <c r="Z216" s="4" t="s">
        <v>1616</v>
      </c>
      <c r="AB216" s="3"/>
      <c r="AC216" s="3"/>
      <c r="AD216" s="3" t="s">
        <v>2099</v>
      </c>
      <c r="AE216" s="3">
        <v>1000</v>
      </c>
      <c r="AI216" s="4" t="s">
        <v>1617</v>
      </c>
      <c r="AJ216" s="4" t="s">
        <v>1617</v>
      </c>
      <c r="AK216" s="3"/>
      <c r="AL216" s="4">
        <v>45889</v>
      </c>
      <c r="AM216" s="5">
        <v>80000</v>
      </c>
      <c r="AN216" s="4" t="s">
        <v>124</v>
      </c>
      <c r="AO216" s="4">
        <v>99</v>
      </c>
      <c r="AP216" s="4">
        <v>80101706</v>
      </c>
    </row>
    <row r="217" spans="1:42" s="4" customFormat="1" x14ac:dyDescent="0.25">
      <c r="A217" s="3">
        <v>4604847</v>
      </c>
      <c r="B217" s="28">
        <v>42032</v>
      </c>
      <c r="C217" s="3" t="s">
        <v>2093</v>
      </c>
      <c r="D217" s="3">
        <v>10004652</v>
      </c>
      <c r="E217" s="4">
        <v>4534198</v>
      </c>
      <c r="F217" s="3" t="s">
        <v>49</v>
      </c>
      <c r="G217" s="4" t="s">
        <v>2107</v>
      </c>
      <c r="H217" s="4" t="s">
        <v>2108</v>
      </c>
      <c r="I217" s="5">
        <v>11550</v>
      </c>
      <c r="J217" s="3" t="s">
        <v>457</v>
      </c>
      <c r="K217" s="3" t="s">
        <v>1835</v>
      </c>
      <c r="L217" s="3" t="s">
        <v>196</v>
      </c>
      <c r="M217" s="4" t="s">
        <v>2108</v>
      </c>
      <c r="N217" s="3" t="s">
        <v>25</v>
      </c>
      <c r="O217" s="3"/>
      <c r="Q217" s="3"/>
      <c r="R217" s="3"/>
      <c r="Y217" s="4" t="s">
        <v>1616</v>
      </c>
      <c r="Z217" s="4" t="s">
        <v>1616</v>
      </c>
      <c r="AB217" s="3"/>
      <c r="AC217" s="3"/>
      <c r="AD217" s="3" t="s">
        <v>959</v>
      </c>
      <c r="AE217" s="3">
        <v>1000</v>
      </c>
      <c r="AI217" s="4" t="s">
        <v>1617</v>
      </c>
      <c r="AJ217" s="4" t="s">
        <v>1617</v>
      </c>
      <c r="AK217" s="3"/>
      <c r="AL217" s="4">
        <v>141855</v>
      </c>
      <c r="AM217" s="5">
        <v>11550</v>
      </c>
      <c r="AN217" s="4" t="s">
        <v>124</v>
      </c>
      <c r="AO217" s="4">
        <v>99</v>
      </c>
      <c r="AP217" s="4">
        <v>80101706</v>
      </c>
    </row>
    <row r="218" spans="1:42" s="4" customFormat="1" x14ac:dyDescent="0.25">
      <c r="A218" s="3">
        <v>4604934</v>
      </c>
      <c r="B218" s="28">
        <v>42244</v>
      </c>
      <c r="C218" s="3" t="s">
        <v>2093</v>
      </c>
      <c r="D218" s="3">
        <v>10004757</v>
      </c>
      <c r="E218" s="4">
        <v>4534285</v>
      </c>
      <c r="F218" s="3" t="s">
        <v>49</v>
      </c>
      <c r="G218" s="4" t="s">
        <v>572</v>
      </c>
      <c r="H218" s="4" t="s">
        <v>2125</v>
      </c>
      <c r="I218" s="5">
        <v>140000</v>
      </c>
      <c r="J218" s="3" t="s">
        <v>500</v>
      </c>
      <c r="K218" s="3" t="s">
        <v>1727</v>
      </c>
      <c r="L218" s="3" t="s">
        <v>196</v>
      </c>
      <c r="M218" s="4" t="s">
        <v>2125</v>
      </c>
      <c r="N218" s="3" t="s">
        <v>25</v>
      </c>
      <c r="O218" s="3"/>
      <c r="Q218" s="3"/>
      <c r="R218" s="3"/>
      <c r="Y218" s="4" t="s">
        <v>1616</v>
      </c>
      <c r="Z218" s="4" t="s">
        <v>1616</v>
      </c>
      <c r="AA218" s="4" t="s">
        <v>2124</v>
      </c>
      <c r="AB218" s="3"/>
      <c r="AC218" s="3"/>
      <c r="AD218" s="3" t="s">
        <v>472</v>
      </c>
      <c r="AE218" s="3">
        <v>1000</v>
      </c>
      <c r="AI218" s="4" t="s">
        <v>1617</v>
      </c>
      <c r="AJ218" s="4" t="s">
        <v>1617</v>
      </c>
      <c r="AK218" s="3"/>
      <c r="AL218" s="4">
        <v>45868</v>
      </c>
      <c r="AM218" s="5">
        <v>140000</v>
      </c>
      <c r="AN218" s="4" t="s">
        <v>124</v>
      </c>
      <c r="AO218" s="4">
        <v>99</v>
      </c>
      <c r="AP218" s="4">
        <v>80101706</v>
      </c>
    </row>
    <row r="219" spans="1:42" s="4" customFormat="1" x14ac:dyDescent="0.25">
      <c r="A219" s="3">
        <v>4604935</v>
      </c>
      <c r="B219" s="28">
        <v>42103</v>
      </c>
      <c r="C219" s="3" t="s">
        <v>2093</v>
      </c>
      <c r="D219" s="3">
        <v>10004741</v>
      </c>
      <c r="E219" s="4">
        <v>4534286</v>
      </c>
      <c r="F219" s="3" t="s">
        <v>49</v>
      </c>
      <c r="G219" s="4" t="s">
        <v>2126</v>
      </c>
      <c r="H219" s="4" t="s">
        <v>2127</v>
      </c>
      <c r="I219" s="5">
        <v>117000</v>
      </c>
      <c r="J219" s="3" t="s">
        <v>1136</v>
      </c>
      <c r="K219" s="3" t="s">
        <v>2128</v>
      </c>
      <c r="L219" s="3" t="s">
        <v>196</v>
      </c>
      <c r="M219" s="4" t="s">
        <v>2127</v>
      </c>
      <c r="N219" s="3" t="s">
        <v>25</v>
      </c>
      <c r="O219" s="3"/>
      <c r="Q219" s="3"/>
      <c r="R219" s="3"/>
      <c r="Y219" s="4" t="s">
        <v>2129</v>
      </c>
      <c r="Z219" s="4" t="s">
        <v>112</v>
      </c>
      <c r="AA219" s="4" t="s">
        <v>2130</v>
      </c>
      <c r="AB219" s="3"/>
      <c r="AC219" s="3"/>
      <c r="AD219" s="3" t="s">
        <v>2131</v>
      </c>
      <c r="AE219" s="3">
        <v>1000</v>
      </c>
      <c r="AI219" s="4" t="s">
        <v>2132</v>
      </c>
      <c r="AJ219" s="4" t="s">
        <v>115</v>
      </c>
      <c r="AK219" s="3"/>
      <c r="AL219" s="4">
        <v>141617</v>
      </c>
      <c r="AM219" s="5">
        <v>117000</v>
      </c>
      <c r="AN219" s="4" t="s">
        <v>124</v>
      </c>
      <c r="AO219" s="4">
        <v>99</v>
      </c>
      <c r="AP219" s="4">
        <v>80110000</v>
      </c>
    </row>
    <row r="220" spans="1:42" s="4" customFormat="1" x14ac:dyDescent="0.25">
      <c r="A220" s="3">
        <v>4604941</v>
      </c>
      <c r="B220" s="28">
        <v>42111</v>
      </c>
      <c r="C220" s="3" t="s">
        <v>2093</v>
      </c>
      <c r="D220" s="3">
        <v>10004729</v>
      </c>
      <c r="E220" s="4">
        <v>4534292</v>
      </c>
      <c r="F220" s="3" t="s">
        <v>49</v>
      </c>
      <c r="G220" s="4" t="s">
        <v>572</v>
      </c>
      <c r="H220" s="4" t="s">
        <v>2133</v>
      </c>
      <c r="I220" s="5">
        <v>36000</v>
      </c>
      <c r="J220" s="3" t="s">
        <v>513</v>
      </c>
      <c r="K220" s="3" t="s">
        <v>516</v>
      </c>
      <c r="L220" s="3" t="s">
        <v>196</v>
      </c>
      <c r="M220" s="4" t="s">
        <v>2133</v>
      </c>
      <c r="N220" s="3" t="s">
        <v>25</v>
      </c>
      <c r="O220" s="3"/>
      <c r="Q220" s="3"/>
      <c r="R220" s="3"/>
      <c r="Y220" s="4" t="s">
        <v>933</v>
      </c>
      <c r="Z220" s="4" t="s">
        <v>933</v>
      </c>
      <c r="AB220" s="3"/>
      <c r="AC220" s="3"/>
      <c r="AD220" s="3" t="s">
        <v>2134</v>
      </c>
      <c r="AE220" s="3">
        <v>1000</v>
      </c>
      <c r="AI220" s="4" t="s">
        <v>934</v>
      </c>
      <c r="AJ220" s="4" t="s">
        <v>934</v>
      </c>
      <c r="AK220" s="3"/>
      <c r="AL220" s="4">
        <v>45868</v>
      </c>
      <c r="AM220" s="5">
        <v>36000</v>
      </c>
      <c r="AN220" s="4" t="s">
        <v>124</v>
      </c>
      <c r="AO220" s="4">
        <v>99</v>
      </c>
      <c r="AP220" s="4">
        <v>80101507</v>
      </c>
    </row>
    <row r="221" spans="1:42" s="4" customFormat="1" x14ac:dyDescent="0.25">
      <c r="A221" s="3">
        <v>4604943</v>
      </c>
      <c r="B221" s="28">
        <v>42181</v>
      </c>
      <c r="C221" s="3" t="s">
        <v>2093</v>
      </c>
      <c r="D221" s="3">
        <v>10004762</v>
      </c>
      <c r="E221" s="4">
        <v>4534294</v>
      </c>
      <c r="F221" s="3" t="s">
        <v>49</v>
      </c>
      <c r="G221" s="4" t="s">
        <v>2135</v>
      </c>
      <c r="H221" s="4" t="s">
        <v>2136</v>
      </c>
      <c r="I221" s="5">
        <v>18700</v>
      </c>
      <c r="J221" s="3" t="s">
        <v>441</v>
      </c>
      <c r="K221" s="3" t="s">
        <v>439</v>
      </c>
      <c r="L221" s="3" t="s">
        <v>196</v>
      </c>
      <c r="M221" s="4" t="s">
        <v>2137</v>
      </c>
      <c r="N221" s="3" t="s">
        <v>25</v>
      </c>
      <c r="O221" s="3"/>
      <c r="Q221" s="3"/>
      <c r="R221" s="3"/>
      <c r="Y221" s="4" t="s">
        <v>1616</v>
      </c>
      <c r="Z221" s="4" t="s">
        <v>1616</v>
      </c>
      <c r="AA221" s="4" t="s">
        <v>1647</v>
      </c>
      <c r="AB221" s="3"/>
      <c r="AC221" s="3"/>
      <c r="AD221" s="3" t="s">
        <v>2138</v>
      </c>
      <c r="AE221" s="3">
        <v>1000</v>
      </c>
      <c r="AI221" s="4" t="s">
        <v>1617</v>
      </c>
      <c r="AJ221" s="4" t="s">
        <v>1617</v>
      </c>
      <c r="AK221" s="3"/>
      <c r="AL221" s="4">
        <v>141819</v>
      </c>
      <c r="AM221" s="5">
        <v>18700</v>
      </c>
      <c r="AN221" s="4" t="s">
        <v>124</v>
      </c>
      <c r="AO221" s="4">
        <v>99</v>
      </c>
      <c r="AP221" s="4">
        <v>80101706</v>
      </c>
    </row>
    <row r="222" spans="1:42" s="4" customFormat="1" x14ac:dyDescent="0.25">
      <c r="A222" s="3">
        <v>4605033</v>
      </c>
      <c r="B222" s="28">
        <v>42173</v>
      </c>
      <c r="C222" s="3" t="s">
        <v>2093</v>
      </c>
      <c r="D222" s="3">
        <v>10004864</v>
      </c>
      <c r="E222" s="4">
        <v>4534384</v>
      </c>
      <c r="F222" s="3" t="s">
        <v>49</v>
      </c>
      <c r="G222" s="4" t="s">
        <v>572</v>
      </c>
      <c r="H222" s="4" t="s">
        <v>2139</v>
      </c>
      <c r="I222" s="5">
        <v>11000</v>
      </c>
      <c r="J222" s="3" t="s">
        <v>485</v>
      </c>
      <c r="K222" s="3" t="s">
        <v>2140</v>
      </c>
      <c r="L222" s="3" t="s">
        <v>196</v>
      </c>
      <c r="M222" s="4" t="s">
        <v>2139</v>
      </c>
      <c r="N222" s="3" t="s">
        <v>25</v>
      </c>
      <c r="O222" s="3"/>
      <c r="Q222" s="3"/>
      <c r="R222" s="3"/>
      <c r="Y222" s="4" t="s">
        <v>112</v>
      </c>
      <c r="Z222" s="4" t="s">
        <v>112</v>
      </c>
      <c r="AB222" s="3"/>
      <c r="AC222" s="3"/>
      <c r="AD222" s="3" t="s">
        <v>369</v>
      </c>
      <c r="AE222" s="3">
        <v>1000</v>
      </c>
      <c r="AI222" s="4" t="s">
        <v>115</v>
      </c>
      <c r="AJ222" s="4" t="s">
        <v>115</v>
      </c>
      <c r="AK222" s="3"/>
      <c r="AL222" s="4">
        <v>45868</v>
      </c>
      <c r="AM222" s="5">
        <v>11000</v>
      </c>
      <c r="AN222" s="4" t="s">
        <v>124</v>
      </c>
      <c r="AO222" s="4">
        <v>99</v>
      </c>
      <c r="AP222" s="4">
        <v>80101505</v>
      </c>
    </row>
    <row r="223" spans="1:42" s="4" customFormat="1" x14ac:dyDescent="0.25">
      <c r="A223" s="3">
        <v>4605036</v>
      </c>
      <c r="B223" s="28">
        <v>42185</v>
      </c>
      <c r="C223" s="3" t="s">
        <v>2093</v>
      </c>
      <c r="D223" s="3">
        <v>10004890</v>
      </c>
      <c r="E223" s="4">
        <v>4534387</v>
      </c>
      <c r="F223" s="3" t="s">
        <v>49</v>
      </c>
      <c r="G223" s="4" t="s">
        <v>2141</v>
      </c>
      <c r="H223" s="4" t="s">
        <v>2142</v>
      </c>
      <c r="I223" s="5">
        <v>20000</v>
      </c>
      <c r="J223" s="3" t="s">
        <v>485</v>
      </c>
      <c r="K223" s="3" t="s">
        <v>77</v>
      </c>
      <c r="L223" s="3" t="s">
        <v>196</v>
      </c>
      <c r="M223" s="4" t="s">
        <v>2142</v>
      </c>
      <c r="N223" s="3" t="s">
        <v>25</v>
      </c>
      <c r="O223" s="3"/>
      <c r="Q223" s="3"/>
      <c r="R223" s="3"/>
      <c r="Y223" s="4" t="s">
        <v>1616</v>
      </c>
      <c r="Z223" s="4" t="s">
        <v>1616</v>
      </c>
      <c r="AA223" s="4" t="s">
        <v>2143</v>
      </c>
      <c r="AB223" s="3"/>
      <c r="AC223" s="3"/>
      <c r="AD223" s="3" t="s">
        <v>351</v>
      </c>
      <c r="AE223" s="3">
        <v>1000</v>
      </c>
      <c r="AI223" s="4" t="s">
        <v>1617</v>
      </c>
      <c r="AJ223" s="4" t="s">
        <v>1617</v>
      </c>
      <c r="AK223" s="3"/>
      <c r="AL223" s="4">
        <v>30218</v>
      </c>
      <c r="AM223" s="5">
        <v>20000</v>
      </c>
      <c r="AN223" s="4" t="s">
        <v>124</v>
      </c>
      <c r="AO223" s="4">
        <v>99</v>
      </c>
      <c r="AP223" s="4">
        <v>80101706</v>
      </c>
    </row>
    <row r="224" spans="1:42" s="4" customFormat="1" x14ac:dyDescent="0.25">
      <c r="A224" s="3">
        <v>4604584</v>
      </c>
      <c r="B224" s="28">
        <v>41822</v>
      </c>
      <c r="C224" s="3" t="s">
        <v>2145</v>
      </c>
      <c r="D224" s="3">
        <v>10004368</v>
      </c>
      <c r="E224" s="4">
        <v>4533935</v>
      </c>
      <c r="F224" s="3" t="s">
        <v>49</v>
      </c>
      <c r="G224" s="4" t="s">
        <v>453</v>
      </c>
      <c r="H224" s="4" t="s">
        <v>2146</v>
      </c>
      <c r="I224" s="5">
        <v>16500</v>
      </c>
      <c r="J224" s="3" t="s">
        <v>416</v>
      </c>
      <c r="K224" s="3" t="s">
        <v>2147</v>
      </c>
      <c r="L224" s="3" t="s">
        <v>196</v>
      </c>
      <c r="M224" s="4" t="s">
        <v>2146</v>
      </c>
      <c r="N224" s="3" t="s">
        <v>25</v>
      </c>
      <c r="O224" s="3"/>
      <c r="Q224" s="3"/>
      <c r="R224" s="3"/>
      <c r="Y224" s="4" t="s">
        <v>2148</v>
      </c>
      <c r="Z224" s="4" t="s">
        <v>2148</v>
      </c>
      <c r="AB224" s="3"/>
      <c r="AC224" s="3"/>
      <c r="AD224" s="3" t="s">
        <v>627</v>
      </c>
      <c r="AE224" s="3">
        <v>1000</v>
      </c>
      <c r="AI224" s="4" t="s">
        <v>2149</v>
      </c>
      <c r="AJ224" s="4" t="s">
        <v>2149</v>
      </c>
      <c r="AK224" s="3"/>
      <c r="AL224" s="4">
        <v>47630</v>
      </c>
      <c r="AM224" s="5">
        <v>16500</v>
      </c>
      <c r="AN224" s="4" t="s">
        <v>124</v>
      </c>
      <c r="AO224" s="4">
        <v>99</v>
      </c>
      <c r="AP224" s="4">
        <v>86000000</v>
      </c>
    </row>
    <row r="225" spans="1:42" s="4" customFormat="1" x14ac:dyDescent="0.25">
      <c r="A225" s="3">
        <v>4604399</v>
      </c>
      <c r="B225" s="28">
        <v>41726</v>
      </c>
      <c r="C225" s="3" t="s">
        <v>2158</v>
      </c>
      <c r="D225" s="3">
        <v>10004183</v>
      </c>
      <c r="E225" s="4">
        <v>4533750</v>
      </c>
      <c r="F225" s="3" t="s">
        <v>49</v>
      </c>
      <c r="G225" s="4" t="s">
        <v>329</v>
      </c>
      <c r="H225" s="4" t="s">
        <v>2186</v>
      </c>
      <c r="I225" s="5">
        <v>265158.3</v>
      </c>
      <c r="J225" s="3" t="s">
        <v>2185</v>
      </c>
      <c r="K225" s="3" t="s">
        <v>1704</v>
      </c>
      <c r="L225" s="3" t="s">
        <v>196</v>
      </c>
      <c r="M225" s="4" t="s">
        <v>2186</v>
      </c>
      <c r="N225" s="3" t="s">
        <v>25</v>
      </c>
      <c r="O225" s="3"/>
      <c r="Q225" s="3"/>
      <c r="R225" s="3"/>
      <c r="Y225" s="4" t="s">
        <v>2187</v>
      </c>
      <c r="Z225" s="4" t="s">
        <v>2187</v>
      </c>
      <c r="AB225" s="3"/>
      <c r="AC225" s="3"/>
      <c r="AD225" s="3" t="s">
        <v>1318</v>
      </c>
      <c r="AE225" s="3">
        <v>1000</v>
      </c>
      <c r="AI225" s="4" t="s">
        <v>2188</v>
      </c>
      <c r="AJ225" s="4" t="s">
        <v>2188</v>
      </c>
      <c r="AK225" s="3"/>
      <c r="AL225" s="4">
        <v>42575</v>
      </c>
      <c r="AM225" s="5">
        <v>265158.3</v>
      </c>
      <c r="AN225" s="4" t="s">
        <v>124</v>
      </c>
      <c r="AO225" s="4">
        <v>99</v>
      </c>
      <c r="AP225" s="4">
        <v>81112200</v>
      </c>
    </row>
    <row r="226" spans="1:42" s="4" customFormat="1" x14ac:dyDescent="0.25">
      <c r="A226" s="3">
        <v>4604435</v>
      </c>
      <c r="B226" s="28">
        <v>41704</v>
      </c>
      <c r="C226" s="3" t="s">
        <v>2158</v>
      </c>
      <c r="D226" s="3">
        <v>10004224</v>
      </c>
      <c r="E226" s="4">
        <v>4533786</v>
      </c>
      <c r="F226" s="3" t="s">
        <v>49</v>
      </c>
      <c r="G226" s="4" t="s">
        <v>2196</v>
      </c>
      <c r="H226" s="4" t="s">
        <v>2197</v>
      </c>
      <c r="I226" s="5">
        <v>15000</v>
      </c>
      <c r="J226" s="3" t="s">
        <v>2195</v>
      </c>
      <c r="K226" s="3" t="s">
        <v>223</v>
      </c>
      <c r="L226" s="3" t="s">
        <v>196</v>
      </c>
      <c r="M226" s="4" t="s">
        <v>2197</v>
      </c>
      <c r="N226" s="3" t="s">
        <v>25</v>
      </c>
      <c r="O226" s="3" t="s">
        <v>139</v>
      </c>
      <c r="P226" s="4" t="s">
        <v>140</v>
      </c>
      <c r="Q226" s="3"/>
      <c r="R226" s="3"/>
      <c r="Y226" s="4" t="s">
        <v>307</v>
      </c>
      <c r="Z226" s="4" t="s">
        <v>307</v>
      </c>
      <c r="AB226" s="3"/>
      <c r="AC226" s="3"/>
      <c r="AD226" s="3" t="s">
        <v>1601</v>
      </c>
      <c r="AE226" s="3">
        <v>1000</v>
      </c>
      <c r="AI226" s="4" t="s">
        <v>309</v>
      </c>
      <c r="AJ226" s="4" t="s">
        <v>309</v>
      </c>
      <c r="AK226" s="3" t="s">
        <v>143</v>
      </c>
      <c r="AL226" s="4">
        <v>141718</v>
      </c>
      <c r="AM226" s="5">
        <v>15000</v>
      </c>
      <c r="AN226" s="4" t="s">
        <v>124</v>
      </c>
      <c r="AO226" s="4">
        <v>99</v>
      </c>
      <c r="AP226" s="4">
        <v>80100000</v>
      </c>
    </row>
    <row r="227" spans="1:42" s="4" customFormat="1" x14ac:dyDescent="0.25">
      <c r="A227" s="3">
        <v>4604437</v>
      </c>
      <c r="B227" s="28">
        <v>41710</v>
      </c>
      <c r="C227" s="3" t="s">
        <v>2158</v>
      </c>
      <c r="D227" s="3">
        <v>10004226</v>
      </c>
      <c r="E227" s="4">
        <v>4533788</v>
      </c>
      <c r="F227" s="3" t="s">
        <v>49</v>
      </c>
      <c r="G227" s="4" t="s">
        <v>2199</v>
      </c>
      <c r="H227" s="4" t="s">
        <v>2200</v>
      </c>
      <c r="I227" s="5">
        <v>57250</v>
      </c>
      <c r="J227" s="3" t="s">
        <v>2198</v>
      </c>
      <c r="K227" s="3" t="s">
        <v>223</v>
      </c>
      <c r="L227" s="3" t="s">
        <v>196</v>
      </c>
      <c r="M227" s="4" t="s">
        <v>2201</v>
      </c>
      <c r="N227" s="3" t="s">
        <v>25</v>
      </c>
      <c r="O227" s="3" t="s">
        <v>139</v>
      </c>
      <c r="P227" s="4" t="s">
        <v>282</v>
      </c>
      <c r="Q227" s="3" t="s">
        <v>139</v>
      </c>
      <c r="R227" s="3" t="s">
        <v>427</v>
      </c>
      <c r="S227" s="4" t="s">
        <v>428</v>
      </c>
      <c r="U227" s="4" t="s">
        <v>139</v>
      </c>
      <c r="V227" s="4" t="s">
        <v>427</v>
      </c>
      <c r="W227" s="4" t="s">
        <v>428</v>
      </c>
      <c r="Y227" s="4" t="s">
        <v>307</v>
      </c>
      <c r="Z227" s="4" t="s">
        <v>307</v>
      </c>
      <c r="AB227" s="3"/>
      <c r="AC227" s="3"/>
      <c r="AD227" s="3" t="s">
        <v>1543</v>
      </c>
      <c r="AE227" s="3">
        <v>1000</v>
      </c>
      <c r="AI227" s="4" t="s">
        <v>309</v>
      </c>
      <c r="AJ227" s="4" t="s">
        <v>309</v>
      </c>
      <c r="AK227" s="3" t="s">
        <v>286</v>
      </c>
      <c r="AL227" s="4">
        <v>141720</v>
      </c>
      <c r="AM227" s="5">
        <v>57250</v>
      </c>
      <c r="AN227" s="4" t="s">
        <v>124</v>
      </c>
      <c r="AO227" s="4">
        <v>99</v>
      </c>
      <c r="AP227" s="4">
        <v>80100000</v>
      </c>
    </row>
    <row r="228" spans="1:42" s="4" customFormat="1" x14ac:dyDescent="0.25">
      <c r="A228" s="3">
        <v>4604456</v>
      </c>
      <c r="B228" s="28">
        <v>41820</v>
      </c>
      <c r="C228" s="3" t="s">
        <v>2158</v>
      </c>
      <c r="D228" s="3">
        <v>10004224</v>
      </c>
      <c r="E228" s="4">
        <v>4533807</v>
      </c>
      <c r="F228" s="3" t="s">
        <v>49</v>
      </c>
      <c r="G228" s="4" t="s">
        <v>2202</v>
      </c>
      <c r="H228" s="4" t="s">
        <v>2197</v>
      </c>
      <c r="I228" s="5">
        <v>22500</v>
      </c>
      <c r="J228" s="3" t="s">
        <v>2195</v>
      </c>
      <c r="K228" s="3" t="s">
        <v>223</v>
      </c>
      <c r="L228" s="3" t="s">
        <v>196</v>
      </c>
      <c r="M228" s="4" t="s">
        <v>2197</v>
      </c>
      <c r="N228" s="3" t="s">
        <v>25</v>
      </c>
      <c r="O228" s="3" t="s">
        <v>139</v>
      </c>
      <c r="P228" s="4" t="s">
        <v>140</v>
      </c>
      <c r="Q228" s="3"/>
      <c r="R228" s="3"/>
      <c r="Y228" s="4" t="s">
        <v>307</v>
      </c>
      <c r="Z228" s="4" t="s">
        <v>307</v>
      </c>
      <c r="AB228" s="3"/>
      <c r="AC228" s="3"/>
      <c r="AD228" s="3" t="s">
        <v>1601</v>
      </c>
      <c r="AE228" s="3">
        <v>1000</v>
      </c>
      <c r="AI228" s="4" t="s">
        <v>309</v>
      </c>
      <c r="AJ228" s="4" t="s">
        <v>309</v>
      </c>
      <c r="AK228" s="3" t="s">
        <v>143</v>
      </c>
      <c r="AL228" s="4">
        <v>141726</v>
      </c>
      <c r="AM228" s="5">
        <v>22500</v>
      </c>
      <c r="AN228" s="4" t="s">
        <v>124</v>
      </c>
      <c r="AO228" s="4">
        <v>99</v>
      </c>
      <c r="AP228" s="4">
        <v>80100000</v>
      </c>
    </row>
    <row r="229" spans="1:42" s="4" customFormat="1" x14ac:dyDescent="0.25">
      <c r="A229" s="3">
        <v>4604466</v>
      </c>
      <c r="B229" s="28">
        <v>41820</v>
      </c>
      <c r="C229" s="3" t="s">
        <v>2158</v>
      </c>
      <c r="D229" s="3">
        <v>10004224</v>
      </c>
      <c r="E229" s="4">
        <v>4533817</v>
      </c>
      <c r="F229" s="3" t="s">
        <v>49</v>
      </c>
      <c r="G229" s="4" t="s">
        <v>2203</v>
      </c>
      <c r="H229" s="4" t="s">
        <v>2197</v>
      </c>
      <c r="I229" s="5">
        <v>22500</v>
      </c>
      <c r="J229" s="3" t="s">
        <v>2195</v>
      </c>
      <c r="K229" s="3" t="s">
        <v>223</v>
      </c>
      <c r="L229" s="3" t="s">
        <v>196</v>
      </c>
      <c r="M229" s="4" t="s">
        <v>2197</v>
      </c>
      <c r="N229" s="3" t="s">
        <v>25</v>
      </c>
      <c r="O229" s="3" t="s">
        <v>139</v>
      </c>
      <c r="P229" s="4" t="s">
        <v>140</v>
      </c>
      <c r="Q229" s="3"/>
      <c r="R229" s="3"/>
      <c r="Y229" s="4" t="s">
        <v>307</v>
      </c>
      <c r="Z229" s="4" t="s">
        <v>307</v>
      </c>
      <c r="AB229" s="3"/>
      <c r="AC229" s="3"/>
      <c r="AD229" s="3" t="s">
        <v>1601</v>
      </c>
      <c r="AE229" s="3">
        <v>1000</v>
      </c>
      <c r="AI229" s="4" t="s">
        <v>309</v>
      </c>
      <c r="AJ229" s="4" t="s">
        <v>309</v>
      </c>
      <c r="AK229" s="3" t="s">
        <v>143</v>
      </c>
      <c r="AL229" s="4">
        <v>141732</v>
      </c>
      <c r="AM229" s="5">
        <v>22500</v>
      </c>
      <c r="AN229" s="4" t="s">
        <v>124</v>
      </c>
      <c r="AO229" s="4">
        <v>99</v>
      </c>
      <c r="AP229" s="4">
        <v>80100000</v>
      </c>
    </row>
    <row r="230" spans="1:42" s="4" customFormat="1" x14ac:dyDescent="0.25">
      <c r="A230" s="3">
        <v>4604593</v>
      </c>
      <c r="B230" s="28">
        <v>41820</v>
      </c>
      <c r="C230" s="3" t="s">
        <v>2158</v>
      </c>
      <c r="D230" s="3">
        <v>10004373</v>
      </c>
      <c r="E230" s="4">
        <v>4533944</v>
      </c>
      <c r="F230" s="3" t="s">
        <v>49</v>
      </c>
      <c r="G230" s="4" t="s">
        <v>2205</v>
      </c>
      <c r="H230" s="4" t="s">
        <v>2206</v>
      </c>
      <c r="I230" s="5">
        <v>10000</v>
      </c>
      <c r="J230" s="3" t="s">
        <v>200</v>
      </c>
      <c r="K230" s="3" t="s">
        <v>1543</v>
      </c>
      <c r="L230" s="3" t="s">
        <v>196</v>
      </c>
      <c r="M230" s="4" t="s">
        <v>2206</v>
      </c>
      <c r="N230" s="3" t="s">
        <v>25</v>
      </c>
      <c r="O230" s="3" t="s">
        <v>139</v>
      </c>
      <c r="P230" s="4" t="s">
        <v>2207</v>
      </c>
      <c r="Q230" s="3"/>
      <c r="R230" s="3"/>
      <c r="Y230" s="4" t="s">
        <v>2208</v>
      </c>
      <c r="Z230" s="4" t="s">
        <v>2208</v>
      </c>
      <c r="AB230" s="3"/>
      <c r="AC230" s="3"/>
      <c r="AD230" s="3" t="s">
        <v>223</v>
      </c>
      <c r="AE230" s="3">
        <v>1000</v>
      </c>
      <c r="AI230" s="4" t="s">
        <v>2209</v>
      </c>
      <c r="AJ230" s="4" t="s">
        <v>2209</v>
      </c>
      <c r="AK230" s="3" t="s">
        <v>2210</v>
      </c>
      <c r="AL230" s="4">
        <v>141765</v>
      </c>
      <c r="AM230" s="5">
        <v>10000</v>
      </c>
      <c r="AN230" s="4" t="s">
        <v>124</v>
      </c>
      <c r="AO230" s="4">
        <v>99</v>
      </c>
      <c r="AP230" s="4">
        <v>80101505</v>
      </c>
    </row>
    <row r="231" spans="1:42" s="4" customFormat="1" x14ac:dyDescent="0.25">
      <c r="A231" s="3">
        <v>4604646</v>
      </c>
      <c r="B231" s="28">
        <v>41844</v>
      </c>
      <c r="C231" s="3" t="s">
        <v>2158</v>
      </c>
      <c r="D231" s="3">
        <v>10004433</v>
      </c>
      <c r="E231" s="4">
        <v>4533997</v>
      </c>
      <c r="F231" s="3" t="s">
        <v>49</v>
      </c>
      <c r="G231" s="4" t="s">
        <v>2211</v>
      </c>
      <c r="H231" s="4" t="s">
        <v>2212</v>
      </c>
      <c r="I231" s="5">
        <v>75086.06</v>
      </c>
      <c r="J231" s="3" t="s">
        <v>259</v>
      </c>
      <c r="K231" s="3" t="s">
        <v>832</v>
      </c>
      <c r="L231" s="3" t="s">
        <v>196</v>
      </c>
      <c r="M231" s="4" t="s">
        <v>2213</v>
      </c>
      <c r="N231" s="3" t="s">
        <v>25</v>
      </c>
      <c r="O231" s="3" t="s">
        <v>139</v>
      </c>
      <c r="P231" s="4" t="s">
        <v>282</v>
      </c>
      <c r="Q231" s="3"/>
      <c r="R231" s="3"/>
      <c r="U231" s="4" t="s">
        <v>139</v>
      </c>
      <c r="V231" s="4" t="s">
        <v>119</v>
      </c>
      <c r="W231" s="4" t="s">
        <v>217</v>
      </c>
      <c r="X231" s="4" t="s">
        <v>2214</v>
      </c>
      <c r="Y231" s="4" t="s">
        <v>2215</v>
      </c>
      <c r="Z231" s="4" t="s">
        <v>2215</v>
      </c>
      <c r="AB231" s="3"/>
      <c r="AC231" s="3"/>
      <c r="AD231" s="3" t="s">
        <v>1629</v>
      </c>
      <c r="AE231" s="3">
        <v>1000</v>
      </c>
      <c r="AI231" s="4" t="s">
        <v>2216</v>
      </c>
      <c r="AJ231" s="4" t="s">
        <v>2216</v>
      </c>
      <c r="AK231" s="3" t="s">
        <v>286</v>
      </c>
      <c r="AL231" s="4">
        <v>141778</v>
      </c>
      <c r="AM231" s="5">
        <v>75086.06</v>
      </c>
      <c r="AN231" s="4" t="s">
        <v>124</v>
      </c>
      <c r="AO231" s="4">
        <v>98</v>
      </c>
      <c r="AP231" s="4">
        <v>80100000</v>
      </c>
    </row>
    <row r="232" spans="1:42" s="4" customFormat="1" x14ac:dyDescent="0.25">
      <c r="A232" s="3">
        <v>4604761</v>
      </c>
      <c r="B232" s="28">
        <v>41865</v>
      </c>
      <c r="C232" s="3" t="s">
        <v>2158</v>
      </c>
      <c r="D232" s="3">
        <v>10004474</v>
      </c>
      <c r="E232" s="4">
        <v>4534112</v>
      </c>
      <c r="F232" s="3" t="s">
        <v>49</v>
      </c>
      <c r="G232" s="4" t="s">
        <v>2218</v>
      </c>
      <c r="H232" s="4" t="s">
        <v>2219</v>
      </c>
      <c r="I232" s="5">
        <v>43415.59</v>
      </c>
      <c r="J232" s="3" t="s">
        <v>2220</v>
      </c>
      <c r="K232" s="3" t="s">
        <v>910</v>
      </c>
      <c r="L232" s="3" t="s">
        <v>196</v>
      </c>
      <c r="M232" s="4" t="s">
        <v>2221</v>
      </c>
      <c r="N232" s="3" t="s">
        <v>25</v>
      </c>
      <c r="O232" s="3" t="s">
        <v>139</v>
      </c>
      <c r="P232" s="4" t="s">
        <v>282</v>
      </c>
      <c r="Q232" s="3"/>
      <c r="R232" s="3"/>
      <c r="U232" s="4" t="s">
        <v>139</v>
      </c>
      <c r="V232" s="4" t="s">
        <v>119</v>
      </c>
      <c r="W232" s="4" t="s">
        <v>217</v>
      </c>
      <c r="X232" s="4" t="s">
        <v>2222</v>
      </c>
      <c r="Y232" s="4" t="s">
        <v>2223</v>
      </c>
      <c r="Z232" s="4" t="s">
        <v>2223</v>
      </c>
      <c r="AB232" s="3"/>
      <c r="AC232" s="3"/>
      <c r="AD232" s="3" t="s">
        <v>910</v>
      </c>
      <c r="AE232" s="3">
        <v>1000</v>
      </c>
      <c r="AI232" s="4" t="s">
        <v>2224</v>
      </c>
      <c r="AJ232" s="4" t="s">
        <v>2224</v>
      </c>
      <c r="AK232" s="3" t="s">
        <v>286</v>
      </c>
      <c r="AL232" s="4">
        <v>141816</v>
      </c>
      <c r="AM232" s="5">
        <v>43415.59</v>
      </c>
      <c r="AN232" s="4" t="s">
        <v>124</v>
      </c>
      <c r="AO232" s="4">
        <v>99</v>
      </c>
    </row>
    <row r="233" spans="1:42" s="4" customFormat="1" x14ac:dyDescent="0.25">
      <c r="A233" s="3">
        <v>4604762</v>
      </c>
      <c r="B233" s="28">
        <v>41844</v>
      </c>
      <c r="C233" s="3" t="s">
        <v>2158</v>
      </c>
      <c r="D233" s="3">
        <v>10004433</v>
      </c>
      <c r="E233" s="4">
        <v>4534113</v>
      </c>
      <c r="F233" s="3" t="s">
        <v>49</v>
      </c>
      <c r="G233" s="4" t="s">
        <v>2225</v>
      </c>
      <c r="H233" s="4" t="s">
        <v>2219</v>
      </c>
      <c r="I233" s="5">
        <v>90599.34</v>
      </c>
      <c r="J233" s="3" t="s">
        <v>259</v>
      </c>
      <c r="K233" s="3" t="s">
        <v>910</v>
      </c>
      <c r="L233" s="3" t="s">
        <v>196</v>
      </c>
      <c r="M233" s="4" t="s">
        <v>2213</v>
      </c>
      <c r="N233" s="3" t="s">
        <v>25</v>
      </c>
      <c r="O233" s="3" t="s">
        <v>139</v>
      </c>
      <c r="P233" s="4" t="s">
        <v>282</v>
      </c>
      <c r="Q233" s="3"/>
      <c r="R233" s="3"/>
      <c r="U233" s="4" t="s">
        <v>139</v>
      </c>
      <c r="V233" s="4" t="s">
        <v>119</v>
      </c>
      <c r="W233" s="4" t="s">
        <v>217</v>
      </c>
      <c r="X233" s="4" t="s">
        <v>2226</v>
      </c>
      <c r="Y233" s="4" t="s">
        <v>2223</v>
      </c>
      <c r="Z233" s="4" t="s">
        <v>2223</v>
      </c>
      <c r="AB233" s="3"/>
      <c r="AC233" s="3"/>
      <c r="AD233" s="3" t="s">
        <v>932</v>
      </c>
      <c r="AE233" s="3">
        <v>1000</v>
      </c>
      <c r="AI233" s="4" t="s">
        <v>2224</v>
      </c>
      <c r="AJ233" s="4" t="s">
        <v>2224</v>
      </c>
      <c r="AK233" s="3" t="s">
        <v>286</v>
      </c>
      <c r="AL233" s="4">
        <v>141815</v>
      </c>
      <c r="AM233" s="5">
        <v>90599.34</v>
      </c>
      <c r="AN233" s="4" t="s">
        <v>124</v>
      </c>
      <c r="AO233" s="4">
        <v>99</v>
      </c>
    </row>
    <row r="234" spans="1:42" s="4" customFormat="1" x14ac:dyDescent="0.25">
      <c r="A234" s="3">
        <v>4604764</v>
      </c>
      <c r="B234" s="28">
        <v>41943</v>
      </c>
      <c r="C234" s="3" t="s">
        <v>2158</v>
      </c>
      <c r="D234" s="3">
        <v>10004559</v>
      </c>
      <c r="E234" s="4">
        <v>4534115</v>
      </c>
      <c r="F234" s="3" t="s">
        <v>49</v>
      </c>
      <c r="G234" s="4" t="s">
        <v>393</v>
      </c>
      <c r="H234" s="4" t="s">
        <v>2227</v>
      </c>
      <c r="I234" s="5">
        <v>11000</v>
      </c>
      <c r="J234" s="3" t="s">
        <v>2228</v>
      </c>
      <c r="K234" s="3" t="s">
        <v>2228</v>
      </c>
      <c r="L234" s="3" t="s">
        <v>196</v>
      </c>
      <c r="M234" s="4" t="s">
        <v>2227</v>
      </c>
      <c r="N234" s="3" t="s">
        <v>25</v>
      </c>
      <c r="O234" s="3"/>
      <c r="Q234" s="3"/>
      <c r="R234" s="3"/>
      <c r="Y234" s="4" t="s">
        <v>396</v>
      </c>
      <c r="Z234" s="4" t="s">
        <v>396</v>
      </c>
      <c r="AB234" s="3"/>
      <c r="AC234" s="3"/>
      <c r="AD234" s="3" t="s">
        <v>395</v>
      </c>
      <c r="AE234" s="3">
        <v>1000</v>
      </c>
      <c r="AI234" s="4" t="s">
        <v>397</v>
      </c>
      <c r="AJ234" s="4" t="s">
        <v>397</v>
      </c>
      <c r="AK234" s="3"/>
      <c r="AL234" s="4">
        <v>51455</v>
      </c>
      <c r="AM234" s="5">
        <v>11000</v>
      </c>
      <c r="AN234" s="4" t="s">
        <v>124</v>
      </c>
      <c r="AO234" s="4">
        <v>99</v>
      </c>
      <c r="AP234" s="4">
        <v>86000000</v>
      </c>
    </row>
    <row r="235" spans="1:42" s="4" customFormat="1" x14ac:dyDescent="0.25">
      <c r="A235" s="3">
        <v>4604850</v>
      </c>
      <c r="B235" s="28">
        <v>42045</v>
      </c>
      <c r="C235" s="3" t="s">
        <v>2158</v>
      </c>
      <c r="D235" s="3">
        <v>10004655</v>
      </c>
      <c r="E235" s="4">
        <v>4534201</v>
      </c>
      <c r="F235" s="3" t="s">
        <v>49</v>
      </c>
      <c r="G235" s="4" t="s">
        <v>2211</v>
      </c>
      <c r="H235" s="4" t="s">
        <v>2234</v>
      </c>
      <c r="I235" s="5">
        <v>40000</v>
      </c>
      <c r="J235" s="3" t="s">
        <v>2233</v>
      </c>
      <c r="K235" s="3" t="s">
        <v>1877</v>
      </c>
      <c r="L235" s="3" t="s">
        <v>196</v>
      </c>
      <c r="M235" s="4" t="s">
        <v>2234</v>
      </c>
      <c r="N235" s="3" t="s">
        <v>25</v>
      </c>
      <c r="O235" s="3" t="s">
        <v>139</v>
      </c>
      <c r="P235" s="4" t="s">
        <v>140</v>
      </c>
      <c r="Q235" s="3"/>
      <c r="R235" s="3"/>
      <c r="Y235" s="4" t="s">
        <v>2235</v>
      </c>
      <c r="Z235" s="4" t="s">
        <v>2235</v>
      </c>
      <c r="AB235" s="3"/>
      <c r="AC235" s="3"/>
      <c r="AD235" s="3" t="s">
        <v>467</v>
      </c>
      <c r="AE235" s="3">
        <v>1000</v>
      </c>
      <c r="AI235" s="4" t="s">
        <v>2236</v>
      </c>
      <c r="AJ235" s="4" t="s">
        <v>2236</v>
      </c>
      <c r="AK235" s="3" t="s">
        <v>143</v>
      </c>
      <c r="AL235" s="4">
        <v>141778</v>
      </c>
      <c r="AM235" s="5">
        <v>40000</v>
      </c>
      <c r="AN235" s="4" t="s">
        <v>124</v>
      </c>
      <c r="AO235" s="4">
        <v>99</v>
      </c>
      <c r="AP235" s="4">
        <v>80100000</v>
      </c>
    </row>
    <row r="236" spans="1:42" s="4" customFormat="1" x14ac:dyDescent="0.25">
      <c r="A236" s="3">
        <v>4604854</v>
      </c>
      <c r="B236" s="28">
        <v>42031</v>
      </c>
      <c r="C236" s="3" t="s">
        <v>2158</v>
      </c>
      <c r="D236" s="3">
        <v>10004650</v>
      </c>
      <c r="E236" s="4">
        <v>4534205</v>
      </c>
      <c r="F236" s="3" t="s">
        <v>49</v>
      </c>
      <c r="G236" s="4" t="s">
        <v>2237</v>
      </c>
      <c r="H236" s="4" t="s">
        <v>2238</v>
      </c>
      <c r="I236" s="5">
        <v>16500</v>
      </c>
      <c r="J236" s="3" t="s">
        <v>452</v>
      </c>
      <c r="K236" s="3" t="s">
        <v>480</v>
      </c>
      <c r="L236" s="3" t="s">
        <v>196</v>
      </c>
      <c r="M236" s="4" t="s">
        <v>2238</v>
      </c>
      <c r="N236" s="3" t="s">
        <v>25</v>
      </c>
      <c r="O236" s="3" t="s">
        <v>139</v>
      </c>
      <c r="P236" s="4" t="s">
        <v>2207</v>
      </c>
      <c r="Q236" s="3"/>
      <c r="R236" s="3"/>
      <c r="Y236" s="4" t="s">
        <v>2231</v>
      </c>
      <c r="Z236" s="4" t="s">
        <v>2231</v>
      </c>
      <c r="AB236" s="3"/>
      <c r="AC236" s="3"/>
      <c r="AD236" s="3" t="s">
        <v>469</v>
      </c>
      <c r="AE236" s="3">
        <v>1000</v>
      </c>
      <c r="AI236" s="4" t="s">
        <v>2232</v>
      </c>
      <c r="AJ236" s="4" t="s">
        <v>2232</v>
      </c>
      <c r="AK236" s="3" t="s">
        <v>2210</v>
      </c>
      <c r="AL236" s="4">
        <v>141863</v>
      </c>
      <c r="AM236" s="5">
        <v>16500</v>
      </c>
      <c r="AN236" s="4" t="s">
        <v>124</v>
      </c>
      <c r="AO236" s="4">
        <v>99</v>
      </c>
      <c r="AP236" s="4">
        <v>80101505</v>
      </c>
    </row>
    <row r="237" spans="1:42" s="4" customFormat="1" x14ac:dyDescent="0.25">
      <c r="A237" s="3">
        <v>4604867</v>
      </c>
      <c r="B237" s="28">
        <v>42053</v>
      </c>
      <c r="C237" s="3" t="s">
        <v>2158</v>
      </c>
      <c r="D237" s="3">
        <v>10004681</v>
      </c>
      <c r="E237" s="4">
        <v>4534218</v>
      </c>
      <c r="F237" s="3" t="s">
        <v>49</v>
      </c>
      <c r="G237" s="4" t="s">
        <v>2240</v>
      </c>
      <c r="H237" s="4" t="s">
        <v>2241</v>
      </c>
      <c r="I237" s="5">
        <v>275000</v>
      </c>
      <c r="J237" s="3" t="s">
        <v>2239</v>
      </c>
      <c r="K237" s="3" t="s">
        <v>77</v>
      </c>
      <c r="L237" s="3" t="s">
        <v>196</v>
      </c>
      <c r="M237" s="4" t="s">
        <v>2242</v>
      </c>
      <c r="N237" s="3" t="s">
        <v>25</v>
      </c>
      <c r="O237" s="3"/>
      <c r="Q237" s="3"/>
      <c r="R237" s="3"/>
      <c r="U237" s="4" t="s">
        <v>139</v>
      </c>
      <c r="V237" s="4" t="s">
        <v>119</v>
      </c>
      <c r="W237" s="4" t="s">
        <v>217</v>
      </c>
      <c r="X237" s="4" t="s">
        <v>2214</v>
      </c>
      <c r="Y237" s="4" t="s">
        <v>2223</v>
      </c>
      <c r="Z237" s="4" t="s">
        <v>2223</v>
      </c>
      <c r="AB237" s="3"/>
      <c r="AC237" s="3"/>
      <c r="AD237" s="3" t="s">
        <v>1635</v>
      </c>
      <c r="AE237" s="3">
        <v>1000</v>
      </c>
      <c r="AI237" s="4" t="s">
        <v>2224</v>
      </c>
      <c r="AJ237" s="4" t="s">
        <v>2224</v>
      </c>
      <c r="AK237" s="3"/>
      <c r="AL237" s="4">
        <v>141779</v>
      </c>
      <c r="AM237" s="5">
        <v>275000</v>
      </c>
      <c r="AN237" s="4" t="s">
        <v>124</v>
      </c>
      <c r="AO237" s="4">
        <v>99</v>
      </c>
      <c r="AP237" s="4">
        <v>80100000</v>
      </c>
    </row>
    <row r="238" spans="1:42" s="4" customFormat="1" x14ac:dyDescent="0.25">
      <c r="A238" s="3">
        <v>4604973</v>
      </c>
      <c r="B238" s="28">
        <v>42108</v>
      </c>
      <c r="C238" s="3" t="s">
        <v>2158</v>
      </c>
      <c r="D238" s="3">
        <v>10004803</v>
      </c>
      <c r="E238" s="4">
        <v>4534324</v>
      </c>
      <c r="F238" s="3" t="s">
        <v>49</v>
      </c>
      <c r="G238" s="4" t="s">
        <v>2262</v>
      </c>
      <c r="H238" s="4" t="s">
        <v>2263</v>
      </c>
      <c r="I238" s="5">
        <v>25000</v>
      </c>
      <c r="J238" s="3" t="s">
        <v>1136</v>
      </c>
      <c r="K238" s="3" t="s">
        <v>1813</v>
      </c>
      <c r="L238" s="3" t="s">
        <v>196</v>
      </c>
      <c r="M238" s="4" t="s">
        <v>2263</v>
      </c>
      <c r="N238" s="3" t="s">
        <v>25</v>
      </c>
      <c r="O238" s="3"/>
      <c r="Q238" s="3"/>
      <c r="R238" s="3"/>
      <c r="Y238" s="4" t="s">
        <v>2264</v>
      </c>
      <c r="Z238" s="4" t="s">
        <v>2265</v>
      </c>
      <c r="AB238" s="3"/>
      <c r="AC238" s="3"/>
      <c r="AD238" s="3" t="s">
        <v>1813</v>
      </c>
      <c r="AE238" s="3">
        <v>1000</v>
      </c>
      <c r="AI238" s="4" t="s">
        <v>2266</v>
      </c>
      <c r="AJ238" s="4" t="s">
        <v>2267</v>
      </c>
      <c r="AK238" s="3"/>
      <c r="AL238" s="4">
        <v>140697</v>
      </c>
      <c r="AM238" s="5">
        <v>25000</v>
      </c>
      <c r="AN238" s="4" t="s">
        <v>124</v>
      </c>
      <c r="AO238" s="4">
        <v>99</v>
      </c>
      <c r="AP238" s="4">
        <v>80101504</v>
      </c>
    </row>
    <row r="239" spans="1:42" s="4" customFormat="1" x14ac:dyDescent="0.25">
      <c r="A239" s="3">
        <v>4605017</v>
      </c>
      <c r="B239" s="28">
        <v>42167</v>
      </c>
      <c r="C239" s="3" t="s">
        <v>2158</v>
      </c>
      <c r="D239" s="3">
        <v>10004834</v>
      </c>
      <c r="E239" s="4">
        <v>4534368</v>
      </c>
      <c r="F239" s="3" t="s">
        <v>49</v>
      </c>
      <c r="G239" s="4" t="s">
        <v>2268</v>
      </c>
      <c r="H239" s="4" t="s">
        <v>2269</v>
      </c>
      <c r="I239" s="5">
        <v>52800</v>
      </c>
      <c r="J239" s="3" t="s">
        <v>377</v>
      </c>
      <c r="K239" s="3" t="s">
        <v>77</v>
      </c>
      <c r="L239" s="3" t="s">
        <v>196</v>
      </c>
      <c r="M239" s="4" t="s">
        <v>2270</v>
      </c>
      <c r="N239" s="3" t="s">
        <v>25</v>
      </c>
      <c r="O239" s="3" t="s">
        <v>139</v>
      </c>
      <c r="P239" s="4" t="s">
        <v>282</v>
      </c>
      <c r="Q239" s="3"/>
      <c r="R239" s="3"/>
      <c r="Y239" s="4" t="s">
        <v>767</v>
      </c>
      <c r="Z239" s="4" t="s">
        <v>767</v>
      </c>
      <c r="AB239" s="3"/>
      <c r="AC239" s="3"/>
      <c r="AD239" s="3" t="s">
        <v>380</v>
      </c>
      <c r="AE239" s="3">
        <v>1000</v>
      </c>
      <c r="AI239" s="4" t="s">
        <v>769</v>
      </c>
      <c r="AJ239" s="4" t="s">
        <v>769</v>
      </c>
      <c r="AK239" s="3" t="s">
        <v>286</v>
      </c>
      <c r="AL239" s="4">
        <v>140501</v>
      </c>
      <c r="AM239" s="5">
        <v>52800</v>
      </c>
      <c r="AN239" s="4" t="s">
        <v>124</v>
      </c>
      <c r="AO239" s="4">
        <v>99</v>
      </c>
      <c r="AP239" s="4">
        <v>80101507</v>
      </c>
    </row>
    <row r="240" spans="1:42" s="4" customFormat="1" x14ac:dyDescent="0.25">
      <c r="A240" s="3">
        <v>4605018</v>
      </c>
      <c r="B240" s="28">
        <v>42167</v>
      </c>
      <c r="C240" s="3" t="s">
        <v>2158</v>
      </c>
      <c r="D240" s="3">
        <v>10004834</v>
      </c>
      <c r="E240" s="4">
        <v>4534369</v>
      </c>
      <c r="F240" s="3" t="s">
        <v>49</v>
      </c>
      <c r="G240" s="4" t="s">
        <v>2268</v>
      </c>
      <c r="H240" s="4" t="s">
        <v>2271</v>
      </c>
      <c r="I240" s="5">
        <v>44000</v>
      </c>
      <c r="J240" s="3" t="s">
        <v>377</v>
      </c>
      <c r="K240" s="3" t="s">
        <v>77</v>
      </c>
      <c r="L240" s="3" t="s">
        <v>196</v>
      </c>
      <c r="M240" s="4" t="s">
        <v>2270</v>
      </c>
      <c r="N240" s="3" t="s">
        <v>25</v>
      </c>
      <c r="O240" s="3" t="s">
        <v>139</v>
      </c>
      <c r="P240" s="4" t="s">
        <v>282</v>
      </c>
      <c r="Q240" s="3"/>
      <c r="R240" s="3"/>
      <c r="Y240" s="4" t="s">
        <v>767</v>
      </c>
      <c r="Z240" s="4" t="s">
        <v>767</v>
      </c>
      <c r="AB240" s="3"/>
      <c r="AC240" s="3"/>
      <c r="AD240" s="3" t="s">
        <v>407</v>
      </c>
      <c r="AE240" s="3">
        <v>1000</v>
      </c>
      <c r="AI240" s="4" t="s">
        <v>769</v>
      </c>
      <c r="AJ240" s="4" t="s">
        <v>769</v>
      </c>
      <c r="AK240" s="3" t="s">
        <v>286</v>
      </c>
      <c r="AL240" s="4">
        <v>140501</v>
      </c>
      <c r="AM240" s="5">
        <v>44000</v>
      </c>
      <c r="AN240" s="4" t="s">
        <v>124</v>
      </c>
      <c r="AO240" s="4">
        <v>99</v>
      </c>
      <c r="AP240" s="4">
        <v>80101507</v>
      </c>
    </row>
    <row r="241" spans="1:42" s="4" customFormat="1" x14ac:dyDescent="0.25">
      <c r="A241" s="3">
        <v>4603022</v>
      </c>
      <c r="B241" s="28">
        <v>41132</v>
      </c>
      <c r="C241" s="3" t="s">
        <v>2273</v>
      </c>
      <c r="D241" s="3">
        <v>10002854</v>
      </c>
      <c r="E241" s="4">
        <v>4532373</v>
      </c>
      <c r="F241" s="3" t="s">
        <v>49</v>
      </c>
      <c r="G241" s="4" t="s">
        <v>2300</v>
      </c>
      <c r="H241" s="4" t="s">
        <v>2305</v>
      </c>
      <c r="I241" s="5">
        <v>60258</v>
      </c>
      <c r="J241" s="3" t="s">
        <v>2304</v>
      </c>
      <c r="K241" s="3" t="s">
        <v>807</v>
      </c>
      <c r="L241" s="3" t="s">
        <v>196</v>
      </c>
      <c r="M241" s="4" t="s">
        <v>2306</v>
      </c>
      <c r="N241" s="3" t="s">
        <v>56</v>
      </c>
      <c r="O241" s="3" t="s">
        <v>139</v>
      </c>
      <c r="P241" s="4" t="s">
        <v>282</v>
      </c>
      <c r="Q241" s="3"/>
      <c r="R241" s="3"/>
      <c r="U241" s="4" t="s">
        <v>139</v>
      </c>
      <c r="V241" s="4" t="s">
        <v>427</v>
      </c>
      <c r="W241" s="4" t="s">
        <v>428</v>
      </c>
      <c r="Y241" s="4" t="s">
        <v>2277</v>
      </c>
      <c r="Z241" s="4" t="s">
        <v>2293</v>
      </c>
      <c r="AA241" s="4" t="s">
        <v>2294</v>
      </c>
      <c r="AB241" s="3" t="s">
        <v>2303</v>
      </c>
      <c r="AC241" s="3" t="s">
        <v>2296</v>
      </c>
      <c r="AD241" s="3" t="s">
        <v>376</v>
      </c>
      <c r="AE241" s="3">
        <v>1000</v>
      </c>
      <c r="AI241" s="4" t="s">
        <v>2281</v>
      </c>
      <c r="AJ241" s="4" t="s">
        <v>2298</v>
      </c>
      <c r="AK241" s="3" t="s">
        <v>286</v>
      </c>
      <c r="AL241" s="4">
        <v>30080</v>
      </c>
      <c r="AM241" s="5">
        <v>60258</v>
      </c>
      <c r="AN241" s="4" t="s">
        <v>2282</v>
      </c>
      <c r="AO241" s="4">
        <v>96</v>
      </c>
      <c r="AP241" s="4">
        <v>80120000</v>
      </c>
    </row>
    <row r="242" spans="1:42" s="4" customFormat="1" x14ac:dyDescent="0.25">
      <c r="A242" s="3">
        <v>4603031</v>
      </c>
      <c r="B242" s="28">
        <v>41135</v>
      </c>
      <c r="C242" s="3" t="s">
        <v>2273</v>
      </c>
      <c r="D242" s="3">
        <v>10002871</v>
      </c>
      <c r="E242" s="4">
        <v>4532382</v>
      </c>
      <c r="F242" s="3" t="s">
        <v>49</v>
      </c>
      <c r="G242" s="4" t="s">
        <v>2300</v>
      </c>
      <c r="H242" s="4" t="s">
        <v>2301</v>
      </c>
      <c r="I242" s="5">
        <v>16900</v>
      </c>
      <c r="J242" s="3" t="s">
        <v>2307</v>
      </c>
      <c r="K242" s="3" t="s">
        <v>807</v>
      </c>
      <c r="L242" s="3" t="s">
        <v>196</v>
      </c>
      <c r="M242" s="4" t="s">
        <v>2308</v>
      </c>
      <c r="N242" s="3" t="s">
        <v>56</v>
      </c>
      <c r="O242" s="3" t="s">
        <v>139</v>
      </c>
      <c r="P242" s="4" t="s">
        <v>282</v>
      </c>
      <c r="Q242" s="3" t="s">
        <v>139</v>
      </c>
      <c r="R242" s="3" t="s">
        <v>427</v>
      </c>
      <c r="S242" s="4" t="s">
        <v>428</v>
      </c>
      <c r="U242" s="4" t="s">
        <v>139</v>
      </c>
      <c r="V242" s="4" t="s">
        <v>427</v>
      </c>
      <c r="W242" s="4" t="s">
        <v>428</v>
      </c>
      <c r="Y242" s="4" t="s">
        <v>2292</v>
      </c>
      <c r="Z242" s="4" t="s">
        <v>2293</v>
      </c>
      <c r="AA242" s="4" t="s">
        <v>2294</v>
      </c>
      <c r="AB242" s="3" t="s">
        <v>2303</v>
      </c>
      <c r="AC242" s="3" t="s">
        <v>2296</v>
      </c>
      <c r="AD242" s="3" t="s">
        <v>1753</v>
      </c>
      <c r="AE242" s="3">
        <v>1000</v>
      </c>
      <c r="AI242" s="4" t="s">
        <v>2297</v>
      </c>
      <c r="AJ242" s="4" t="s">
        <v>2298</v>
      </c>
      <c r="AK242" s="3" t="s">
        <v>286</v>
      </c>
      <c r="AL242" s="4">
        <v>30080</v>
      </c>
      <c r="AM242" s="5">
        <v>16900</v>
      </c>
      <c r="AN242" s="4" t="s">
        <v>2282</v>
      </c>
      <c r="AO242" s="4">
        <v>99</v>
      </c>
      <c r="AP242" s="4">
        <v>80120000</v>
      </c>
    </row>
    <row r="243" spans="1:42" s="4" customFormat="1" x14ac:dyDescent="0.25">
      <c r="A243" s="3">
        <v>4603770</v>
      </c>
      <c r="B243" s="28">
        <v>41456</v>
      </c>
      <c r="C243" s="3" t="s">
        <v>2273</v>
      </c>
      <c r="D243" s="3">
        <v>10003614</v>
      </c>
      <c r="E243" s="4">
        <v>4533121</v>
      </c>
      <c r="F243" s="3" t="s">
        <v>49</v>
      </c>
      <c r="G243" s="4" t="s">
        <v>2317</v>
      </c>
      <c r="H243" s="4" t="s">
        <v>2318</v>
      </c>
      <c r="I243" s="5">
        <v>86900</v>
      </c>
      <c r="J243" s="3" t="s">
        <v>631</v>
      </c>
      <c r="K243" s="3" t="s">
        <v>77</v>
      </c>
      <c r="L243" s="3" t="s">
        <v>196</v>
      </c>
      <c r="M243" s="4" t="s">
        <v>2318</v>
      </c>
      <c r="N243" s="3" t="s">
        <v>25</v>
      </c>
      <c r="O243" s="3"/>
      <c r="Q243" s="3"/>
      <c r="R243" s="3"/>
      <c r="Y243" s="4" t="s">
        <v>2277</v>
      </c>
      <c r="Z243" s="4" t="s">
        <v>2293</v>
      </c>
      <c r="AB243" s="3"/>
      <c r="AC243" s="3"/>
      <c r="AD243" s="3" t="s">
        <v>2319</v>
      </c>
      <c r="AE243" s="3">
        <v>1000</v>
      </c>
      <c r="AI243" s="4" t="s">
        <v>2281</v>
      </c>
      <c r="AJ243" s="4" t="s">
        <v>2298</v>
      </c>
      <c r="AK243" s="3"/>
      <c r="AL243" s="4">
        <v>40714</v>
      </c>
      <c r="AM243" s="5">
        <v>86900</v>
      </c>
      <c r="AN243" s="4" t="s">
        <v>124</v>
      </c>
      <c r="AO243" s="4">
        <v>99</v>
      </c>
      <c r="AP243" s="4">
        <v>55110000</v>
      </c>
    </row>
    <row r="244" spans="1:42" s="4" customFormat="1" x14ac:dyDescent="0.25">
      <c r="A244" s="3">
        <v>4603975</v>
      </c>
      <c r="B244" s="28">
        <v>41456</v>
      </c>
      <c r="C244" s="3" t="s">
        <v>2273</v>
      </c>
      <c r="D244" s="3">
        <v>10003731</v>
      </c>
      <c r="E244" s="4">
        <v>4533326</v>
      </c>
      <c r="F244" s="3" t="s">
        <v>49</v>
      </c>
      <c r="G244" s="4" t="s">
        <v>2323</v>
      </c>
      <c r="H244" s="4" t="s">
        <v>2324</v>
      </c>
      <c r="I244" s="5">
        <v>143160</v>
      </c>
      <c r="J244" s="3" t="s">
        <v>631</v>
      </c>
      <c r="K244" s="3" t="s">
        <v>77</v>
      </c>
      <c r="L244" s="3" t="s">
        <v>196</v>
      </c>
      <c r="M244" s="4" t="s">
        <v>2325</v>
      </c>
      <c r="N244" s="3" t="s">
        <v>25</v>
      </c>
      <c r="O244" s="3"/>
      <c r="Q244" s="3"/>
      <c r="R244" s="3"/>
      <c r="Y244" s="4" t="s">
        <v>2277</v>
      </c>
      <c r="Z244" s="4" t="s">
        <v>2293</v>
      </c>
      <c r="AB244" s="3"/>
      <c r="AC244" s="3"/>
      <c r="AD244" s="3" t="s">
        <v>2326</v>
      </c>
      <c r="AE244" s="3">
        <v>1000</v>
      </c>
      <c r="AI244" s="4" t="s">
        <v>2281</v>
      </c>
      <c r="AJ244" s="4" t="s">
        <v>2298</v>
      </c>
      <c r="AK244" s="3"/>
      <c r="AL244" s="4">
        <v>40306</v>
      </c>
      <c r="AM244" s="5">
        <v>143160</v>
      </c>
      <c r="AN244" s="4" t="s">
        <v>124</v>
      </c>
      <c r="AO244" s="4">
        <v>99</v>
      </c>
      <c r="AP244" s="4">
        <v>55101500</v>
      </c>
    </row>
    <row r="245" spans="1:42" s="4" customFormat="1" x14ac:dyDescent="0.25">
      <c r="A245" s="3">
        <v>4604149</v>
      </c>
      <c r="B245" s="28">
        <v>41500</v>
      </c>
      <c r="C245" s="3" t="s">
        <v>2273</v>
      </c>
      <c r="D245" s="3">
        <v>10003918</v>
      </c>
      <c r="E245" s="4">
        <v>4533500</v>
      </c>
      <c r="F245" s="3" t="s">
        <v>49</v>
      </c>
      <c r="G245" s="4" t="s">
        <v>2323</v>
      </c>
      <c r="H245" s="4" t="s">
        <v>2327</v>
      </c>
      <c r="I245" s="5">
        <v>131139</v>
      </c>
      <c r="J245" s="3" t="s">
        <v>2328</v>
      </c>
      <c r="K245" s="3" t="s">
        <v>1775</v>
      </c>
      <c r="L245" s="3" t="s">
        <v>196</v>
      </c>
      <c r="M245" s="4" t="s">
        <v>2329</v>
      </c>
      <c r="N245" s="3" t="s">
        <v>25</v>
      </c>
      <c r="O245" s="3"/>
      <c r="Q245" s="3"/>
      <c r="R245" s="3"/>
      <c r="Y245" s="4" t="s">
        <v>2277</v>
      </c>
      <c r="Z245" s="4" t="s">
        <v>2293</v>
      </c>
      <c r="AB245" s="3"/>
      <c r="AC245" s="3"/>
      <c r="AD245" s="3" t="s">
        <v>2330</v>
      </c>
      <c r="AE245" s="3">
        <v>1000</v>
      </c>
      <c r="AI245" s="4" t="s">
        <v>2281</v>
      </c>
      <c r="AJ245" s="4" t="s">
        <v>2298</v>
      </c>
      <c r="AK245" s="3"/>
      <c r="AL245" s="4">
        <v>40306</v>
      </c>
      <c r="AM245" s="5">
        <v>131139</v>
      </c>
      <c r="AN245" s="4" t="s">
        <v>124</v>
      </c>
      <c r="AO245" s="4">
        <v>99</v>
      </c>
      <c r="AP245" s="4">
        <v>55110000</v>
      </c>
    </row>
    <row r="246" spans="1:42" s="4" customFormat="1" x14ac:dyDescent="0.25">
      <c r="A246" s="3">
        <v>4604611</v>
      </c>
      <c r="B246" s="28">
        <v>41821</v>
      </c>
      <c r="C246" s="3" t="s">
        <v>2342</v>
      </c>
      <c r="D246" s="3">
        <v>10004391</v>
      </c>
      <c r="E246" s="4">
        <v>4533962</v>
      </c>
      <c r="F246" s="3" t="s">
        <v>49</v>
      </c>
      <c r="G246" s="4" t="s">
        <v>2372</v>
      </c>
      <c r="H246" s="4" t="s">
        <v>2373</v>
      </c>
      <c r="I246" s="5">
        <v>82953</v>
      </c>
      <c r="J246" s="3" t="s">
        <v>76</v>
      </c>
      <c r="K246" s="3" t="s">
        <v>77</v>
      </c>
      <c r="L246" s="3" t="s">
        <v>196</v>
      </c>
      <c r="M246" s="4" t="s">
        <v>2374</v>
      </c>
      <c r="N246" s="3" t="s">
        <v>25</v>
      </c>
      <c r="O246" s="3"/>
      <c r="Q246" s="3"/>
      <c r="R246" s="3"/>
      <c r="Y246" s="4" t="s">
        <v>2293</v>
      </c>
      <c r="Z246" s="4" t="s">
        <v>2293</v>
      </c>
      <c r="AB246" s="3"/>
      <c r="AC246" s="3"/>
      <c r="AD246" s="3" t="s">
        <v>211</v>
      </c>
      <c r="AE246" s="3">
        <v>1000</v>
      </c>
      <c r="AI246" s="4" t="s">
        <v>2298</v>
      </c>
      <c r="AJ246" s="4" t="s">
        <v>2298</v>
      </c>
      <c r="AK246" s="3"/>
      <c r="AL246" s="4">
        <v>30353</v>
      </c>
      <c r="AM246" s="5">
        <v>82953</v>
      </c>
      <c r="AN246" s="4" t="s">
        <v>124</v>
      </c>
      <c r="AO246" s="4">
        <v>99</v>
      </c>
      <c r="AP246" s="4">
        <v>55110000</v>
      </c>
    </row>
    <row r="247" spans="1:42" s="4" customFormat="1" x14ac:dyDescent="0.25">
      <c r="A247" s="3">
        <v>4604672</v>
      </c>
      <c r="B247" s="28">
        <v>41871</v>
      </c>
      <c r="C247" s="3" t="s">
        <v>2342</v>
      </c>
      <c r="D247" s="3">
        <v>10004462</v>
      </c>
      <c r="E247" s="4">
        <v>4534023</v>
      </c>
      <c r="F247" s="3" t="s">
        <v>49</v>
      </c>
      <c r="G247" s="4" t="s">
        <v>2372</v>
      </c>
      <c r="H247" s="4" t="s">
        <v>2382</v>
      </c>
      <c r="I247" s="5">
        <v>13500</v>
      </c>
      <c r="J247" s="3" t="s">
        <v>1601</v>
      </c>
      <c r="K247" s="3" t="s">
        <v>1608</v>
      </c>
      <c r="L247" s="3" t="s">
        <v>196</v>
      </c>
      <c r="M247" s="4" t="s">
        <v>2382</v>
      </c>
      <c r="N247" s="3" t="s">
        <v>25</v>
      </c>
      <c r="O247" s="3" t="s">
        <v>139</v>
      </c>
      <c r="P247" s="4" t="s">
        <v>282</v>
      </c>
      <c r="Q247" s="3"/>
      <c r="R247" s="3"/>
      <c r="Y247" s="4" t="s">
        <v>2277</v>
      </c>
      <c r="Z247" s="4" t="s">
        <v>2293</v>
      </c>
      <c r="AB247" s="3"/>
      <c r="AC247" s="3"/>
      <c r="AD247" s="3" t="s">
        <v>1822</v>
      </c>
      <c r="AE247" s="3">
        <v>1000</v>
      </c>
      <c r="AI247" s="4" t="s">
        <v>2281</v>
      </c>
      <c r="AJ247" s="4" t="s">
        <v>2298</v>
      </c>
      <c r="AK247" s="3" t="s">
        <v>286</v>
      </c>
      <c r="AL247" s="4">
        <v>30353</v>
      </c>
      <c r="AM247" s="5">
        <v>13500</v>
      </c>
      <c r="AN247" s="4" t="s">
        <v>124</v>
      </c>
      <c r="AO247" s="4">
        <v>99</v>
      </c>
      <c r="AP247" s="4">
        <v>86000000</v>
      </c>
    </row>
    <row r="248" spans="1:42" s="4" customFormat="1" x14ac:dyDescent="0.25">
      <c r="A248" s="3">
        <v>4605030</v>
      </c>
      <c r="B248" s="28">
        <v>42125</v>
      </c>
      <c r="C248" s="3" t="s">
        <v>2342</v>
      </c>
      <c r="D248" s="3">
        <v>10004870</v>
      </c>
      <c r="E248" s="4">
        <v>4534381</v>
      </c>
      <c r="F248" s="3" t="s">
        <v>49</v>
      </c>
      <c r="G248" s="4" t="s">
        <v>2411</v>
      </c>
      <c r="H248" s="4" t="s">
        <v>2227</v>
      </c>
      <c r="I248" s="5">
        <v>36300</v>
      </c>
      <c r="J248" s="3" t="s">
        <v>53</v>
      </c>
      <c r="K248" s="3" t="s">
        <v>374</v>
      </c>
      <c r="L248" s="3" t="s">
        <v>196</v>
      </c>
      <c r="M248" s="4" t="s">
        <v>2412</v>
      </c>
      <c r="N248" s="3" t="s">
        <v>25</v>
      </c>
      <c r="O248" s="3"/>
      <c r="Q248" s="3"/>
      <c r="R248" s="3"/>
      <c r="Y248" s="4" t="s">
        <v>2277</v>
      </c>
      <c r="Z248" s="4" t="s">
        <v>2386</v>
      </c>
      <c r="AB248" s="3"/>
      <c r="AC248" s="3"/>
      <c r="AD248" s="3" t="s">
        <v>1159</v>
      </c>
      <c r="AE248" s="3">
        <v>1000</v>
      </c>
      <c r="AI248" s="4" t="s">
        <v>2281</v>
      </c>
      <c r="AJ248" s="4" t="s">
        <v>2387</v>
      </c>
      <c r="AK248" s="3"/>
      <c r="AL248" s="4">
        <v>141917</v>
      </c>
      <c r="AM248" s="5">
        <v>36300</v>
      </c>
      <c r="AN248" s="4" t="s">
        <v>124</v>
      </c>
      <c r="AO248" s="4">
        <v>99</v>
      </c>
      <c r="AP248" s="4">
        <v>80160000</v>
      </c>
    </row>
    <row r="249" spans="1:42" s="4" customFormat="1" x14ac:dyDescent="0.25">
      <c r="A249" s="3">
        <v>4604781</v>
      </c>
      <c r="B249" s="28">
        <v>41963</v>
      </c>
      <c r="C249" s="3" t="s">
        <v>2415</v>
      </c>
      <c r="D249" s="3">
        <v>10004576</v>
      </c>
      <c r="E249" s="4">
        <v>4534132</v>
      </c>
      <c r="F249" s="3" t="s">
        <v>49</v>
      </c>
      <c r="G249" s="4" t="s">
        <v>2417</v>
      </c>
      <c r="H249" s="4" t="s">
        <v>2418</v>
      </c>
      <c r="I249" s="5">
        <v>74440</v>
      </c>
      <c r="J249" s="3" t="s">
        <v>416</v>
      </c>
      <c r="K249" s="3" t="s">
        <v>480</v>
      </c>
      <c r="L249" s="3" t="s">
        <v>196</v>
      </c>
      <c r="M249" s="4" t="s">
        <v>2419</v>
      </c>
      <c r="N249" s="3" t="s">
        <v>25</v>
      </c>
      <c r="O249" s="3" t="s">
        <v>139</v>
      </c>
      <c r="P249" s="4" t="s">
        <v>140</v>
      </c>
      <c r="Q249" s="3"/>
      <c r="R249" s="3"/>
      <c r="Y249" s="4" t="s">
        <v>2420</v>
      </c>
      <c r="Z249" s="4" t="s">
        <v>2394</v>
      </c>
      <c r="AB249" s="3"/>
      <c r="AC249" s="3"/>
      <c r="AD249" s="3" t="s">
        <v>424</v>
      </c>
      <c r="AE249" s="3">
        <v>1000</v>
      </c>
      <c r="AI249" s="4" t="s">
        <v>2421</v>
      </c>
      <c r="AJ249" s="4" t="s">
        <v>2395</v>
      </c>
      <c r="AK249" s="3" t="s">
        <v>143</v>
      </c>
      <c r="AL249" s="4">
        <v>141833</v>
      </c>
      <c r="AM249" s="5">
        <v>74440</v>
      </c>
      <c r="AN249" s="4" t="s">
        <v>124</v>
      </c>
      <c r="AO249" s="4">
        <v>99</v>
      </c>
      <c r="AP249" s="4">
        <v>80101600</v>
      </c>
    </row>
    <row r="250" spans="1:42" s="4" customFormat="1" x14ac:dyDescent="0.25">
      <c r="A250" s="3">
        <v>4604949</v>
      </c>
      <c r="B250" s="28">
        <v>41718</v>
      </c>
      <c r="C250" s="3" t="s">
        <v>2415</v>
      </c>
      <c r="D250" s="3">
        <v>10004753</v>
      </c>
      <c r="E250" s="4">
        <v>4534300</v>
      </c>
      <c r="F250" s="3" t="s">
        <v>49</v>
      </c>
      <c r="G250" s="4" t="s">
        <v>453</v>
      </c>
      <c r="H250" s="4" t="s">
        <v>2424</v>
      </c>
      <c r="I250" s="5">
        <v>390000</v>
      </c>
      <c r="J250" s="3" t="s">
        <v>173</v>
      </c>
      <c r="K250" s="3" t="s">
        <v>77</v>
      </c>
      <c r="L250" s="3" t="s">
        <v>196</v>
      </c>
      <c r="M250" s="4" t="s">
        <v>2424</v>
      </c>
      <c r="N250" s="3" t="s">
        <v>25</v>
      </c>
      <c r="O250" s="3" t="s">
        <v>139</v>
      </c>
      <c r="P250" s="4" t="s">
        <v>140</v>
      </c>
      <c r="Q250" s="3"/>
      <c r="R250" s="3"/>
      <c r="Y250" s="4" t="s">
        <v>2425</v>
      </c>
      <c r="Z250" s="4" t="s">
        <v>2425</v>
      </c>
      <c r="AB250" s="3"/>
      <c r="AC250" s="3"/>
      <c r="AD250" s="3" t="s">
        <v>516</v>
      </c>
      <c r="AE250" s="3">
        <v>1000</v>
      </c>
      <c r="AI250" s="4" t="s">
        <v>2426</v>
      </c>
      <c r="AJ250" s="4" t="s">
        <v>2426</v>
      </c>
      <c r="AK250" s="3" t="s">
        <v>143</v>
      </c>
      <c r="AL250" s="4">
        <v>47630</v>
      </c>
      <c r="AM250" s="5">
        <v>390000</v>
      </c>
      <c r="AN250" s="4" t="s">
        <v>124</v>
      </c>
      <c r="AO250" s="4">
        <v>99</v>
      </c>
      <c r="AP250" s="4">
        <v>80100000</v>
      </c>
    </row>
    <row r="251" spans="1:42" s="4" customFormat="1" x14ac:dyDescent="0.25">
      <c r="A251" s="3">
        <v>4602568</v>
      </c>
      <c r="B251" s="28">
        <v>41043</v>
      </c>
      <c r="C251" s="3" t="s">
        <v>18</v>
      </c>
      <c r="D251" s="3">
        <v>10002504</v>
      </c>
      <c r="E251" s="4">
        <v>4531919</v>
      </c>
      <c r="F251" s="3" t="s">
        <v>49</v>
      </c>
      <c r="G251" s="4" t="s">
        <v>50</v>
      </c>
      <c r="H251" s="4" t="s">
        <v>51</v>
      </c>
      <c r="I251" s="5">
        <v>751269</v>
      </c>
      <c r="J251" s="3" t="s">
        <v>52</v>
      </c>
      <c r="K251" s="3" t="s">
        <v>53</v>
      </c>
      <c r="L251" s="3" t="s">
        <v>54</v>
      </c>
      <c r="M251" s="4" t="s">
        <v>55</v>
      </c>
      <c r="N251" s="3" t="s">
        <v>56</v>
      </c>
      <c r="O251" s="3"/>
      <c r="Q251" s="3"/>
      <c r="R251" s="3"/>
      <c r="Y251" s="4" t="s">
        <v>57</v>
      </c>
      <c r="Z251" s="4" t="s">
        <v>58</v>
      </c>
      <c r="AA251" s="4" t="s">
        <v>59</v>
      </c>
      <c r="AB251" s="3" t="s">
        <v>60</v>
      </c>
      <c r="AC251" s="3" t="s">
        <v>61</v>
      </c>
      <c r="AD251" s="3" t="s">
        <v>62</v>
      </c>
      <c r="AE251" s="3">
        <v>5000</v>
      </c>
      <c r="AI251" s="4" t="s">
        <v>63</v>
      </c>
      <c r="AJ251" s="4" t="s">
        <v>64</v>
      </c>
      <c r="AK251" s="3"/>
      <c r="AL251" s="4">
        <v>140189</v>
      </c>
      <c r="AM251" s="5">
        <v>751269</v>
      </c>
      <c r="AN251" s="4" t="s">
        <v>31</v>
      </c>
      <c r="AO251" s="4">
        <v>99</v>
      </c>
      <c r="AP251" s="4">
        <v>80101604</v>
      </c>
    </row>
    <row r="252" spans="1:42" s="4" customFormat="1" x14ac:dyDescent="0.25">
      <c r="A252" s="3">
        <v>4602736</v>
      </c>
      <c r="B252" s="28">
        <v>41432</v>
      </c>
      <c r="C252" s="3" t="s">
        <v>18</v>
      </c>
      <c r="D252" s="3">
        <v>10002504</v>
      </c>
      <c r="E252" s="4">
        <v>4532087</v>
      </c>
      <c r="F252" s="3" t="s">
        <v>49</v>
      </c>
      <c r="G252" s="4" t="s">
        <v>66</v>
      </c>
      <c r="H252" s="4" t="s">
        <v>67</v>
      </c>
      <c r="I252" s="5">
        <v>611493.02</v>
      </c>
      <c r="J252" s="3" t="s">
        <v>68</v>
      </c>
      <c r="K252" s="3" t="s">
        <v>53</v>
      </c>
      <c r="L252" s="3" t="s">
        <v>54</v>
      </c>
      <c r="M252" s="4" t="s">
        <v>69</v>
      </c>
      <c r="N252" s="3" t="s">
        <v>56</v>
      </c>
      <c r="O252" s="3"/>
      <c r="Q252" s="3"/>
      <c r="R252" s="3"/>
      <c r="Y252" s="4" t="s">
        <v>57</v>
      </c>
      <c r="Z252" s="4" t="s">
        <v>58</v>
      </c>
      <c r="AA252" s="4" t="s">
        <v>59</v>
      </c>
      <c r="AB252" s="3" t="s">
        <v>70</v>
      </c>
      <c r="AC252" s="3" t="s">
        <v>71</v>
      </c>
      <c r="AD252" s="3" t="s">
        <v>72</v>
      </c>
      <c r="AE252" s="3">
        <v>5000</v>
      </c>
      <c r="AI252" s="4" t="s">
        <v>63</v>
      </c>
      <c r="AJ252" s="4" t="s">
        <v>64</v>
      </c>
      <c r="AK252" s="3"/>
      <c r="AL252" s="4">
        <v>140835</v>
      </c>
      <c r="AM252" s="5">
        <v>611493.02</v>
      </c>
      <c r="AN252" s="4" t="s">
        <v>31</v>
      </c>
      <c r="AO252" s="4">
        <v>97</v>
      </c>
      <c r="AP252" s="4">
        <v>80101604</v>
      </c>
    </row>
    <row r="253" spans="1:42" s="4" customFormat="1" x14ac:dyDescent="0.25">
      <c r="A253" s="3">
        <v>4603367</v>
      </c>
      <c r="B253" s="28">
        <v>41192</v>
      </c>
      <c r="C253" s="3" t="s">
        <v>18</v>
      </c>
      <c r="D253" s="3">
        <v>10002504</v>
      </c>
      <c r="E253" s="4">
        <v>4532718</v>
      </c>
      <c r="F253" s="3" t="s">
        <v>49</v>
      </c>
      <c r="G253" s="4" t="s">
        <v>50</v>
      </c>
      <c r="H253" s="4" t="s">
        <v>99</v>
      </c>
      <c r="I253" s="5">
        <v>5412237.9900000002</v>
      </c>
      <c r="J253" s="3" t="s">
        <v>52</v>
      </c>
      <c r="K253" s="3" t="s">
        <v>53</v>
      </c>
      <c r="L253" s="3" t="s">
        <v>54</v>
      </c>
      <c r="M253" s="4" t="s">
        <v>99</v>
      </c>
      <c r="N253" s="3" t="s">
        <v>56</v>
      </c>
      <c r="O253" s="3"/>
      <c r="Q253" s="3"/>
      <c r="R253" s="3"/>
      <c r="Y253" s="4" t="s">
        <v>100</v>
      </c>
      <c r="Z253" s="4" t="s">
        <v>100</v>
      </c>
      <c r="AA253" s="4" t="s">
        <v>59</v>
      </c>
      <c r="AB253" s="3" t="s">
        <v>60</v>
      </c>
      <c r="AC253" s="3" t="s">
        <v>61</v>
      </c>
      <c r="AD253" s="3" t="s">
        <v>101</v>
      </c>
      <c r="AE253" s="3">
        <v>5000</v>
      </c>
      <c r="AI253" s="4" t="s">
        <v>102</v>
      </c>
      <c r="AJ253" s="4" t="s">
        <v>102</v>
      </c>
      <c r="AK253" s="3"/>
      <c r="AL253" s="4">
        <v>140189</v>
      </c>
      <c r="AM253" s="5">
        <v>5412237.9900000002</v>
      </c>
      <c r="AN253" s="4" t="s">
        <v>31</v>
      </c>
      <c r="AO253" s="4">
        <v>99</v>
      </c>
      <c r="AP253" s="4">
        <v>80101604</v>
      </c>
    </row>
    <row r="254" spans="1:42" s="4" customFormat="1" x14ac:dyDescent="0.25">
      <c r="A254" s="3">
        <v>4603646</v>
      </c>
      <c r="B254" s="28">
        <v>41396</v>
      </c>
      <c r="C254" s="3" t="s">
        <v>18</v>
      </c>
      <c r="D254" s="3">
        <v>10002504</v>
      </c>
      <c r="E254" s="4">
        <v>4532997</v>
      </c>
      <c r="F254" s="3" t="s">
        <v>49</v>
      </c>
      <c r="G254" s="4" t="s">
        <v>50</v>
      </c>
      <c r="H254" s="4" t="s">
        <v>99</v>
      </c>
      <c r="I254" s="5">
        <v>725999</v>
      </c>
      <c r="J254" s="3" t="s">
        <v>52</v>
      </c>
      <c r="K254" s="3" t="s">
        <v>53</v>
      </c>
      <c r="L254" s="3" t="s">
        <v>54</v>
      </c>
      <c r="M254" s="4" t="s">
        <v>99</v>
      </c>
      <c r="N254" s="3" t="s">
        <v>56</v>
      </c>
      <c r="O254" s="3"/>
      <c r="Q254" s="3"/>
      <c r="R254" s="3"/>
      <c r="Y254" s="4" t="s">
        <v>104</v>
      </c>
      <c r="Z254" s="4" t="s">
        <v>104</v>
      </c>
      <c r="AA254" s="4" t="s">
        <v>59</v>
      </c>
      <c r="AB254" s="3" t="s">
        <v>60</v>
      </c>
      <c r="AC254" s="3" t="s">
        <v>61</v>
      </c>
      <c r="AD254" s="3" t="s">
        <v>103</v>
      </c>
      <c r="AE254" s="3">
        <v>5000</v>
      </c>
      <c r="AI254" s="4" t="s">
        <v>105</v>
      </c>
      <c r="AJ254" s="4" t="s">
        <v>105</v>
      </c>
      <c r="AK254" s="3"/>
      <c r="AL254" s="4">
        <v>140189</v>
      </c>
      <c r="AM254" s="5">
        <v>725999</v>
      </c>
      <c r="AN254" s="4" t="s">
        <v>31</v>
      </c>
      <c r="AO254" s="4">
        <v>99</v>
      </c>
      <c r="AP254" s="4">
        <v>80101604</v>
      </c>
    </row>
    <row r="255" spans="1:42" s="4" customFormat="1" x14ac:dyDescent="0.25">
      <c r="A255" s="3">
        <v>4602620</v>
      </c>
      <c r="B255" s="28">
        <v>41793</v>
      </c>
      <c r="C255" s="3" t="s">
        <v>560</v>
      </c>
      <c r="D255" s="3">
        <v>10002451</v>
      </c>
      <c r="E255" s="4">
        <v>4531971</v>
      </c>
      <c r="F255" s="3" t="s">
        <v>49</v>
      </c>
      <c r="G255" s="4" t="s">
        <v>599</v>
      </c>
      <c r="H255" s="4" t="s">
        <v>600</v>
      </c>
      <c r="I255" s="5">
        <v>40000</v>
      </c>
      <c r="J255" s="3" t="s">
        <v>601</v>
      </c>
      <c r="K255" s="3" t="s">
        <v>602</v>
      </c>
      <c r="L255" s="3" t="s">
        <v>54</v>
      </c>
      <c r="M255" s="4" t="s">
        <v>603</v>
      </c>
      <c r="N255" s="3" t="s">
        <v>56</v>
      </c>
      <c r="O255" s="3"/>
      <c r="Q255" s="3"/>
      <c r="R255" s="3"/>
      <c r="Y255" s="4" t="s">
        <v>604</v>
      </c>
      <c r="Z255" s="4" t="s">
        <v>605</v>
      </c>
      <c r="AA255" s="4" t="s">
        <v>606</v>
      </c>
      <c r="AB255" s="3" t="s">
        <v>606</v>
      </c>
      <c r="AC255" s="3" t="s">
        <v>607</v>
      </c>
      <c r="AD255" s="3" t="s">
        <v>598</v>
      </c>
      <c r="AE255" s="3">
        <v>1000</v>
      </c>
      <c r="AI255" s="4" t="s">
        <v>608</v>
      </c>
      <c r="AJ255" s="4" t="s">
        <v>609</v>
      </c>
      <c r="AK255" s="3"/>
      <c r="AL255" s="4">
        <v>44723</v>
      </c>
      <c r="AM255" s="5">
        <v>40000</v>
      </c>
      <c r="AN255" s="4" t="s">
        <v>124</v>
      </c>
      <c r="AO255" s="4">
        <v>99</v>
      </c>
      <c r="AP255" s="4">
        <v>78111809</v>
      </c>
    </row>
    <row r="256" spans="1:42" s="4" customFormat="1" x14ac:dyDescent="0.25">
      <c r="A256" s="3">
        <v>4603008</v>
      </c>
      <c r="B256" s="28">
        <v>41793</v>
      </c>
      <c r="C256" s="3" t="s">
        <v>560</v>
      </c>
      <c r="D256" s="3">
        <v>10002828</v>
      </c>
      <c r="E256" s="4">
        <v>4532359</v>
      </c>
      <c r="F256" s="3" t="s">
        <v>49</v>
      </c>
      <c r="G256" s="4" t="s">
        <v>599</v>
      </c>
      <c r="H256" s="4" t="s">
        <v>600</v>
      </c>
      <c r="I256" s="5">
        <v>32000</v>
      </c>
      <c r="J256" s="3" t="s">
        <v>619</v>
      </c>
      <c r="K256" s="3" t="s">
        <v>620</v>
      </c>
      <c r="L256" s="3" t="s">
        <v>54</v>
      </c>
      <c r="M256" s="4" t="s">
        <v>621</v>
      </c>
      <c r="N256" s="3" t="s">
        <v>56</v>
      </c>
      <c r="O256" s="3"/>
      <c r="Q256" s="3"/>
      <c r="R256" s="3"/>
      <c r="Y256" s="4" t="s">
        <v>604</v>
      </c>
      <c r="Z256" s="4" t="s">
        <v>605</v>
      </c>
      <c r="AA256" s="4" t="s">
        <v>606</v>
      </c>
      <c r="AB256" s="3" t="s">
        <v>606</v>
      </c>
      <c r="AC256" s="3" t="s">
        <v>607</v>
      </c>
      <c r="AD256" s="3" t="s">
        <v>598</v>
      </c>
      <c r="AE256" s="3">
        <v>1000</v>
      </c>
      <c r="AI256" s="4" t="s">
        <v>608</v>
      </c>
      <c r="AJ256" s="4" t="s">
        <v>609</v>
      </c>
      <c r="AK256" s="3"/>
      <c r="AL256" s="4">
        <v>44723</v>
      </c>
      <c r="AM256" s="5">
        <v>32000</v>
      </c>
      <c r="AN256" s="4" t="s">
        <v>124</v>
      </c>
      <c r="AO256" s="4">
        <v>99</v>
      </c>
      <c r="AP256" s="4">
        <v>78111809</v>
      </c>
    </row>
    <row r="257" spans="1:42" s="4" customFormat="1" x14ac:dyDescent="0.25">
      <c r="A257" s="3">
        <v>4602371</v>
      </c>
      <c r="B257" s="28">
        <v>40981</v>
      </c>
      <c r="C257" s="3" t="s">
        <v>797</v>
      </c>
      <c r="D257" s="3">
        <v>10002275</v>
      </c>
      <c r="E257" s="4">
        <v>4531722</v>
      </c>
      <c r="F257" s="3" t="s">
        <v>49</v>
      </c>
      <c r="G257" s="4" t="s">
        <v>366</v>
      </c>
      <c r="H257" s="4" t="s">
        <v>798</v>
      </c>
      <c r="I257" s="5">
        <v>1210000</v>
      </c>
      <c r="J257" s="3" t="s">
        <v>796</v>
      </c>
      <c r="K257" s="3" t="s">
        <v>575</v>
      </c>
      <c r="L257" s="3" t="s">
        <v>54</v>
      </c>
      <c r="M257" s="4" t="s">
        <v>798</v>
      </c>
      <c r="N257" s="3" t="s">
        <v>56</v>
      </c>
      <c r="O257" s="3"/>
      <c r="Q257" s="3"/>
      <c r="R257" s="3"/>
      <c r="Y257" s="4" t="s">
        <v>368</v>
      </c>
      <c r="Z257" s="4" t="s">
        <v>799</v>
      </c>
      <c r="AA257" s="4" t="s">
        <v>800</v>
      </c>
      <c r="AB257" s="3" t="s">
        <v>801</v>
      </c>
      <c r="AC257" s="3" t="s">
        <v>802</v>
      </c>
      <c r="AD257" s="3" t="s">
        <v>439</v>
      </c>
      <c r="AE257" s="3">
        <v>5000</v>
      </c>
      <c r="AI257" s="4" t="s">
        <v>370</v>
      </c>
      <c r="AJ257" s="4" t="s">
        <v>803</v>
      </c>
      <c r="AK257" s="3"/>
      <c r="AL257" s="4">
        <v>48623</v>
      </c>
      <c r="AM257" s="5">
        <v>1210000</v>
      </c>
      <c r="AN257" s="4" t="s">
        <v>31</v>
      </c>
      <c r="AO257" s="4">
        <v>99</v>
      </c>
      <c r="AP257" s="4">
        <v>82111800</v>
      </c>
    </row>
    <row r="258" spans="1:42" s="4" customFormat="1" x14ac:dyDescent="0.25">
      <c r="A258" s="3">
        <v>4602635</v>
      </c>
      <c r="B258" s="28">
        <v>41793</v>
      </c>
      <c r="C258" s="3" t="s">
        <v>797</v>
      </c>
      <c r="D258" s="3">
        <v>10002588</v>
      </c>
      <c r="E258" s="4">
        <v>4531986</v>
      </c>
      <c r="F258" s="3" t="s">
        <v>49</v>
      </c>
      <c r="G258" s="4" t="s">
        <v>599</v>
      </c>
      <c r="H258" s="4" t="s">
        <v>600</v>
      </c>
      <c r="I258" s="5">
        <v>34000</v>
      </c>
      <c r="J258" s="3" t="s">
        <v>809</v>
      </c>
      <c r="K258" s="3" t="s">
        <v>818</v>
      </c>
      <c r="L258" s="3" t="s">
        <v>54</v>
      </c>
      <c r="M258" s="4" t="s">
        <v>819</v>
      </c>
      <c r="N258" s="3" t="s">
        <v>56</v>
      </c>
      <c r="O258" s="3"/>
      <c r="Q258" s="3"/>
      <c r="R258" s="3"/>
      <c r="Y258" s="4" t="s">
        <v>604</v>
      </c>
      <c r="Z258" s="4" t="s">
        <v>605</v>
      </c>
      <c r="AA258" s="4" t="s">
        <v>606</v>
      </c>
      <c r="AB258" s="3" t="s">
        <v>606</v>
      </c>
      <c r="AC258" s="3" t="s">
        <v>607</v>
      </c>
      <c r="AD258" s="3" t="s">
        <v>598</v>
      </c>
      <c r="AE258" s="3">
        <v>1000</v>
      </c>
      <c r="AI258" s="4" t="s">
        <v>608</v>
      </c>
      <c r="AJ258" s="4" t="s">
        <v>609</v>
      </c>
      <c r="AK258" s="3"/>
      <c r="AL258" s="4">
        <v>44723</v>
      </c>
      <c r="AM258" s="5">
        <v>34000</v>
      </c>
      <c r="AN258" s="4" t="s">
        <v>124</v>
      </c>
      <c r="AO258" s="4">
        <v>99</v>
      </c>
      <c r="AP258" s="4">
        <v>78111809</v>
      </c>
    </row>
    <row r="259" spans="1:42" s="4" customFormat="1" x14ac:dyDescent="0.25">
      <c r="A259" s="3">
        <v>4600043</v>
      </c>
      <c r="B259" s="28">
        <v>41831</v>
      </c>
      <c r="C259" s="3" t="s">
        <v>1042</v>
      </c>
      <c r="D259" s="3">
        <v>10000047</v>
      </c>
      <c r="E259" s="4">
        <v>4529393</v>
      </c>
      <c r="F259" s="3" t="s">
        <v>49</v>
      </c>
      <c r="G259" s="4" t="s">
        <v>1053</v>
      </c>
      <c r="H259" s="4" t="s">
        <v>1054</v>
      </c>
      <c r="I259" s="5">
        <v>13400000</v>
      </c>
      <c r="J259" s="3" t="s">
        <v>1055</v>
      </c>
      <c r="K259" s="3" t="s">
        <v>208</v>
      </c>
      <c r="L259" s="3" t="s">
        <v>54</v>
      </c>
      <c r="M259" s="4" t="s">
        <v>1054</v>
      </c>
      <c r="N259" s="3" t="s">
        <v>25</v>
      </c>
      <c r="O259" s="3"/>
      <c r="Q259" s="3"/>
      <c r="R259" s="3"/>
      <c r="Y259" s="4" t="s">
        <v>1056</v>
      </c>
      <c r="Z259" s="4" t="s">
        <v>1048</v>
      </c>
      <c r="AA259" s="4" t="s">
        <v>1057</v>
      </c>
      <c r="AB259" s="3"/>
      <c r="AC259" s="3"/>
      <c r="AD259" s="3" t="s">
        <v>369</v>
      </c>
      <c r="AE259" s="3">
        <v>1000</v>
      </c>
      <c r="AF259" s="4">
        <v>365340.27</v>
      </c>
      <c r="AG259" s="4">
        <v>6798959.7300000004</v>
      </c>
      <c r="AH259" s="4">
        <v>4528912</v>
      </c>
      <c r="AI259" s="4" t="s">
        <v>1058</v>
      </c>
      <c r="AJ259" s="4" t="s">
        <v>1051</v>
      </c>
      <c r="AK259" s="3"/>
      <c r="AL259" s="4">
        <v>140248</v>
      </c>
      <c r="AM259" s="5">
        <v>13400000</v>
      </c>
      <c r="AN259" s="4" t="s">
        <v>124</v>
      </c>
      <c r="AO259" s="4">
        <v>98</v>
      </c>
      <c r="AP259" s="4">
        <v>43210000</v>
      </c>
    </row>
    <row r="260" spans="1:42" s="4" customFormat="1" x14ac:dyDescent="0.25">
      <c r="A260" s="3">
        <v>4601044</v>
      </c>
      <c r="B260" s="28">
        <v>42185</v>
      </c>
      <c r="C260" s="3" t="s">
        <v>1042</v>
      </c>
      <c r="D260" s="3">
        <v>10000686</v>
      </c>
      <c r="E260" s="4">
        <v>4530394</v>
      </c>
      <c r="F260" s="3" t="s">
        <v>49</v>
      </c>
      <c r="G260" s="4" t="s">
        <v>1064</v>
      </c>
      <c r="H260" s="4" t="s">
        <v>1065</v>
      </c>
      <c r="I260" s="5">
        <v>773300</v>
      </c>
      <c r="J260" s="3" t="s">
        <v>1066</v>
      </c>
      <c r="K260" s="3" t="s">
        <v>1067</v>
      </c>
      <c r="L260" s="3" t="s">
        <v>54</v>
      </c>
      <c r="M260" s="4" t="s">
        <v>1065</v>
      </c>
      <c r="N260" s="3" t="s">
        <v>25</v>
      </c>
      <c r="O260" s="3"/>
      <c r="Q260" s="3"/>
      <c r="R260" s="3"/>
      <c r="Y260" s="4" t="s">
        <v>1068</v>
      </c>
      <c r="Z260" s="4" t="s">
        <v>1069</v>
      </c>
      <c r="AA260" s="4" t="s">
        <v>1070</v>
      </c>
      <c r="AB260" s="3"/>
      <c r="AC260" s="3"/>
      <c r="AD260" s="3" t="s">
        <v>77</v>
      </c>
      <c r="AE260" s="3">
        <v>1000</v>
      </c>
      <c r="AI260" s="4" t="s">
        <v>1071</v>
      </c>
      <c r="AJ260" s="4" t="s">
        <v>1072</v>
      </c>
      <c r="AK260" s="3"/>
      <c r="AL260" s="4">
        <v>49247</v>
      </c>
      <c r="AM260" s="5">
        <v>773300</v>
      </c>
      <c r="AN260" s="4" t="s">
        <v>124</v>
      </c>
      <c r="AO260" s="4">
        <v>99</v>
      </c>
      <c r="AP260" s="4">
        <v>92120000</v>
      </c>
    </row>
    <row r="261" spans="1:42" s="4" customFormat="1" x14ac:dyDescent="0.25">
      <c r="A261" s="3">
        <v>4602726</v>
      </c>
      <c r="B261" s="28">
        <v>41830</v>
      </c>
      <c r="C261" s="3" t="s">
        <v>1042</v>
      </c>
      <c r="D261" s="3">
        <v>10002587</v>
      </c>
      <c r="E261" s="4">
        <v>4532077</v>
      </c>
      <c r="F261" s="3" t="s">
        <v>49</v>
      </c>
      <c r="G261" s="4" t="s">
        <v>1092</v>
      </c>
      <c r="H261" s="4" t="s">
        <v>1093</v>
      </c>
      <c r="I261" s="5">
        <v>637290</v>
      </c>
      <c r="J261" s="3" t="s">
        <v>68</v>
      </c>
      <c r="K261" s="3" t="s">
        <v>77</v>
      </c>
      <c r="L261" s="3" t="s">
        <v>54</v>
      </c>
      <c r="M261" s="4" t="s">
        <v>1094</v>
      </c>
      <c r="N261" s="3" t="s">
        <v>56</v>
      </c>
      <c r="O261" s="3"/>
      <c r="Q261" s="3"/>
      <c r="R261" s="3"/>
      <c r="Y261" s="4" t="s">
        <v>1056</v>
      </c>
      <c r="Z261" s="4" t="s">
        <v>1090</v>
      </c>
      <c r="AA261" s="4" t="s">
        <v>1095</v>
      </c>
      <c r="AB261" s="3" t="s">
        <v>1096</v>
      </c>
      <c r="AC261" s="3" t="s">
        <v>1097</v>
      </c>
      <c r="AD261" s="3" t="s">
        <v>211</v>
      </c>
      <c r="AE261" s="3">
        <v>1000</v>
      </c>
      <c r="AI261" s="4" t="s">
        <v>1058</v>
      </c>
      <c r="AJ261" s="4" t="s">
        <v>1091</v>
      </c>
      <c r="AK261" s="3"/>
      <c r="AL261" s="4">
        <v>45870</v>
      </c>
      <c r="AM261" s="5">
        <v>637290</v>
      </c>
      <c r="AN261" s="4" t="s">
        <v>124</v>
      </c>
      <c r="AO261" s="4">
        <v>99</v>
      </c>
      <c r="AP261" s="4">
        <v>44100000</v>
      </c>
    </row>
    <row r="262" spans="1:42" s="4" customFormat="1" x14ac:dyDescent="0.25">
      <c r="A262" s="3">
        <v>4603096</v>
      </c>
      <c r="B262" s="28">
        <v>41817</v>
      </c>
      <c r="C262" s="3" t="s">
        <v>1042</v>
      </c>
      <c r="D262" s="3">
        <v>10002915</v>
      </c>
      <c r="E262" s="4">
        <v>4532447</v>
      </c>
      <c r="F262" s="3" t="s">
        <v>49</v>
      </c>
      <c r="G262" s="4" t="s">
        <v>1099</v>
      </c>
      <c r="H262" s="4" t="s">
        <v>1100</v>
      </c>
      <c r="I262" s="5">
        <v>1417890.72</v>
      </c>
      <c r="J262" s="3" t="s">
        <v>1101</v>
      </c>
      <c r="K262" s="3" t="s">
        <v>1102</v>
      </c>
      <c r="L262" s="3" t="s">
        <v>54</v>
      </c>
      <c r="M262" s="4" t="s">
        <v>1103</v>
      </c>
      <c r="N262" s="3" t="s">
        <v>56</v>
      </c>
      <c r="O262" s="3"/>
      <c r="Q262" s="3"/>
      <c r="R262" s="3"/>
      <c r="Y262" s="4" t="s">
        <v>1056</v>
      </c>
      <c r="Z262" s="4" t="s">
        <v>1090</v>
      </c>
      <c r="AA262" s="4" t="s">
        <v>1104</v>
      </c>
      <c r="AB262" s="3" t="s">
        <v>1104</v>
      </c>
      <c r="AC262" s="3" t="s">
        <v>1105</v>
      </c>
      <c r="AD262" s="3" t="s">
        <v>1098</v>
      </c>
      <c r="AE262" s="3">
        <v>1000</v>
      </c>
      <c r="AI262" s="4" t="s">
        <v>1058</v>
      </c>
      <c r="AJ262" s="4" t="s">
        <v>1091</v>
      </c>
      <c r="AK262" s="3"/>
      <c r="AL262" s="4">
        <v>140163</v>
      </c>
      <c r="AM262" s="5">
        <v>1417890.72</v>
      </c>
      <c r="AN262" s="4" t="s">
        <v>124</v>
      </c>
      <c r="AO262" s="4">
        <v>99</v>
      </c>
      <c r="AP262" s="4">
        <v>43222500</v>
      </c>
    </row>
    <row r="263" spans="1:42" s="4" customFormat="1" x14ac:dyDescent="0.25">
      <c r="A263" s="3">
        <v>4603104</v>
      </c>
      <c r="B263" s="28">
        <v>41761</v>
      </c>
      <c r="C263" s="3" t="s">
        <v>1042</v>
      </c>
      <c r="D263" s="3">
        <v>10002943</v>
      </c>
      <c r="E263" s="4">
        <v>4532455</v>
      </c>
      <c r="F263" s="3" t="s">
        <v>49</v>
      </c>
      <c r="G263" s="4" t="s">
        <v>599</v>
      </c>
      <c r="H263" s="4" t="s">
        <v>600</v>
      </c>
      <c r="I263" s="5">
        <v>3733.83</v>
      </c>
      <c r="J263" s="3" t="s">
        <v>1107</v>
      </c>
      <c r="K263" s="3" t="s">
        <v>932</v>
      </c>
      <c r="L263" s="3" t="s">
        <v>54</v>
      </c>
      <c r="M263" s="4" t="s">
        <v>1108</v>
      </c>
      <c r="N263" s="3" t="s">
        <v>56</v>
      </c>
      <c r="O263" s="3"/>
      <c r="Q263" s="3"/>
      <c r="R263" s="3"/>
      <c r="Y263" s="4" t="s">
        <v>604</v>
      </c>
      <c r="Z263" s="4" t="s">
        <v>605</v>
      </c>
      <c r="AA263" s="4" t="s">
        <v>606</v>
      </c>
      <c r="AB263" s="3" t="s">
        <v>606</v>
      </c>
      <c r="AC263" s="3" t="s">
        <v>607</v>
      </c>
      <c r="AD263" s="3" t="s">
        <v>1109</v>
      </c>
      <c r="AE263" s="3">
        <v>1000</v>
      </c>
      <c r="AI263" s="4" t="s">
        <v>608</v>
      </c>
      <c r="AJ263" s="4" t="s">
        <v>609</v>
      </c>
      <c r="AK263" s="3"/>
      <c r="AL263" s="4">
        <v>44723</v>
      </c>
      <c r="AM263" s="5">
        <v>3733.83</v>
      </c>
      <c r="AN263" s="4" t="s">
        <v>124</v>
      </c>
      <c r="AO263" s="4">
        <v>99</v>
      </c>
      <c r="AP263" s="4">
        <v>78111809</v>
      </c>
    </row>
    <row r="264" spans="1:42" s="4" customFormat="1" x14ac:dyDescent="0.25">
      <c r="A264" s="3">
        <v>4603598</v>
      </c>
      <c r="B264" s="28">
        <v>42093</v>
      </c>
      <c r="C264" s="3" t="s">
        <v>1042</v>
      </c>
      <c r="D264" s="3">
        <v>10003413</v>
      </c>
      <c r="E264" s="4">
        <v>4532949</v>
      </c>
      <c r="F264" s="3" t="s">
        <v>49</v>
      </c>
      <c r="G264" s="4" t="s">
        <v>1137</v>
      </c>
      <c r="H264" s="4" t="s">
        <v>1138</v>
      </c>
      <c r="I264" s="5">
        <v>5431.77</v>
      </c>
      <c r="J264" s="3" t="s">
        <v>1139</v>
      </c>
      <c r="K264" s="3" t="s">
        <v>513</v>
      </c>
      <c r="L264" s="3" t="s">
        <v>54</v>
      </c>
      <c r="M264" s="4" t="s">
        <v>1140</v>
      </c>
      <c r="N264" s="3" t="s">
        <v>56</v>
      </c>
      <c r="O264" s="3"/>
      <c r="Q264" s="3"/>
      <c r="R264" s="3"/>
      <c r="Y264" s="4" t="s">
        <v>1141</v>
      </c>
      <c r="Z264" s="4" t="s">
        <v>1090</v>
      </c>
      <c r="AA264" s="4" t="s">
        <v>1142</v>
      </c>
      <c r="AB264" s="3" t="s">
        <v>1142</v>
      </c>
      <c r="AC264" s="3" t="s">
        <v>1143</v>
      </c>
      <c r="AD264" s="3" t="s">
        <v>1136</v>
      </c>
      <c r="AE264" s="3">
        <v>1000</v>
      </c>
      <c r="AI264" s="4" t="s">
        <v>1144</v>
      </c>
      <c r="AJ264" s="4" t="s">
        <v>1091</v>
      </c>
      <c r="AK264" s="3"/>
      <c r="AL264" s="4">
        <v>141215</v>
      </c>
      <c r="AM264" s="5">
        <v>5431.77</v>
      </c>
      <c r="AN264" s="4" t="s">
        <v>124</v>
      </c>
      <c r="AO264" s="4">
        <v>99</v>
      </c>
      <c r="AP264" s="4">
        <v>78111809</v>
      </c>
    </row>
    <row r="265" spans="1:42" s="4" customFormat="1" x14ac:dyDescent="0.25">
      <c r="A265" s="3">
        <v>4603599</v>
      </c>
      <c r="B265" s="28">
        <v>42185</v>
      </c>
      <c r="C265" s="3" t="s">
        <v>1042</v>
      </c>
      <c r="D265" s="3">
        <v>10003442</v>
      </c>
      <c r="E265" s="4">
        <v>4532950</v>
      </c>
      <c r="F265" s="3" t="s">
        <v>49</v>
      </c>
      <c r="G265" s="4" t="s">
        <v>1137</v>
      </c>
      <c r="H265" s="4" t="s">
        <v>1138</v>
      </c>
      <c r="I265" s="5">
        <v>35000</v>
      </c>
      <c r="J265" s="3" t="s">
        <v>1145</v>
      </c>
      <c r="K265" s="3" t="s">
        <v>237</v>
      </c>
      <c r="L265" s="3" t="s">
        <v>54</v>
      </c>
      <c r="M265" s="4" t="s">
        <v>1146</v>
      </c>
      <c r="N265" s="3" t="s">
        <v>56</v>
      </c>
      <c r="O265" s="3"/>
      <c r="Q265" s="3"/>
      <c r="R265" s="3"/>
      <c r="Y265" s="4" t="s">
        <v>1141</v>
      </c>
      <c r="Z265" s="4" t="s">
        <v>1090</v>
      </c>
      <c r="AA265" s="4" t="s">
        <v>1142</v>
      </c>
      <c r="AB265" s="3" t="s">
        <v>1142</v>
      </c>
      <c r="AC265" s="3" t="s">
        <v>1143</v>
      </c>
      <c r="AD265" s="3" t="s">
        <v>77</v>
      </c>
      <c r="AE265" s="3">
        <v>1000</v>
      </c>
      <c r="AI265" s="4" t="s">
        <v>1144</v>
      </c>
      <c r="AJ265" s="4" t="s">
        <v>1091</v>
      </c>
      <c r="AK265" s="3"/>
      <c r="AL265" s="4">
        <v>141215</v>
      </c>
      <c r="AM265" s="5">
        <v>35000</v>
      </c>
      <c r="AN265" s="4" t="s">
        <v>124</v>
      </c>
      <c r="AO265" s="4">
        <v>99</v>
      </c>
      <c r="AP265" s="4">
        <v>78111809</v>
      </c>
    </row>
    <row r="266" spans="1:42" s="4" customFormat="1" x14ac:dyDescent="0.25">
      <c r="A266" s="3">
        <v>4603600</v>
      </c>
      <c r="B266" s="28">
        <v>42185</v>
      </c>
      <c r="C266" s="3" t="s">
        <v>1042</v>
      </c>
      <c r="D266" s="3">
        <v>10003443</v>
      </c>
      <c r="E266" s="4">
        <v>4532951</v>
      </c>
      <c r="F266" s="3" t="s">
        <v>49</v>
      </c>
      <c r="G266" s="4" t="s">
        <v>1137</v>
      </c>
      <c r="H266" s="4" t="s">
        <v>1147</v>
      </c>
      <c r="I266" s="5">
        <v>30000</v>
      </c>
      <c r="J266" s="3" t="s">
        <v>1148</v>
      </c>
      <c r="K266" s="3" t="s">
        <v>365</v>
      </c>
      <c r="L266" s="3" t="s">
        <v>54</v>
      </c>
      <c r="M266" s="4" t="s">
        <v>1149</v>
      </c>
      <c r="N266" s="3" t="s">
        <v>56</v>
      </c>
      <c r="O266" s="3"/>
      <c r="Q266" s="3"/>
      <c r="R266" s="3"/>
      <c r="Y266" s="4" t="s">
        <v>1068</v>
      </c>
      <c r="Z266" s="4" t="s">
        <v>1090</v>
      </c>
      <c r="AA266" s="4" t="s">
        <v>1142</v>
      </c>
      <c r="AB266" s="3" t="s">
        <v>1142</v>
      </c>
      <c r="AC266" s="3" t="s">
        <v>1143</v>
      </c>
      <c r="AD266" s="3" t="s">
        <v>77</v>
      </c>
      <c r="AE266" s="3">
        <v>1000</v>
      </c>
      <c r="AI266" s="4" t="s">
        <v>1071</v>
      </c>
      <c r="AJ266" s="4" t="s">
        <v>1091</v>
      </c>
      <c r="AK266" s="3"/>
      <c r="AL266" s="4">
        <v>141215</v>
      </c>
      <c r="AM266" s="5">
        <v>30000</v>
      </c>
      <c r="AN266" s="4" t="s">
        <v>124</v>
      </c>
      <c r="AO266" s="4">
        <v>99</v>
      </c>
      <c r="AP266" s="4">
        <v>78111809</v>
      </c>
    </row>
    <row r="267" spans="1:42" s="4" customFormat="1" x14ac:dyDescent="0.25">
      <c r="A267" s="3">
        <v>4604121</v>
      </c>
      <c r="B267" s="28">
        <v>41508</v>
      </c>
      <c r="C267" s="3" t="s">
        <v>1042</v>
      </c>
      <c r="D267" s="3">
        <v>10003236</v>
      </c>
      <c r="E267" s="4">
        <v>4533472</v>
      </c>
      <c r="F267" s="3" t="s">
        <v>49</v>
      </c>
      <c r="G267" s="4" t="s">
        <v>1085</v>
      </c>
      <c r="H267" s="4" t="s">
        <v>1257</v>
      </c>
      <c r="I267" s="5">
        <v>278804.07</v>
      </c>
      <c r="J267" s="3" t="s">
        <v>1258</v>
      </c>
      <c r="K267" s="3" t="s">
        <v>1259</v>
      </c>
      <c r="L267" s="3" t="s">
        <v>54</v>
      </c>
      <c r="M267" s="4" t="s">
        <v>1260</v>
      </c>
      <c r="N267" s="3" t="s">
        <v>56</v>
      </c>
      <c r="O267" s="3"/>
      <c r="Q267" s="3"/>
      <c r="R267" s="3"/>
      <c r="Y267" s="4" t="s">
        <v>1056</v>
      </c>
      <c r="Z267" s="4" t="s">
        <v>1090</v>
      </c>
      <c r="AB267" s="3"/>
      <c r="AC267" s="3"/>
      <c r="AD267" s="3" t="s">
        <v>654</v>
      </c>
      <c r="AE267" s="3">
        <v>1000</v>
      </c>
      <c r="AI267" s="4" t="s">
        <v>1058</v>
      </c>
      <c r="AJ267" s="4" t="s">
        <v>1091</v>
      </c>
      <c r="AK267" s="3"/>
      <c r="AL267" s="4">
        <v>30502</v>
      </c>
      <c r="AM267" s="5">
        <v>278804.07</v>
      </c>
      <c r="AN267" s="4" t="s">
        <v>124</v>
      </c>
      <c r="AO267" s="4">
        <v>99</v>
      </c>
    </row>
    <row r="268" spans="1:42" s="4" customFormat="1" x14ac:dyDescent="0.25">
      <c r="A268" s="3">
        <v>4600204</v>
      </c>
      <c r="B268" s="28">
        <v>40151</v>
      </c>
      <c r="C268" s="3" t="s">
        <v>2151</v>
      </c>
      <c r="D268" s="3">
        <v>10000237</v>
      </c>
      <c r="E268" s="4">
        <v>4529554</v>
      </c>
      <c r="F268" s="3" t="s">
        <v>49</v>
      </c>
      <c r="G268" s="4" t="s">
        <v>2152</v>
      </c>
      <c r="H268" s="4" t="s">
        <v>2153</v>
      </c>
      <c r="I268" s="5">
        <v>274637000</v>
      </c>
      <c r="J268" s="3" t="s">
        <v>2150</v>
      </c>
      <c r="K268" s="3" t="s">
        <v>2154</v>
      </c>
      <c r="L268" s="3" t="s">
        <v>54</v>
      </c>
      <c r="M268" s="4" t="s">
        <v>2153</v>
      </c>
      <c r="N268" s="3" t="s">
        <v>25</v>
      </c>
      <c r="O268" s="3"/>
      <c r="Q268" s="3"/>
      <c r="R268" s="3"/>
      <c r="Y268" s="4" t="s">
        <v>2155</v>
      </c>
      <c r="Z268" s="4" t="s">
        <v>1048</v>
      </c>
      <c r="AB268" s="3"/>
      <c r="AC268" s="3"/>
      <c r="AD268" s="3" t="s">
        <v>2156</v>
      </c>
      <c r="AE268" s="3">
        <v>5000</v>
      </c>
      <c r="AF268" s="4">
        <v>29942429</v>
      </c>
      <c r="AG268" s="4">
        <v>244694571</v>
      </c>
      <c r="AH268" s="4">
        <v>4528763</v>
      </c>
      <c r="AI268" s="4" t="s">
        <v>2157</v>
      </c>
      <c r="AJ268" s="4" t="s">
        <v>1051</v>
      </c>
      <c r="AK268" s="3"/>
      <c r="AL268" s="4">
        <v>47956</v>
      </c>
      <c r="AM268" s="5">
        <v>274637000</v>
      </c>
      <c r="AN268" s="4" t="s">
        <v>31</v>
      </c>
      <c r="AO268" s="4">
        <v>99</v>
      </c>
    </row>
    <row r="269" spans="1:42" s="4" customFormat="1" x14ac:dyDescent="0.25">
      <c r="A269" s="3">
        <v>4601104</v>
      </c>
      <c r="B269" s="28">
        <v>40665</v>
      </c>
      <c r="C269" s="3" t="s">
        <v>2273</v>
      </c>
      <c r="D269" s="3">
        <v>10001176</v>
      </c>
      <c r="E269" s="4">
        <v>4530454</v>
      </c>
      <c r="F269" s="3" t="s">
        <v>49</v>
      </c>
      <c r="G269" s="4" t="s">
        <v>2290</v>
      </c>
      <c r="H269" s="4" t="s">
        <v>2291</v>
      </c>
      <c r="I269" s="5">
        <v>150000</v>
      </c>
      <c r="J269" s="3" t="s">
        <v>2289</v>
      </c>
      <c r="K269" s="3" t="s">
        <v>832</v>
      </c>
      <c r="L269" s="3" t="s">
        <v>54</v>
      </c>
      <c r="M269" s="4" t="s">
        <v>2291</v>
      </c>
      <c r="N269" s="3" t="s">
        <v>56</v>
      </c>
      <c r="O269" s="3" t="s">
        <v>139</v>
      </c>
      <c r="P269" s="4" t="s">
        <v>140</v>
      </c>
      <c r="Q269" s="3" t="s">
        <v>139</v>
      </c>
      <c r="R269" s="3" t="s">
        <v>215</v>
      </c>
      <c r="S269" s="4" t="s">
        <v>216</v>
      </c>
      <c r="Y269" s="4" t="s">
        <v>2292</v>
      </c>
      <c r="Z269" s="4" t="s">
        <v>2293</v>
      </c>
      <c r="AA269" s="4" t="s">
        <v>2294</v>
      </c>
      <c r="AB269" s="3" t="s">
        <v>2295</v>
      </c>
      <c r="AC269" s="3" t="s">
        <v>2296</v>
      </c>
      <c r="AD269" s="3" t="s">
        <v>2228</v>
      </c>
      <c r="AE269" s="3">
        <v>1000</v>
      </c>
      <c r="AI269" s="4" t="s">
        <v>2297</v>
      </c>
      <c r="AJ269" s="4" t="s">
        <v>2298</v>
      </c>
      <c r="AK269" s="3" t="s">
        <v>143</v>
      </c>
      <c r="AL269" s="4">
        <v>140444</v>
      </c>
      <c r="AM269" s="5">
        <v>150000</v>
      </c>
      <c r="AN269" s="4" t="s">
        <v>124</v>
      </c>
      <c r="AO269" s="4">
        <v>99</v>
      </c>
      <c r="AP269" s="4">
        <v>80120000</v>
      </c>
    </row>
    <row r="270" spans="1:42" s="4" customFormat="1" x14ac:dyDescent="0.25">
      <c r="A270" s="3">
        <v>4603163</v>
      </c>
      <c r="B270" s="28">
        <v>41793</v>
      </c>
      <c r="C270" s="3" t="s">
        <v>2273</v>
      </c>
      <c r="D270" s="3">
        <v>10002992</v>
      </c>
      <c r="E270" s="4">
        <v>4532514</v>
      </c>
      <c r="F270" s="3" t="s">
        <v>49</v>
      </c>
      <c r="G270" s="4" t="s">
        <v>599</v>
      </c>
      <c r="H270" s="4" t="s">
        <v>1138</v>
      </c>
      <c r="I270" s="5">
        <v>33000</v>
      </c>
      <c r="J270" s="3" t="s">
        <v>98</v>
      </c>
      <c r="K270" s="3" t="s">
        <v>180</v>
      </c>
      <c r="L270" s="3" t="s">
        <v>54</v>
      </c>
      <c r="M270" s="4" t="s">
        <v>2314</v>
      </c>
      <c r="N270" s="3" t="s">
        <v>56</v>
      </c>
      <c r="O270" s="3"/>
      <c r="Q270" s="3"/>
      <c r="R270" s="3"/>
      <c r="Y270" s="4" t="s">
        <v>604</v>
      </c>
      <c r="Z270" s="4" t="s">
        <v>605</v>
      </c>
      <c r="AA270" s="4" t="s">
        <v>606</v>
      </c>
      <c r="AB270" s="3" t="s">
        <v>606</v>
      </c>
      <c r="AC270" s="3" t="s">
        <v>607</v>
      </c>
      <c r="AD270" s="3" t="s">
        <v>598</v>
      </c>
      <c r="AE270" s="3">
        <v>1000</v>
      </c>
      <c r="AI270" s="4" t="s">
        <v>608</v>
      </c>
      <c r="AJ270" s="4" t="s">
        <v>609</v>
      </c>
      <c r="AK270" s="3"/>
      <c r="AL270" s="4">
        <v>44723</v>
      </c>
      <c r="AM270" s="5">
        <v>33000</v>
      </c>
      <c r="AN270" s="4" t="s">
        <v>124</v>
      </c>
      <c r="AO270" s="4">
        <v>99</v>
      </c>
      <c r="AP270" s="4">
        <v>78111809</v>
      </c>
    </row>
    <row r="271" spans="1:42" s="4" customFormat="1" x14ac:dyDescent="0.25">
      <c r="A271" s="3">
        <v>4603168</v>
      </c>
      <c r="B271" s="28">
        <v>41184</v>
      </c>
      <c r="C271" s="3" t="s">
        <v>2273</v>
      </c>
      <c r="D271" s="3">
        <v>10003017</v>
      </c>
      <c r="E271" s="4">
        <v>4532519</v>
      </c>
      <c r="F271" s="3" t="s">
        <v>49</v>
      </c>
      <c r="G271" s="4" t="s">
        <v>2300</v>
      </c>
      <c r="H271" s="4" t="s">
        <v>2315</v>
      </c>
      <c r="I271" s="5">
        <v>15000</v>
      </c>
      <c r="J271" s="3" t="s">
        <v>1113</v>
      </c>
      <c r="K271" s="3" t="s">
        <v>807</v>
      </c>
      <c r="L271" s="3" t="s">
        <v>54</v>
      </c>
      <c r="M271" s="4" t="s">
        <v>2316</v>
      </c>
      <c r="N271" s="3" t="s">
        <v>56</v>
      </c>
      <c r="O271" s="3" t="s">
        <v>139</v>
      </c>
      <c r="P271" s="4" t="s">
        <v>282</v>
      </c>
      <c r="Q271" s="3" t="s">
        <v>139</v>
      </c>
      <c r="R271" s="3" t="s">
        <v>427</v>
      </c>
      <c r="S271" s="4" t="s">
        <v>428</v>
      </c>
      <c r="U271" s="4" t="s">
        <v>139</v>
      </c>
      <c r="V271" s="4" t="s">
        <v>427</v>
      </c>
      <c r="W271" s="4" t="s">
        <v>428</v>
      </c>
      <c r="Y271" s="4" t="s">
        <v>2286</v>
      </c>
      <c r="Z271" s="4" t="s">
        <v>2293</v>
      </c>
      <c r="AA271" s="4" t="s">
        <v>2294</v>
      </c>
      <c r="AB271" s="3" t="s">
        <v>2303</v>
      </c>
      <c r="AC271" s="3" t="s">
        <v>2296</v>
      </c>
      <c r="AD271" s="3" t="s">
        <v>774</v>
      </c>
      <c r="AE271" s="3">
        <v>1000</v>
      </c>
      <c r="AI271" s="4" t="s">
        <v>2288</v>
      </c>
      <c r="AJ271" s="4" t="s">
        <v>2298</v>
      </c>
      <c r="AK271" s="3" t="s">
        <v>286</v>
      </c>
      <c r="AL271" s="4">
        <v>30080</v>
      </c>
      <c r="AM271" s="5">
        <v>15000</v>
      </c>
      <c r="AN271" s="4" t="s">
        <v>2282</v>
      </c>
      <c r="AO271" s="4">
        <v>99</v>
      </c>
      <c r="AP271" s="4">
        <v>80120000</v>
      </c>
    </row>
    <row r="272" spans="1:42" s="4" customFormat="1" x14ac:dyDescent="0.25">
      <c r="A272" s="3">
        <v>4603298</v>
      </c>
      <c r="B272" s="28">
        <v>41234</v>
      </c>
      <c r="C272" s="3" t="s">
        <v>107</v>
      </c>
      <c r="D272" s="3">
        <v>10003086</v>
      </c>
      <c r="E272" s="4">
        <v>4532649</v>
      </c>
      <c r="F272" s="3" t="s">
        <v>49</v>
      </c>
      <c r="G272" s="4" t="s">
        <v>117</v>
      </c>
      <c r="H272" s="4" t="s">
        <v>118</v>
      </c>
      <c r="I272" s="5">
        <v>665465.01</v>
      </c>
      <c r="J272" s="3" t="s">
        <v>116</v>
      </c>
      <c r="K272" s="3" t="s">
        <v>77</v>
      </c>
      <c r="L272" s="3" t="s">
        <v>119</v>
      </c>
      <c r="M272" s="4" t="s">
        <v>118</v>
      </c>
      <c r="N272" s="3" t="s">
        <v>25</v>
      </c>
      <c r="O272" s="3"/>
      <c r="Q272" s="3"/>
      <c r="R272" s="3"/>
      <c r="Y272" s="4" t="s">
        <v>120</v>
      </c>
      <c r="Z272" s="4" t="s">
        <v>112</v>
      </c>
      <c r="AA272" s="4" t="s">
        <v>121</v>
      </c>
      <c r="AB272" s="3"/>
      <c r="AC272" s="3"/>
      <c r="AD272" s="3" t="s">
        <v>122</v>
      </c>
      <c r="AE272" s="3">
        <v>1000</v>
      </c>
      <c r="AI272" s="4" t="s">
        <v>123</v>
      </c>
      <c r="AJ272" s="4" t="s">
        <v>115</v>
      </c>
      <c r="AK272" s="3"/>
      <c r="AL272" s="4">
        <v>44797</v>
      </c>
      <c r="AM272" s="5">
        <v>665465.01</v>
      </c>
      <c r="AN272" s="4" t="s">
        <v>124</v>
      </c>
      <c r="AO272" s="4">
        <v>99</v>
      </c>
      <c r="AP272" s="4">
        <v>80100000</v>
      </c>
    </row>
    <row r="273" spans="1:42" s="4" customFormat="1" x14ac:dyDescent="0.25">
      <c r="A273" s="3">
        <v>4603546</v>
      </c>
      <c r="B273" s="28">
        <v>40109</v>
      </c>
      <c r="C273" s="3" t="s">
        <v>107</v>
      </c>
      <c r="D273" s="3">
        <v>10003386</v>
      </c>
      <c r="E273" s="4">
        <v>4532897</v>
      </c>
      <c r="F273" s="3" t="s">
        <v>49</v>
      </c>
      <c r="G273" s="4" t="s">
        <v>134</v>
      </c>
      <c r="H273" s="4" t="s">
        <v>135</v>
      </c>
      <c r="I273" s="5">
        <v>707534.99</v>
      </c>
      <c r="J273" s="3" t="s">
        <v>136</v>
      </c>
      <c r="K273" s="3" t="s">
        <v>137</v>
      </c>
      <c r="L273" s="3" t="s">
        <v>119</v>
      </c>
      <c r="M273" s="4" t="s">
        <v>138</v>
      </c>
      <c r="N273" s="3" t="s">
        <v>56</v>
      </c>
      <c r="O273" s="3" t="s">
        <v>139</v>
      </c>
      <c r="P273" s="4" t="s">
        <v>140</v>
      </c>
      <c r="Q273" s="3"/>
      <c r="R273" s="3"/>
      <c r="Y273" s="4" t="s">
        <v>120</v>
      </c>
      <c r="Z273" s="4" t="s">
        <v>141</v>
      </c>
      <c r="AB273" s="3"/>
      <c r="AC273" s="3"/>
      <c r="AD273" s="3" t="s">
        <v>122</v>
      </c>
      <c r="AE273" s="3">
        <v>1000</v>
      </c>
      <c r="AI273" s="4" t="s">
        <v>123</v>
      </c>
      <c r="AJ273" s="4" t="s">
        <v>142</v>
      </c>
      <c r="AK273" s="3" t="s">
        <v>143</v>
      </c>
      <c r="AL273" s="4">
        <v>41275</v>
      </c>
      <c r="AM273" s="5">
        <v>707534.99</v>
      </c>
      <c r="AN273" s="4" t="s">
        <v>124</v>
      </c>
      <c r="AO273" s="4">
        <v>99</v>
      </c>
    </row>
    <row r="274" spans="1:42" s="4" customFormat="1" x14ac:dyDescent="0.25">
      <c r="A274" s="3">
        <v>4604450</v>
      </c>
      <c r="B274" s="28">
        <v>41913</v>
      </c>
      <c r="C274" s="3" t="s">
        <v>107</v>
      </c>
      <c r="D274" s="3">
        <v>10004245</v>
      </c>
      <c r="E274" s="4">
        <v>4533801</v>
      </c>
      <c r="F274" s="3" t="s">
        <v>49</v>
      </c>
      <c r="G274" s="4" t="s">
        <v>174</v>
      </c>
      <c r="I274" s="5">
        <v>4400.0600000000004</v>
      </c>
      <c r="J274" s="3" t="s">
        <v>175</v>
      </c>
      <c r="K274" s="3" t="s">
        <v>176</v>
      </c>
      <c r="L274" s="3" t="s">
        <v>119</v>
      </c>
      <c r="M274" s="4" t="s">
        <v>177</v>
      </c>
      <c r="N274" s="3" t="s">
        <v>56</v>
      </c>
      <c r="O274" s="3"/>
      <c r="Q274" s="3"/>
      <c r="R274" s="3"/>
      <c r="Y274" s="4" t="s">
        <v>178</v>
      </c>
      <c r="Z274" s="4" t="s">
        <v>179</v>
      </c>
      <c r="AB274" s="3"/>
      <c r="AC274" s="3"/>
      <c r="AD274" s="3" t="s">
        <v>180</v>
      </c>
      <c r="AE274" s="3">
        <v>1000</v>
      </c>
      <c r="AI274" s="4" t="s">
        <v>181</v>
      </c>
      <c r="AJ274" s="4" t="s">
        <v>182</v>
      </c>
      <c r="AK274" s="3"/>
      <c r="AL274" s="4">
        <v>40476</v>
      </c>
      <c r="AM274" s="5">
        <v>4400.0600000000004</v>
      </c>
      <c r="AN274" s="4" t="s">
        <v>124</v>
      </c>
    </row>
    <row r="275" spans="1:42" s="4" customFormat="1" x14ac:dyDescent="0.25">
      <c r="A275" s="3">
        <v>4604467</v>
      </c>
      <c r="B275" s="28">
        <v>41870</v>
      </c>
      <c r="C275" s="3" t="s">
        <v>107</v>
      </c>
      <c r="D275" s="3">
        <v>10004263</v>
      </c>
      <c r="E275" s="4">
        <v>4533818</v>
      </c>
      <c r="F275" s="3" t="s">
        <v>49</v>
      </c>
      <c r="G275" s="4" t="s">
        <v>184</v>
      </c>
      <c r="H275" s="4" t="s">
        <v>185</v>
      </c>
      <c r="I275" s="5">
        <v>35000</v>
      </c>
      <c r="J275" s="3" t="s">
        <v>186</v>
      </c>
      <c r="K275" s="3" t="s">
        <v>187</v>
      </c>
      <c r="L275" s="3" t="s">
        <v>119</v>
      </c>
      <c r="M275" s="4" t="s">
        <v>185</v>
      </c>
      <c r="N275" s="3" t="s">
        <v>56</v>
      </c>
      <c r="O275" s="3"/>
      <c r="Q275" s="3"/>
      <c r="R275" s="3"/>
      <c r="Y275" s="4" t="s">
        <v>179</v>
      </c>
      <c r="Z275" s="4" t="s">
        <v>179</v>
      </c>
      <c r="AA275" s="4" t="s">
        <v>188</v>
      </c>
      <c r="AB275" s="3" t="s">
        <v>189</v>
      </c>
      <c r="AC275" s="3" t="s">
        <v>190</v>
      </c>
      <c r="AD275" s="3" t="s">
        <v>191</v>
      </c>
      <c r="AE275" s="3">
        <v>1000</v>
      </c>
      <c r="AI275" s="4" t="s">
        <v>182</v>
      </c>
      <c r="AJ275" s="4" t="s">
        <v>182</v>
      </c>
      <c r="AK275" s="3"/>
      <c r="AL275" s="4">
        <v>40619</v>
      </c>
      <c r="AM275" s="5">
        <v>35000</v>
      </c>
      <c r="AN275" s="4" t="s">
        <v>124</v>
      </c>
      <c r="AO275" s="4">
        <v>99</v>
      </c>
      <c r="AP275" s="4">
        <v>80111600</v>
      </c>
    </row>
    <row r="276" spans="1:42" s="4" customFormat="1" x14ac:dyDescent="0.25">
      <c r="A276" s="3">
        <v>4604634</v>
      </c>
      <c r="B276" s="28">
        <v>41830</v>
      </c>
      <c r="C276" s="3" t="s">
        <v>107</v>
      </c>
      <c r="D276" s="3">
        <v>10004430</v>
      </c>
      <c r="E276" s="4">
        <v>4533985</v>
      </c>
      <c r="F276" s="3" t="s">
        <v>49</v>
      </c>
      <c r="G276" s="4" t="s">
        <v>212</v>
      </c>
      <c r="H276" s="4" t="s">
        <v>213</v>
      </c>
      <c r="I276" s="5">
        <v>49390</v>
      </c>
      <c r="J276" s="3" t="s">
        <v>211</v>
      </c>
      <c r="K276" s="3" t="s">
        <v>214</v>
      </c>
      <c r="L276" s="3" t="s">
        <v>119</v>
      </c>
      <c r="M276" s="4" t="s">
        <v>213</v>
      </c>
      <c r="N276" s="3" t="s">
        <v>56</v>
      </c>
      <c r="O276" s="3"/>
      <c r="Q276" s="3" t="s">
        <v>139</v>
      </c>
      <c r="R276" s="3" t="s">
        <v>215</v>
      </c>
      <c r="S276" s="4" t="s">
        <v>216</v>
      </c>
      <c r="U276" s="4" t="s">
        <v>139</v>
      </c>
      <c r="V276" s="4" t="s">
        <v>119</v>
      </c>
      <c r="W276" s="4" t="s">
        <v>217</v>
      </c>
      <c r="X276" s="4" t="s">
        <v>218</v>
      </c>
      <c r="Y276" s="4" t="s">
        <v>219</v>
      </c>
      <c r="Z276" s="4" t="s">
        <v>220</v>
      </c>
      <c r="AA276" s="4">
        <v>20000211</v>
      </c>
      <c r="AB276" s="3" t="s">
        <v>221</v>
      </c>
      <c r="AC276" s="3" t="s">
        <v>222</v>
      </c>
      <c r="AD276" s="3" t="s">
        <v>223</v>
      </c>
      <c r="AE276" s="3">
        <v>1000</v>
      </c>
      <c r="AI276" s="4" t="s">
        <v>224</v>
      </c>
      <c r="AJ276" s="4" t="s">
        <v>225</v>
      </c>
      <c r="AK276" s="3"/>
      <c r="AL276" s="4">
        <v>141651</v>
      </c>
      <c r="AM276" s="5">
        <v>49390</v>
      </c>
      <c r="AN276" s="4" t="s">
        <v>124</v>
      </c>
      <c r="AO276" s="4">
        <v>99</v>
      </c>
      <c r="AP276" s="4">
        <v>80101504</v>
      </c>
    </row>
    <row r="277" spans="1:42" s="4" customFormat="1" x14ac:dyDescent="0.25">
      <c r="A277" s="3">
        <v>4604544</v>
      </c>
      <c r="B277" s="28">
        <v>41809</v>
      </c>
      <c r="C277" s="3" t="s">
        <v>255</v>
      </c>
      <c r="D277" s="3">
        <v>10004329</v>
      </c>
      <c r="E277" s="4">
        <v>4533895</v>
      </c>
      <c r="F277" s="3" t="s">
        <v>49</v>
      </c>
      <c r="G277" s="4" t="s">
        <v>263</v>
      </c>
      <c r="H277" s="4" t="s">
        <v>264</v>
      </c>
      <c r="I277" s="5">
        <v>260000</v>
      </c>
      <c r="J277" s="3" t="s">
        <v>265</v>
      </c>
      <c r="K277" s="3" t="s">
        <v>187</v>
      </c>
      <c r="L277" s="3" t="s">
        <v>119</v>
      </c>
      <c r="M277" s="4" t="s">
        <v>266</v>
      </c>
      <c r="N277" s="3" t="s">
        <v>56</v>
      </c>
      <c r="O277" s="3"/>
      <c r="Q277" s="3"/>
      <c r="R277" s="3"/>
      <c r="Y277" s="4" t="s">
        <v>267</v>
      </c>
      <c r="Z277" s="4" t="s">
        <v>267</v>
      </c>
      <c r="AA277" s="4">
        <v>11.266999999999999</v>
      </c>
      <c r="AB277" s="3" t="s">
        <v>268</v>
      </c>
      <c r="AC277" s="3" t="s">
        <v>269</v>
      </c>
      <c r="AD277" s="3" t="s">
        <v>259</v>
      </c>
      <c r="AE277" s="3">
        <v>1000</v>
      </c>
      <c r="AI277" s="4" t="s">
        <v>270</v>
      </c>
      <c r="AJ277" s="4" t="s">
        <v>270</v>
      </c>
      <c r="AK277" s="3"/>
      <c r="AL277" s="4">
        <v>141722</v>
      </c>
      <c r="AM277" s="5">
        <v>260000</v>
      </c>
      <c r="AN277" s="4" t="s">
        <v>124</v>
      </c>
      <c r="AO277" s="4">
        <v>98</v>
      </c>
      <c r="AP277" s="4">
        <v>80111700</v>
      </c>
    </row>
    <row r="278" spans="1:42" s="4" customFormat="1" x14ac:dyDescent="0.25">
      <c r="A278" s="3">
        <v>4604545</v>
      </c>
      <c r="B278" s="28">
        <v>41810</v>
      </c>
      <c r="C278" s="3" t="s">
        <v>255</v>
      </c>
      <c r="D278" s="3">
        <v>10004330</v>
      </c>
      <c r="E278" s="4">
        <v>4533896</v>
      </c>
      <c r="F278" s="3" t="s">
        <v>49</v>
      </c>
      <c r="G278" s="4" t="s">
        <v>271</v>
      </c>
      <c r="H278" s="4" t="s">
        <v>264</v>
      </c>
      <c r="I278" s="5">
        <v>260000</v>
      </c>
      <c r="J278" s="3" t="s">
        <v>265</v>
      </c>
      <c r="K278" s="3" t="s">
        <v>272</v>
      </c>
      <c r="L278" s="3" t="s">
        <v>119</v>
      </c>
      <c r="M278" s="4" t="s">
        <v>273</v>
      </c>
      <c r="N278" s="3" t="s">
        <v>56</v>
      </c>
      <c r="O278" s="3"/>
      <c r="Q278" s="3"/>
      <c r="R278" s="3"/>
      <c r="Y278" s="4" t="s">
        <v>267</v>
      </c>
      <c r="Z278" s="4" t="s">
        <v>267</v>
      </c>
      <c r="AA278" s="4">
        <v>11.266999999999999</v>
      </c>
      <c r="AB278" s="3" t="s">
        <v>274</v>
      </c>
      <c r="AC278" s="3" t="s">
        <v>269</v>
      </c>
      <c r="AD278" s="3" t="s">
        <v>275</v>
      </c>
      <c r="AE278" s="3">
        <v>1000</v>
      </c>
      <c r="AI278" s="4" t="s">
        <v>270</v>
      </c>
      <c r="AJ278" s="4" t="s">
        <v>270</v>
      </c>
      <c r="AK278" s="3"/>
      <c r="AL278" s="4">
        <v>46721</v>
      </c>
      <c r="AM278" s="5">
        <v>260000</v>
      </c>
      <c r="AN278" s="4" t="s">
        <v>124</v>
      </c>
      <c r="AO278" s="4">
        <v>98</v>
      </c>
      <c r="AP278" s="4">
        <v>80111700</v>
      </c>
    </row>
    <row r="279" spans="1:42" s="4" customFormat="1" x14ac:dyDescent="0.25">
      <c r="A279" s="3">
        <v>4604699</v>
      </c>
      <c r="B279" s="28">
        <v>42184</v>
      </c>
      <c r="C279" s="3" t="s">
        <v>288</v>
      </c>
      <c r="D279" s="3">
        <v>10004501</v>
      </c>
      <c r="E279" s="4">
        <v>4534050</v>
      </c>
      <c r="F279" s="3" t="s">
        <v>49</v>
      </c>
      <c r="G279" s="4" t="s">
        <v>289</v>
      </c>
      <c r="H279" s="4" t="s">
        <v>290</v>
      </c>
      <c r="I279" s="5">
        <v>12948.74</v>
      </c>
      <c r="J279" s="3" t="s">
        <v>291</v>
      </c>
      <c r="K279" s="3" t="s">
        <v>292</v>
      </c>
      <c r="L279" s="3" t="s">
        <v>119</v>
      </c>
      <c r="M279" s="4" t="s">
        <v>290</v>
      </c>
      <c r="N279" s="3" t="s">
        <v>56</v>
      </c>
      <c r="O279" s="3"/>
      <c r="Q279" s="3"/>
      <c r="R279" s="3"/>
      <c r="Y279" s="4" t="s">
        <v>178</v>
      </c>
      <c r="Z279" s="4" t="s">
        <v>178</v>
      </c>
      <c r="AA279" s="4" t="s">
        <v>188</v>
      </c>
      <c r="AB279" s="3" t="s">
        <v>293</v>
      </c>
      <c r="AC279" s="3" t="s">
        <v>190</v>
      </c>
      <c r="AD279" s="3" t="s">
        <v>77</v>
      </c>
      <c r="AE279" s="3">
        <v>1000</v>
      </c>
      <c r="AI279" s="4" t="s">
        <v>181</v>
      </c>
      <c r="AJ279" s="4" t="s">
        <v>181</v>
      </c>
      <c r="AK279" s="3"/>
      <c r="AL279" s="4">
        <v>141467</v>
      </c>
      <c r="AM279" s="5">
        <v>12948.74</v>
      </c>
      <c r="AN279" s="4" t="s">
        <v>124</v>
      </c>
      <c r="AO279" s="4">
        <v>99</v>
      </c>
      <c r="AP279" s="4">
        <v>80111600</v>
      </c>
    </row>
    <row r="280" spans="1:42" s="4" customFormat="1" x14ac:dyDescent="0.25">
      <c r="A280" s="3">
        <v>4604712</v>
      </c>
      <c r="B280" s="28">
        <v>41907</v>
      </c>
      <c r="C280" s="3" t="s">
        <v>288</v>
      </c>
      <c r="D280" s="3">
        <v>10004511</v>
      </c>
      <c r="E280" s="4">
        <v>4534063</v>
      </c>
      <c r="F280" s="3" t="s">
        <v>49</v>
      </c>
      <c r="G280" s="4" t="s">
        <v>174</v>
      </c>
      <c r="I280" s="5">
        <v>2933.36</v>
      </c>
      <c r="J280" s="3" t="s">
        <v>301</v>
      </c>
      <c r="K280" s="3" t="s">
        <v>302</v>
      </c>
      <c r="L280" s="3" t="s">
        <v>119</v>
      </c>
      <c r="M280" s="4" t="s">
        <v>303</v>
      </c>
      <c r="N280" s="3" t="s">
        <v>56</v>
      </c>
      <c r="O280" s="3"/>
      <c r="Q280" s="3"/>
      <c r="R280" s="3"/>
      <c r="Y280" s="4" t="s">
        <v>178</v>
      </c>
      <c r="Z280" s="4" t="s">
        <v>178</v>
      </c>
      <c r="AB280" s="3"/>
      <c r="AC280" s="3"/>
      <c r="AD280" s="3" t="s">
        <v>304</v>
      </c>
      <c r="AE280" s="3">
        <v>1000</v>
      </c>
      <c r="AI280" s="4" t="s">
        <v>181</v>
      </c>
      <c r="AJ280" s="4" t="s">
        <v>181</v>
      </c>
      <c r="AK280" s="3"/>
      <c r="AL280" s="4">
        <v>40476</v>
      </c>
      <c r="AM280" s="5">
        <v>2933.36</v>
      </c>
      <c r="AN280" s="4" t="s">
        <v>124</v>
      </c>
    </row>
    <row r="281" spans="1:42" s="4" customFormat="1" x14ac:dyDescent="0.25">
      <c r="A281" s="3">
        <v>4604745</v>
      </c>
      <c r="B281" s="28">
        <v>41935</v>
      </c>
      <c r="C281" s="3" t="s">
        <v>288</v>
      </c>
      <c r="D281" s="3">
        <v>10004544</v>
      </c>
      <c r="E281" s="4">
        <v>4534096</v>
      </c>
      <c r="F281" s="3" t="s">
        <v>49</v>
      </c>
      <c r="G281" s="4" t="s">
        <v>311</v>
      </c>
      <c r="I281" s="5">
        <v>9393.66</v>
      </c>
      <c r="J281" s="3" t="s">
        <v>310</v>
      </c>
      <c r="K281" s="3" t="s">
        <v>77</v>
      </c>
      <c r="L281" s="3" t="s">
        <v>119</v>
      </c>
      <c r="M281" s="4" t="s">
        <v>312</v>
      </c>
      <c r="N281" s="3" t="s">
        <v>56</v>
      </c>
      <c r="O281" s="3"/>
      <c r="Q281" s="3"/>
      <c r="R281" s="3"/>
      <c r="Y281" s="4" t="s">
        <v>178</v>
      </c>
      <c r="Z281" s="4" t="s">
        <v>178</v>
      </c>
      <c r="AB281" s="3"/>
      <c r="AC281" s="3"/>
      <c r="AD281" s="3" t="s">
        <v>313</v>
      </c>
      <c r="AE281" s="3">
        <v>1000</v>
      </c>
      <c r="AI281" s="4" t="s">
        <v>181</v>
      </c>
      <c r="AJ281" s="4" t="s">
        <v>181</v>
      </c>
      <c r="AK281" s="3"/>
      <c r="AL281" s="4">
        <v>141807</v>
      </c>
      <c r="AM281" s="5">
        <v>9393.66</v>
      </c>
      <c r="AN281" s="4" t="s">
        <v>124</v>
      </c>
    </row>
    <row r="282" spans="1:42" s="4" customFormat="1" x14ac:dyDescent="0.25">
      <c r="A282" s="3">
        <v>4604774</v>
      </c>
      <c r="B282" s="28">
        <v>41935</v>
      </c>
      <c r="C282" s="3" t="s">
        <v>288</v>
      </c>
      <c r="D282" s="3">
        <v>10004545</v>
      </c>
      <c r="E282" s="4">
        <v>4534125</v>
      </c>
      <c r="F282" s="3" t="s">
        <v>49</v>
      </c>
      <c r="G282" s="4" t="s">
        <v>318</v>
      </c>
      <c r="I282" s="5">
        <v>8196.0499999999993</v>
      </c>
      <c r="J282" s="3" t="s">
        <v>310</v>
      </c>
      <c r="K282" s="3" t="s">
        <v>77</v>
      </c>
      <c r="L282" s="3" t="s">
        <v>119</v>
      </c>
      <c r="M282" s="4" t="s">
        <v>319</v>
      </c>
      <c r="N282" s="3" t="s">
        <v>56</v>
      </c>
      <c r="O282" s="3"/>
      <c r="Q282" s="3"/>
      <c r="R282" s="3"/>
      <c r="Y282" s="4" t="s">
        <v>178</v>
      </c>
      <c r="Z282" s="4" t="s">
        <v>178</v>
      </c>
      <c r="AB282" s="3"/>
      <c r="AC282" s="3"/>
      <c r="AD282" s="3" t="s">
        <v>313</v>
      </c>
      <c r="AE282" s="3">
        <v>1000</v>
      </c>
      <c r="AI282" s="4" t="s">
        <v>181</v>
      </c>
      <c r="AJ282" s="4" t="s">
        <v>181</v>
      </c>
      <c r="AK282" s="3"/>
      <c r="AL282" s="4">
        <v>141551</v>
      </c>
      <c r="AM282" s="5">
        <v>8196.0499999999993</v>
      </c>
      <c r="AN282" s="4" t="s">
        <v>124</v>
      </c>
    </row>
    <row r="283" spans="1:42" s="4" customFormat="1" x14ac:dyDescent="0.25">
      <c r="A283" s="3">
        <v>4604775</v>
      </c>
      <c r="B283" s="28">
        <v>41939</v>
      </c>
      <c r="C283" s="3" t="s">
        <v>288</v>
      </c>
      <c r="D283" s="3">
        <v>10004549</v>
      </c>
      <c r="E283" s="4">
        <v>4534126</v>
      </c>
      <c r="F283" s="3" t="s">
        <v>49</v>
      </c>
      <c r="G283" s="4" t="s">
        <v>318</v>
      </c>
      <c r="I283" s="5">
        <v>2508.4699999999998</v>
      </c>
      <c r="J283" s="3" t="s">
        <v>320</v>
      </c>
      <c r="K283" s="3" t="s">
        <v>321</v>
      </c>
      <c r="L283" s="3" t="s">
        <v>119</v>
      </c>
      <c r="M283" s="4" t="s">
        <v>322</v>
      </c>
      <c r="N283" s="3" t="s">
        <v>56</v>
      </c>
      <c r="O283" s="3"/>
      <c r="Q283" s="3"/>
      <c r="R283" s="3"/>
      <c r="Y283" s="4" t="s">
        <v>178</v>
      </c>
      <c r="Z283" s="4" t="s">
        <v>178</v>
      </c>
      <c r="AB283" s="3"/>
      <c r="AC283" s="3"/>
      <c r="AD283" s="3" t="s">
        <v>323</v>
      </c>
      <c r="AE283" s="3">
        <v>1000</v>
      </c>
      <c r="AI283" s="4" t="s">
        <v>181</v>
      </c>
      <c r="AJ283" s="4" t="s">
        <v>181</v>
      </c>
      <c r="AK283" s="3"/>
      <c r="AL283" s="4">
        <v>141551</v>
      </c>
      <c r="AM283" s="5">
        <v>2508.4699999999998</v>
      </c>
      <c r="AN283" s="4" t="s">
        <v>124</v>
      </c>
    </row>
    <row r="284" spans="1:42" s="4" customFormat="1" x14ac:dyDescent="0.25">
      <c r="A284" s="3">
        <v>4604790</v>
      </c>
      <c r="B284" s="28">
        <v>41971</v>
      </c>
      <c r="C284" s="3" t="s">
        <v>288</v>
      </c>
      <c r="D284" s="3">
        <v>10004586</v>
      </c>
      <c r="E284" s="4">
        <v>4534141</v>
      </c>
      <c r="F284" s="3" t="s">
        <v>49</v>
      </c>
      <c r="G284" s="4" t="s">
        <v>325</v>
      </c>
      <c r="I284" s="5">
        <v>2928.16</v>
      </c>
      <c r="J284" s="3" t="s">
        <v>324</v>
      </c>
      <c r="K284" s="3" t="s">
        <v>77</v>
      </c>
      <c r="L284" s="3" t="s">
        <v>119</v>
      </c>
      <c r="M284" s="4" t="s">
        <v>326</v>
      </c>
      <c r="N284" s="3" t="s">
        <v>56</v>
      </c>
      <c r="O284" s="3"/>
      <c r="Q284" s="3"/>
      <c r="R284" s="3"/>
      <c r="Y284" s="4" t="s">
        <v>178</v>
      </c>
      <c r="Z284" s="4" t="s">
        <v>178</v>
      </c>
      <c r="AB284" s="3"/>
      <c r="AC284" s="3"/>
      <c r="AD284" s="3" t="s">
        <v>327</v>
      </c>
      <c r="AE284" s="3">
        <v>1000</v>
      </c>
      <c r="AI284" s="4" t="s">
        <v>181</v>
      </c>
      <c r="AJ284" s="4" t="s">
        <v>181</v>
      </c>
      <c r="AK284" s="3"/>
      <c r="AL284" s="4">
        <v>40391</v>
      </c>
      <c r="AM284" s="5">
        <v>2928.16</v>
      </c>
      <c r="AN284" s="4" t="s">
        <v>124</v>
      </c>
    </row>
    <row r="285" spans="1:42" s="4" customFormat="1" x14ac:dyDescent="0.25">
      <c r="A285" s="3">
        <v>4604826</v>
      </c>
      <c r="B285" s="28">
        <v>42016</v>
      </c>
      <c r="C285" s="3" t="s">
        <v>288</v>
      </c>
      <c r="D285" s="3">
        <v>10004626</v>
      </c>
      <c r="E285" s="4">
        <v>4534177</v>
      </c>
      <c r="F285" s="3" t="s">
        <v>49</v>
      </c>
      <c r="G285" s="4" t="s">
        <v>336</v>
      </c>
      <c r="H285" s="4" t="s">
        <v>337</v>
      </c>
      <c r="I285" s="5">
        <v>26000</v>
      </c>
      <c r="J285" s="3" t="s">
        <v>335</v>
      </c>
      <c r="K285" s="3" t="s">
        <v>299</v>
      </c>
      <c r="L285" s="3" t="s">
        <v>119</v>
      </c>
      <c r="M285" s="4" t="s">
        <v>337</v>
      </c>
      <c r="N285" s="3" t="s">
        <v>56</v>
      </c>
      <c r="O285" s="3"/>
      <c r="Q285" s="3"/>
      <c r="R285" s="3"/>
      <c r="Y285" s="4" t="s">
        <v>111</v>
      </c>
      <c r="Z285" s="4" t="s">
        <v>332</v>
      </c>
      <c r="AA285" s="4" t="s">
        <v>338</v>
      </c>
      <c r="AB285" s="3" t="s">
        <v>338</v>
      </c>
      <c r="AC285" s="3" t="s">
        <v>339</v>
      </c>
      <c r="AD285" s="3" t="s">
        <v>340</v>
      </c>
      <c r="AE285" s="3">
        <v>1000</v>
      </c>
      <c r="AI285" s="4" t="s">
        <v>114</v>
      </c>
      <c r="AJ285" s="4" t="s">
        <v>334</v>
      </c>
      <c r="AK285" s="3"/>
      <c r="AL285" s="4">
        <v>141787</v>
      </c>
      <c r="AM285" s="5">
        <v>26000</v>
      </c>
      <c r="AN285" s="4" t="s">
        <v>124</v>
      </c>
      <c r="AO285" s="4">
        <v>99</v>
      </c>
      <c r="AP285" s="4">
        <v>82100000</v>
      </c>
    </row>
    <row r="286" spans="1:42" s="4" customFormat="1" x14ac:dyDescent="0.25">
      <c r="A286" s="3">
        <v>4604838</v>
      </c>
      <c r="B286" s="28">
        <v>42026</v>
      </c>
      <c r="C286" s="3" t="s">
        <v>288</v>
      </c>
      <c r="D286" s="3">
        <v>10004636</v>
      </c>
      <c r="E286" s="4">
        <v>4534189</v>
      </c>
      <c r="F286" s="3" t="s">
        <v>49</v>
      </c>
      <c r="G286" s="4" t="s">
        <v>342</v>
      </c>
      <c r="I286" s="5">
        <v>9504</v>
      </c>
      <c r="J286" s="3" t="s">
        <v>341</v>
      </c>
      <c r="K286" s="3" t="s">
        <v>77</v>
      </c>
      <c r="L286" s="3" t="s">
        <v>119</v>
      </c>
      <c r="M286" s="4" t="s">
        <v>343</v>
      </c>
      <c r="N286" s="3" t="s">
        <v>56</v>
      </c>
      <c r="O286" s="3"/>
      <c r="Q286" s="3"/>
      <c r="R286" s="3"/>
      <c r="Y286" s="4" t="s">
        <v>344</v>
      </c>
      <c r="Z286" s="4" t="s">
        <v>344</v>
      </c>
      <c r="AB286" s="3"/>
      <c r="AC286" s="3"/>
      <c r="AD286" s="3" t="s">
        <v>341</v>
      </c>
      <c r="AE286" s="3">
        <v>5000</v>
      </c>
      <c r="AI286" s="4" t="s">
        <v>345</v>
      </c>
      <c r="AJ286" s="4" t="s">
        <v>345</v>
      </c>
      <c r="AK286" s="3"/>
      <c r="AL286" s="4">
        <v>140447</v>
      </c>
      <c r="AM286" s="5">
        <v>9504</v>
      </c>
      <c r="AN286" s="4" t="s">
        <v>31</v>
      </c>
    </row>
    <row r="287" spans="1:42" s="4" customFormat="1" x14ac:dyDescent="0.25">
      <c r="A287" s="3">
        <v>4604963</v>
      </c>
      <c r="B287" s="28">
        <v>42123</v>
      </c>
      <c r="C287" s="3" t="s">
        <v>288</v>
      </c>
      <c r="D287" s="3">
        <v>10004761</v>
      </c>
      <c r="E287" s="4">
        <v>4534314</v>
      </c>
      <c r="F287" s="3" t="s">
        <v>49</v>
      </c>
      <c r="G287" s="4" t="s">
        <v>354</v>
      </c>
      <c r="H287" s="4" t="s">
        <v>355</v>
      </c>
      <c r="I287" s="5">
        <v>16000</v>
      </c>
      <c r="J287" s="3" t="s">
        <v>353</v>
      </c>
      <c r="K287" s="3" t="s">
        <v>77</v>
      </c>
      <c r="L287" s="3" t="s">
        <v>119</v>
      </c>
      <c r="M287" s="4" t="s">
        <v>355</v>
      </c>
      <c r="N287" s="3" t="s">
        <v>56</v>
      </c>
      <c r="O287" s="3"/>
      <c r="Q287" s="3"/>
      <c r="R287" s="3"/>
      <c r="Y287" s="4" t="s">
        <v>344</v>
      </c>
      <c r="Z287" s="4" t="s">
        <v>344</v>
      </c>
      <c r="AA287" s="4" t="s">
        <v>356</v>
      </c>
      <c r="AB287" s="3" t="s">
        <v>357</v>
      </c>
      <c r="AC287" s="3" t="s">
        <v>358</v>
      </c>
      <c r="AD287" s="3" t="s">
        <v>359</v>
      </c>
      <c r="AE287" s="3">
        <v>1000</v>
      </c>
      <c r="AI287" s="4" t="s">
        <v>345</v>
      </c>
      <c r="AJ287" s="4" t="s">
        <v>345</v>
      </c>
      <c r="AK287" s="3"/>
      <c r="AL287" s="4">
        <v>49932</v>
      </c>
      <c r="AM287" s="5">
        <v>16000</v>
      </c>
      <c r="AN287" s="4" t="s">
        <v>124</v>
      </c>
      <c r="AO287" s="4">
        <v>99</v>
      </c>
      <c r="AP287" s="4">
        <v>80141500</v>
      </c>
    </row>
    <row r="288" spans="1:42" s="4" customFormat="1" x14ac:dyDescent="0.25">
      <c r="A288" s="3">
        <v>4604979</v>
      </c>
      <c r="B288" s="28">
        <v>42149</v>
      </c>
      <c r="C288" s="3" t="s">
        <v>288</v>
      </c>
      <c r="D288" s="3">
        <v>10004793</v>
      </c>
      <c r="E288" s="4">
        <v>4534330</v>
      </c>
      <c r="F288" s="3" t="s">
        <v>49</v>
      </c>
      <c r="G288" s="4" t="s">
        <v>361</v>
      </c>
      <c r="H288" s="4" t="s">
        <v>362</v>
      </c>
      <c r="I288" s="5">
        <v>49500</v>
      </c>
      <c r="J288" s="3" t="s">
        <v>360</v>
      </c>
      <c r="K288" s="3" t="s">
        <v>363</v>
      </c>
      <c r="L288" s="3" t="s">
        <v>119</v>
      </c>
      <c r="M288" s="4" t="s">
        <v>362</v>
      </c>
      <c r="N288" s="3" t="s">
        <v>56</v>
      </c>
      <c r="O288" s="3"/>
      <c r="Q288" s="3"/>
      <c r="R288" s="3"/>
      <c r="Y288" s="4" t="s">
        <v>344</v>
      </c>
      <c r="Z288" s="4" t="s">
        <v>344</v>
      </c>
      <c r="AA288" s="4" t="s">
        <v>356</v>
      </c>
      <c r="AB288" s="3" t="s">
        <v>364</v>
      </c>
      <c r="AC288" s="3" t="s">
        <v>358</v>
      </c>
      <c r="AD288" s="3" t="s">
        <v>351</v>
      </c>
      <c r="AE288" s="3">
        <v>5000</v>
      </c>
      <c r="AI288" s="4" t="s">
        <v>345</v>
      </c>
      <c r="AJ288" s="4" t="s">
        <v>345</v>
      </c>
      <c r="AK288" s="3"/>
      <c r="AL288" s="4">
        <v>141903</v>
      </c>
      <c r="AM288" s="5">
        <v>49500</v>
      </c>
      <c r="AN288" s="4" t="s">
        <v>31</v>
      </c>
      <c r="AO288" s="4">
        <v>99</v>
      </c>
      <c r="AP288" s="4">
        <v>80141500</v>
      </c>
    </row>
    <row r="289" spans="1:42" s="4" customFormat="1" x14ac:dyDescent="0.25">
      <c r="A289" s="3">
        <v>4604998</v>
      </c>
      <c r="B289" s="28">
        <v>42160</v>
      </c>
      <c r="C289" s="3" t="s">
        <v>288</v>
      </c>
      <c r="D289" s="3">
        <v>10004851</v>
      </c>
      <c r="E289" s="4">
        <v>4534349</v>
      </c>
      <c r="F289" s="3" t="s">
        <v>49</v>
      </c>
      <c r="G289" s="4" t="s">
        <v>372</v>
      </c>
      <c r="H289" s="4" t="s">
        <v>373</v>
      </c>
      <c r="I289" s="5">
        <v>64900</v>
      </c>
      <c r="J289" s="3" t="s">
        <v>371</v>
      </c>
      <c r="K289" s="3" t="s">
        <v>374</v>
      </c>
      <c r="L289" s="3" t="s">
        <v>119</v>
      </c>
      <c r="M289" s="4" t="s">
        <v>373</v>
      </c>
      <c r="N289" s="3" t="s">
        <v>56</v>
      </c>
      <c r="O289" s="3" t="s">
        <v>139</v>
      </c>
      <c r="P289" s="4" t="s">
        <v>140</v>
      </c>
      <c r="Q289" s="3"/>
      <c r="R289" s="3"/>
      <c r="Y289" s="4" t="s">
        <v>120</v>
      </c>
      <c r="Z289" s="4" t="s">
        <v>332</v>
      </c>
      <c r="AA289" s="4" t="s">
        <v>356</v>
      </c>
      <c r="AB289" s="3" t="s">
        <v>375</v>
      </c>
      <c r="AC289" s="3" t="s">
        <v>358</v>
      </c>
      <c r="AD289" s="3" t="s">
        <v>376</v>
      </c>
      <c r="AE289" s="3">
        <v>1000</v>
      </c>
      <c r="AI289" s="4" t="s">
        <v>123</v>
      </c>
      <c r="AJ289" s="4" t="s">
        <v>334</v>
      </c>
      <c r="AK289" s="3" t="s">
        <v>143</v>
      </c>
      <c r="AL289" s="4">
        <v>43825</v>
      </c>
      <c r="AM289" s="5">
        <v>64900</v>
      </c>
      <c r="AN289" s="4" t="s">
        <v>124</v>
      </c>
      <c r="AO289" s="4">
        <v>99</v>
      </c>
      <c r="AP289" s="4">
        <v>80100000</v>
      </c>
    </row>
    <row r="290" spans="1:42" s="4" customFormat="1" x14ac:dyDescent="0.25">
      <c r="A290" s="3">
        <v>4604749</v>
      </c>
      <c r="B290" s="28">
        <v>42184</v>
      </c>
      <c r="C290" s="3" t="s">
        <v>392</v>
      </c>
      <c r="D290" s="3">
        <v>10004542</v>
      </c>
      <c r="E290" s="4">
        <v>4534100</v>
      </c>
      <c r="F290" s="3" t="s">
        <v>49</v>
      </c>
      <c r="G290" s="4" t="s">
        <v>174</v>
      </c>
      <c r="H290" s="4" t="s">
        <v>398</v>
      </c>
      <c r="I290" s="5">
        <v>24033.56</v>
      </c>
      <c r="J290" s="3" t="s">
        <v>399</v>
      </c>
      <c r="K290" s="3" t="s">
        <v>400</v>
      </c>
      <c r="L290" s="3" t="s">
        <v>119</v>
      </c>
      <c r="M290" s="4" t="s">
        <v>398</v>
      </c>
      <c r="N290" s="3" t="s">
        <v>56</v>
      </c>
      <c r="O290" s="3"/>
      <c r="Q290" s="3"/>
      <c r="R290" s="3"/>
      <c r="Y290" s="4" t="s">
        <v>178</v>
      </c>
      <c r="Z290" s="4" t="s">
        <v>178</v>
      </c>
      <c r="AA290" s="4" t="s">
        <v>188</v>
      </c>
      <c r="AB290" s="3" t="s">
        <v>401</v>
      </c>
      <c r="AC290" s="3" t="s">
        <v>190</v>
      </c>
      <c r="AD290" s="3" t="s">
        <v>287</v>
      </c>
      <c r="AE290" s="3">
        <v>1000</v>
      </c>
      <c r="AI290" s="4" t="s">
        <v>181</v>
      </c>
      <c r="AJ290" s="4" t="s">
        <v>181</v>
      </c>
      <c r="AK290" s="3"/>
      <c r="AL290" s="4">
        <v>40476</v>
      </c>
      <c r="AM290" s="5">
        <v>24033.56</v>
      </c>
      <c r="AN290" s="4" t="s">
        <v>124</v>
      </c>
      <c r="AO290" s="4">
        <v>99</v>
      </c>
      <c r="AP290" s="4">
        <v>80111600</v>
      </c>
    </row>
    <row r="291" spans="1:42" s="4" customFormat="1" x14ac:dyDescent="0.25">
      <c r="A291" s="3">
        <v>4604750</v>
      </c>
      <c r="B291" s="28">
        <v>42024</v>
      </c>
      <c r="C291" s="3" t="s">
        <v>392</v>
      </c>
      <c r="D291" s="3">
        <v>10004546</v>
      </c>
      <c r="E291" s="4">
        <v>4534101</v>
      </c>
      <c r="F291" s="3" t="s">
        <v>49</v>
      </c>
      <c r="G291" s="4" t="s">
        <v>174</v>
      </c>
      <c r="H291" s="4" t="s">
        <v>403</v>
      </c>
      <c r="I291" s="5">
        <v>36960</v>
      </c>
      <c r="J291" s="3" t="s">
        <v>320</v>
      </c>
      <c r="K291" s="3" t="s">
        <v>404</v>
      </c>
      <c r="L291" s="3" t="s">
        <v>119</v>
      </c>
      <c r="M291" s="4" t="s">
        <v>403</v>
      </c>
      <c r="N291" s="3" t="s">
        <v>56</v>
      </c>
      <c r="O291" s="3"/>
      <c r="Q291" s="3"/>
      <c r="R291" s="3"/>
      <c r="Y291" s="4" t="s">
        <v>405</v>
      </c>
      <c r="Z291" s="4" t="s">
        <v>406</v>
      </c>
      <c r="AA291" s="4" t="s">
        <v>188</v>
      </c>
      <c r="AB291" s="3" t="s">
        <v>401</v>
      </c>
      <c r="AC291" s="3" t="s">
        <v>190</v>
      </c>
      <c r="AD291" s="3" t="s">
        <v>407</v>
      </c>
      <c r="AE291" s="3">
        <v>1000</v>
      </c>
      <c r="AI291" s="4" t="s">
        <v>408</v>
      </c>
      <c r="AJ291" s="4" t="s">
        <v>409</v>
      </c>
      <c r="AK291" s="3"/>
      <c r="AL291" s="4">
        <v>40476</v>
      </c>
      <c r="AM291" s="5">
        <v>36960</v>
      </c>
      <c r="AN291" s="4" t="s">
        <v>124</v>
      </c>
      <c r="AO291" s="4">
        <v>99</v>
      </c>
      <c r="AP291" s="4">
        <v>80111600</v>
      </c>
    </row>
    <row r="292" spans="1:42" s="4" customFormat="1" x14ac:dyDescent="0.25">
      <c r="A292" s="3">
        <v>4604788</v>
      </c>
      <c r="B292" s="28">
        <v>42024</v>
      </c>
      <c r="C292" s="3" t="s">
        <v>392</v>
      </c>
      <c r="D292" s="3">
        <v>10004546</v>
      </c>
      <c r="E292" s="4">
        <v>4534139</v>
      </c>
      <c r="F292" s="3" t="s">
        <v>49</v>
      </c>
      <c r="G292" s="4" t="s">
        <v>410</v>
      </c>
      <c r="H292" s="4" t="s">
        <v>403</v>
      </c>
      <c r="I292" s="5">
        <v>52536</v>
      </c>
      <c r="J292" s="3" t="s">
        <v>320</v>
      </c>
      <c r="K292" s="3" t="s">
        <v>321</v>
      </c>
      <c r="L292" s="3" t="s">
        <v>119</v>
      </c>
      <c r="M292" s="4" t="s">
        <v>403</v>
      </c>
      <c r="N292" s="3" t="s">
        <v>56</v>
      </c>
      <c r="O292" s="3"/>
      <c r="Q292" s="3"/>
      <c r="R292" s="3"/>
      <c r="Y292" s="4" t="s">
        <v>411</v>
      </c>
      <c r="Z292" s="4" t="s">
        <v>411</v>
      </c>
      <c r="AA292" s="4" t="s">
        <v>412</v>
      </c>
      <c r="AB292" s="3" t="s">
        <v>413</v>
      </c>
      <c r="AC292" s="3" t="s">
        <v>414</v>
      </c>
      <c r="AD292" s="3" t="s">
        <v>402</v>
      </c>
      <c r="AE292" s="3">
        <v>1000</v>
      </c>
      <c r="AI292" s="4" t="s">
        <v>415</v>
      </c>
      <c r="AJ292" s="4" t="s">
        <v>415</v>
      </c>
      <c r="AK292" s="3"/>
      <c r="AL292" s="4">
        <v>141810</v>
      </c>
      <c r="AM292" s="5">
        <v>52536</v>
      </c>
      <c r="AN292" s="4" t="s">
        <v>124</v>
      </c>
      <c r="AO292" s="4">
        <v>98</v>
      </c>
      <c r="AP292" s="4">
        <v>80101706</v>
      </c>
    </row>
    <row r="293" spans="1:42" s="4" customFormat="1" x14ac:dyDescent="0.25">
      <c r="A293" s="3">
        <v>4604797</v>
      </c>
      <c r="B293" s="28">
        <v>41978</v>
      </c>
      <c r="C293" s="3" t="s">
        <v>392</v>
      </c>
      <c r="D293" s="3">
        <v>10004603</v>
      </c>
      <c r="E293" s="4">
        <v>4534148</v>
      </c>
      <c r="F293" s="3" t="s">
        <v>49</v>
      </c>
      <c r="G293" s="4" t="s">
        <v>289</v>
      </c>
      <c r="I293" s="5">
        <v>7923.3</v>
      </c>
      <c r="J293" s="3" t="s">
        <v>400</v>
      </c>
      <c r="K293" s="3" t="s">
        <v>77</v>
      </c>
      <c r="L293" s="3" t="s">
        <v>119</v>
      </c>
      <c r="M293" s="4" t="s">
        <v>435</v>
      </c>
      <c r="N293" s="3" t="s">
        <v>56</v>
      </c>
      <c r="O293" s="3"/>
      <c r="Q293" s="3"/>
      <c r="R293" s="3"/>
      <c r="Y293" s="4" t="s">
        <v>178</v>
      </c>
      <c r="Z293" s="4" t="s">
        <v>178</v>
      </c>
      <c r="AB293" s="3"/>
      <c r="AC293" s="3"/>
      <c r="AD293" s="3" t="s">
        <v>436</v>
      </c>
      <c r="AE293" s="3">
        <v>1000</v>
      </c>
      <c r="AI293" s="4" t="s">
        <v>181</v>
      </c>
      <c r="AJ293" s="4" t="s">
        <v>181</v>
      </c>
      <c r="AK293" s="3"/>
      <c r="AL293" s="4">
        <v>141467</v>
      </c>
      <c r="AM293" s="5">
        <v>7923.3</v>
      </c>
      <c r="AN293" s="4" t="s">
        <v>124</v>
      </c>
    </row>
    <row r="294" spans="1:42" s="4" customFormat="1" x14ac:dyDescent="0.25">
      <c r="A294" s="3">
        <v>4604815</v>
      </c>
      <c r="B294" s="28">
        <v>41996</v>
      </c>
      <c r="C294" s="3" t="s">
        <v>392</v>
      </c>
      <c r="D294" s="3">
        <v>10004616</v>
      </c>
      <c r="E294" s="4">
        <v>4534166</v>
      </c>
      <c r="F294" s="3" t="s">
        <v>49</v>
      </c>
      <c r="G294" s="4" t="s">
        <v>372</v>
      </c>
      <c r="H294" s="4" t="s">
        <v>443</v>
      </c>
      <c r="I294" s="5">
        <v>127587</v>
      </c>
      <c r="J294" s="3" t="s">
        <v>442</v>
      </c>
      <c r="K294" s="3" t="s">
        <v>444</v>
      </c>
      <c r="L294" s="3" t="s">
        <v>119</v>
      </c>
      <c r="M294" s="4" t="s">
        <v>443</v>
      </c>
      <c r="N294" s="3" t="s">
        <v>56</v>
      </c>
      <c r="O294" s="3" t="s">
        <v>139</v>
      </c>
      <c r="P294" s="4" t="s">
        <v>140</v>
      </c>
      <c r="Q294" s="3"/>
      <c r="R294" s="3"/>
      <c r="U294" s="4" t="s">
        <v>139</v>
      </c>
      <c r="V294" s="4" t="s">
        <v>119</v>
      </c>
      <c r="W294" s="4" t="s">
        <v>217</v>
      </c>
      <c r="X294" s="4" t="s">
        <v>445</v>
      </c>
      <c r="Y294" s="4" t="s">
        <v>431</v>
      </c>
      <c r="Z294" s="4" t="s">
        <v>431</v>
      </c>
      <c r="AA294" s="4" t="s">
        <v>356</v>
      </c>
      <c r="AB294" s="3" t="s">
        <v>375</v>
      </c>
      <c r="AC294" s="3" t="s">
        <v>358</v>
      </c>
      <c r="AD294" s="3" t="s">
        <v>327</v>
      </c>
      <c r="AE294" s="3">
        <v>1000</v>
      </c>
      <c r="AI294" s="4" t="s">
        <v>434</v>
      </c>
      <c r="AJ294" s="4" t="s">
        <v>434</v>
      </c>
      <c r="AK294" s="3" t="s">
        <v>143</v>
      </c>
      <c r="AL294" s="4">
        <v>43825</v>
      </c>
      <c r="AM294" s="5">
        <v>127587</v>
      </c>
      <c r="AN294" s="4" t="s">
        <v>124</v>
      </c>
      <c r="AO294" s="4">
        <v>99</v>
      </c>
      <c r="AP294" s="4">
        <v>81120000</v>
      </c>
    </row>
    <row r="295" spans="1:42" s="4" customFormat="1" x14ac:dyDescent="0.25">
      <c r="A295" s="3">
        <v>4604833</v>
      </c>
      <c r="B295" s="28">
        <v>42024</v>
      </c>
      <c r="C295" s="3" t="s">
        <v>392</v>
      </c>
      <c r="D295" s="3">
        <v>10004590</v>
      </c>
      <c r="E295" s="4">
        <v>4534184</v>
      </c>
      <c r="F295" s="3" t="s">
        <v>49</v>
      </c>
      <c r="G295" s="4" t="s">
        <v>372</v>
      </c>
      <c r="H295" s="4" t="s">
        <v>446</v>
      </c>
      <c r="I295" s="5">
        <v>36850</v>
      </c>
      <c r="J295" s="3" t="s">
        <v>447</v>
      </c>
      <c r="K295" s="3" t="s">
        <v>448</v>
      </c>
      <c r="L295" s="3" t="s">
        <v>119</v>
      </c>
      <c r="M295" s="4" t="s">
        <v>446</v>
      </c>
      <c r="N295" s="3" t="s">
        <v>56</v>
      </c>
      <c r="O295" s="3" t="s">
        <v>139</v>
      </c>
      <c r="P295" s="4" t="s">
        <v>140</v>
      </c>
      <c r="Q295" s="3"/>
      <c r="R295" s="3"/>
      <c r="Y295" s="4" t="s">
        <v>420</v>
      </c>
      <c r="Z295" s="4" t="s">
        <v>420</v>
      </c>
      <c r="AA295" s="4" t="s">
        <v>356</v>
      </c>
      <c r="AB295" s="3" t="s">
        <v>375</v>
      </c>
      <c r="AC295" s="3" t="s">
        <v>358</v>
      </c>
      <c r="AD295" s="3" t="s">
        <v>449</v>
      </c>
      <c r="AE295" s="3">
        <v>1000</v>
      </c>
      <c r="AI295" s="4" t="s">
        <v>423</v>
      </c>
      <c r="AJ295" s="4" t="s">
        <v>423</v>
      </c>
      <c r="AK295" s="3" t="s">
        <v>143</v>
      </c>
      <c r="AL295" s="4">
        <v>43825</v>
      </c>
      <c r="AM295" s="5">
        <v>36850</v>
      </c>
      <c r="AN295" s="4" t="s">
        <v>124</v>
      </c>
      <c r="AO295" s="4">
        <v>99</v>
      </c>
      <c r="AP295" s="4">
        <v>81121500</v>
      </c>
    </row>
    <row r="296" spans="1:42" s="4" customFormat="1" x14ac:dyDescent="0.25">
      <c r="A296" s="3">
        <v>4604842</v>
      </c>
      <c r="B296" s="28">
        <v>42031</v>
      </c>
      <c r="C296" s="3" t="s">
        <v>392</v>
      </c>
      <c r="D296" s="3">
        <v>10004638</v>
      </c>
      <c r="E296" s="4">
        <v>4534193</v>
      </c>
      <c r="F296" s="3" t="s">
        <v>49</v>
      </c>
      <c r="G296" s="4" t="s">
        <v>289</v>
      </c>
      <c r="H296" s="4" t="s">
        <v>456</v>
      </c>
      <c r="I296" s="5">
        <v>70000</v>
      </c>
      <c r="J296" s="3" t="s">
        <v>452</v>
      </c>
      <c r="K296" s="3" t="s">
        <v>77</v>
      </c>
      <c r="L296" s="3" t="s">
        <v>119</v>
      </c>
      <c r="M296" s="4" t="s">
        <v>456</v>
      </c>
      <c r="N296" s="3" t="s">
        <v>56</v>
      </c>
      <c r="O296" s="3"/>
      <c r="Q296" s="3"/>
      <c r="R296" s="3"/>
      <c r="Y296" s="4" t="s">
        <v>179</v>
      </c>
      <c r="Z296" s="4" t="s">
        <v>179</v>
      </c>
      <c r="AA296" s="4" t="s">
        <v>188</v>
      </c>
      <c r="AB296" s="3" t="s">
        <v>293</v>
      </c>
      <c r="AC296" s="3" t="s">
        <v>190</v>
      </c>
      <c r="AD296" s="3" t="s">
        <v>457</v>
      </c>
      <c r="AE296" s="3">
        <v>1000</v>
      </c>
      <c r="AI296" s="4" t="s">
        <v>182</v>
      </c>
      <c r="AJ296" s="4" t="s">
        <v>182</v>
      </c>
      <c r="AK296" s="3"/>
      <c r="AL296" s="4">
        <v>141467</v>
      </c>
      <c r="AM296" s="5">
        <v>70000</v>
      </c>
      <c r="AN296" s="4" t="s">
        <v>124</v>
      </c>
      <c r="AO296" s="4">
        <v>99</v>
      </c>
      <c r="AP296" s="4">
        <v>80111600</v>
      </c>
    </row>
    <row r="297" spans="1:42" s="4" customFormat="1" x14ac:dyDescent="0.25">
      <c r="A297" s="3">
        <v>4604853</v>
      </c>
      <c r="B297" s="28">
        <v>42058</v>
      </c>
      <c r="C297" s="3" t="s">
        <v>392</v>
      </c>
      <c r="D297" s="3">
        <v>10004658</v>
      </c>
      <c r="E297" s="4">
        <v>4534204</v>
      </c>
      <c r="F297" s="3" t="s">
        <v>49</v>
      </c>
      <c r="G297" s="4" t="s">
        <v>470</v>
      </c>
      <c r="H297" s="4" t="s">
        <v>471</v>
      </c>
      <c r="I297" s="5">
        <v>59200</v>
      </c>
      <c r="J297" s="3" t="s">
        <v>469</v>
      </c>
      <c r="K297" s="3" t="s">
        <v>472</v>
      </c>
      <c r="L297" s="3" t="s">
        <v>119</v>
      </c>
      <c r="M297" s="4" t="s">
        <v>471</v>
      </c>
      <c r="N297" s="3" t="s">
        <v>56</v>
      </c>
      <c r="O297" s="3" t="s">
        <v>139</v>
      </c>
      <c r="P297" s="4" t="s">
        <v>282</v>
      </c>
      <c r="Q297" s="3"/>
      <c r="R297" s="3"/>
      <c r="Y297" s="4" t="s">
        <v>466</v>
      </c>
      <c r="Z297" s="4" t="s">
        <v>406</v>
      </c>
      <c r="AA297" s="4" t="s">
        <v>356</v>
      </c>
      <c r="AB297" s="3" t="s">
        <v>473</v>
      </c>
      <c r="AC297" s="3" t="s">
        <v>358</v>
      </c>
      <c r="AD297" s="3" t="s">
        <v>474</v>
      </c>
      <c r="AE297" s="3">
        <v>1000</v>
      </c>
      <c r="AI297" s="4" t="s">
        <v>468</v>
      </c>
      <c r="AJ297" s="4" t="s">
        <v>409</v>
      </c>
      <c r="AK297" s="3" t="s">
        <v>286</v>
      </c>
      <c r="AL297" s="4">
        <v>41344</v>
      </c>
      <c r="AM297" s="5">
        <v>59200</v>
      </c>
      <c r="AN297" s="4" t="s">
        <v>124</v>
      </c>
      <c r="AO297" s="4">
        <v>99</v>
      </c>
      <c r="AP297" s="4">
        <v>80141500</v>
      </c>
    </row>
    <row r="298" spans="1:42" s="4" customFormat="1" x14ac:dyDescent="0.25">
      <c r="A298" s="3">
        <v>4604860</v>
      </c>
      <c r="B298" s="28">
        <v>42065</v>
      </c>
      <c r="C298" s="3" t="s">
        <v>392</v>
      </c>
      <c r="D298" s="3">
        <v>10004663</v>
      </c>
      <c r="E298" s="4">
        <v>4534211</v>
      </c>
      <c r="F298" s="3" t="s">
        <v>49</v>
      </c>
      <c r="G298" s="4" t="s">
        <v>318</v>
      </c>
      <c r="H298" s="4" t="s">
        <v>476</v>
      </c>
      <c r="I298" s="5">
        <v>82500</v>
      </c>
      <c r="J298" s="3" t="s">
        <v>477</v>
      </c>
      <c r="K298" s="3" t="s">
        <v>77</v>
      </c>
      <c r="L298" s="3" t="s">
        <v>119</v>
      </c>
      <c r="M298" s="4" t="s">
        <v>476</v>
      </c>
      <c r="N298" s="3" t="s">
        <v>56</v>
      </c>
      <c r="O298" s="3"/>
      <c r="Q298" s="3"/>
      <c r="R298" s="3"/>
      <c r="Y298" s="4" t="s">
        <v>466</v>
      </c>
      <c r="Z298" s="4" t="s">
        <v>466</v>
      </c>
      <c r="AA298" s="4" t="s">
        <v>188</v>
      </c>
      <c r="AB298" s="3" t="s">
        <v>478</v>
      </c>
      <c r="AC298" s="3" t="s">
        <v>190</v>
      </c>
      <c r="AD298" s="3" t="s">
        <v>479</v>
      </c>
      <c r="AE298" s="3">
        <v>1000</v>
      </c>
      <c r="AI298" s="4" t="s">
        <v>468</v>
      </c>
      <c r="AJ298" s="4" t="s">
        <v>468</v>
      </c>
      <c r="AK298" s="3"/>
      <c r="AL298" s="4">
        <v>141551</v>
      </c>
      <c r="AM298" s="5">
        <v>82500</v>
      </c>
      <c r="AN298" s="4" t="s">
        <v>124</v>
      </c>
      <c r="AO298" s="4">
        <v>99</v>
      </c>
      <c r="AP298" s="4">
        <v>80111600</v>
      </c>
    </row>
    <row r="299" spans="1:42" s="4" customFormat="1" x14ac:dyDescent="0.25">
      <c r="A299" s="3">
        <v>4604861</v>
      </c>
      <c r="B299" s="28">
        <v>42062</v>
      </c>
      <c r="C299" s="3" t="s">
        <v>392</v>
      </c>
      <c r="D299" s="3">
        <v>10004670</v>
      </c>
      <c r="E299" s="4">
        <v>4534212</v>
      </c>
      <c r="F299" s="3" t="s">
        <v>49</v>
      </c>
      <c r="G299" s="4" t="s">
        <v>481</v>
      </c>
      <c r="I299" s="5">
        <v>2557.0500000000002</v>
      </c>
      <c r="J299" s="3" t="s">
        <v>475</v>
      </c>
      <c r="K299" s="3" t="s">
        <v>77</v>
      </c>
      <c r="L299" s="3" t="s">
        <v>119</v>
      </c>
      <c r="M299" s="4" t="s">
        <v>482</v>
      </c>
      <c r="N299" s="3" t="s">
        <v>56</v>
      </c>
      <c r="O299" s="3"/>
      <c r="Q299" s="3"/>
      <c r="R299" s="3"/>
      <c r="Y299" s="4" t="s">
        <v>178</v>
      </c>
      <c r="Z299" s="4" t="s">
        <v>178</v>
      </c>
      <c r="AB299" s="3"/>
      <c r="AC299" s="3"/>
      <c r="AD299" s="3" t="s">
        <v>480</v>
      </c>
      <c r="AE299" s="3">
        <v>1000</v>
      </c>
      <c r="AI299" s="4" t="s">
        <v>181</v>
      </c>
      <c r="AJ299" s="4" t="s">
        <v>181</v>
      </c>
      <c r="AK299" s="3"/>
      <c r="AL299" s="4">
        <v>40741</v>
      </c>
      <c r="AM299" s="5">
        <v>2557.0500000000002</v>
      </c>
      <c r="AN299" s="4" t="s">
        <v>124</v>
      </c>
    </row>
    <row r="300" spans="1:42" s="4" customFormat="1" x14ac:dyDescent="0.25">
      <c r="A300" s="3">
        <v>4604870</v>
      </c>
      <c r="B300" s="28">
        <v>42068</v>
      </c>
      <c r="C300" s="3" t="s">
        <v>392</v>
      </c>
      <c r="D300" s="3">
        <v>10004682</v>
      </c>
      <c r="E300" s="4">
        <v>4534221</v>
      </c>
      <c r="F300" s="3" t="s">
        <v>49</v>
      </c>
      <c r="G300" s="4" t="s">
        <v>318</v>
      </c>
      <c r="I300" s="5">
        <v>2932.37</v>
      </c>
      <c r="J300" s="3" t="s">
        <v>484</v>
      </c>
      <c r="K300" s="3" t="s">
        <v>371</v>
      </c>
      <c r="L300" s="3" t="s">
        <v>119</v>
      </c>
      <c r="M300" s="4" t="s">
        <v>482</v>
      </c>
      <c r="N300" s="3" t="s">
        <v>56</v>
      </c>
      <c r="O300" s="3"/>
      <c r="Q300" s="3"/>
      <c r="R300" s="3"/>
      <c r="Y300" s="4" t="s">
        <v>178</v>
      </c>
      <c r="Z300" s="4" t="s">
        <v>178</v>
      </c>
      <c r="AB300" s="3"/>
      <c r="AC300" s="3"/>
      <c r="AD300" s="3" t="s">
        <v>485</v>
      </c>
      <c r="AE300" s="3">
        <v>1000</v>
      </c>
      <c r="AI300" s="4" t="s">
        <v>181</v>
      </c>
      <c r="AJ300" s="4" t="s">
        <v>181</v>
      </c>
      <c r="AK300" s="3"/>
      <c r="AL300" s="4">
        <v>141551</v>
      </c>
      <c r="AM300" s="5">
        <v>2932.37</v>
      </c>
      <c r="AN300" s="4" t="s">
        <v>124</v>
      </c>
    </row>
    <row r="301" spans="1:42" s="4" customFormat="1" x14ac:dyDescent="0.25">
      <c r="A301" s="3">
        <v>4604912</v>
      </c>
      <c r="B301" s="28">
        <v>42102</v>
      </c>
      <c r="C301" s="3" t="s">
        <v>392</v>
      </c>
      <c r="D301" s="3">
        <v>10004730</v>
      </c>
      <c r="E301" s="4">
        <v>4534263</v>
      </c>
      <c r="F301" s="3" t="s">
        <v>49</v>
      </c>
      <c r="G301" s="4" t="s">
        <v>174</v>
      </c>
      <c r="I301" s="5">
        <v>6419.69</v>
      </c>
      <c r="J301" s="3" t="s">
        <v>497</v>
      </c>
      <c r="K301" s="3" t="s">
        <v>498</v>
      </c>
      <c r="L301" s="3" t="s">
        <v>119</v>
      </c>
      <c r="M301" s="4" t="s">
        <v>499</v>
      </c>
      <c r="N301" s="3" t="s">
        <v>56</v>
      </c>
      <c r="O301" s="3"/>
      <c r="Q301" s="3"/>
      <c r="R301" s="3"/>
      <c r="Y301" s="4" t="s">
        <v>178</v>
      </c>
      <c r="Z301" s="4" t="s">
        <v>178</v>
      </c>
      <c r="AB301" s="3"/>
      <c r="AC301" s="3"/>
      <c r="AD301" s="3" t="s">
        <v>497</v>
      </c>
      <c r="AE301" s="3">
        <v>1000</v>
      </c>
      <c r="AI301" s="4" t="s">
        <v>181</v>
      </c>
      <c r="AJ301" s="4" t="s">
        <v>181</v>
      </c>
      <c r="AK301" s="3"/>
      <c r="AL301" s="4">
        <v>40476</v>
      </c>
      <c r="AM301" s="5">
        <v>6419.69</v>
      </c>
      <c r="AN301" s="4" t="s">
        <v>124</v>
      </c>
    </row>
    <row r="302" spans="1:42" s="4" customFormat="1" x14ac:dyDescent="0.25">
      <c r="A302" s="3">
        <v>4604917</v>
      </c>
      <c r="B302" s="28">
        <v>42104</v>
      </c>
      <c r="C302" s="3" t="s">
        <v>392</v>
      </c>
      <c r="D302" s="3">
        <v>10004742</v>
      </c>
      <c r="E302" s="4">
        <v>4534268</v>
      </c>
      <c r="F302" s="3" t="s">
        <v>49</v>
      </c>
      <c r="G302" s="4" t="s">
        <v>289</v>
      </c>
      <c r="I302" s="5">
        <v>2600.04</v>
      </c>
      <c r="J302" s="3" t="s">
        <v>500</v>
      </c>
      <c r="K302" s="3" t="s">
        <v>374</v>
      </c>
      <c r="L302" s="3" t="s">
        <v>119</v>
      </c>
      <c r="M302" s="4" t="s">
        <v>501</v>
      </c>
      <c r="N302" s="3" t="s">
        <v>56</v>
      </c>
      <c r="O302" s="3"/>
      <c r="Q302" s="3"/>
      <c r="R302" s="3"/>
      <c r="Y302" s="4" t="s">
        <v>178</v>
      </c>
      <c r="Z302" s="4" t="s">
        <v>178</v>
      </c>
      <c r="AB302" s="3"/>
      <c r="AC302" s="3"/>
      <c r="AD302" s="3" t="s">
        <v>500</v>
      </c>
      <c r="AE302" s="3">
        <v>1000</v>
      </c>
      <c r="AI302" s="4" t="s">
        <v>181</v>
      </c>
      <c r="AJ302" s="4" t="s">
        <v>181</v>
      </c>
      <c r="AK302" s="3"/>
      <c r="AL302" s="4">
        <v>141467</v>
      </c>
      <c r="AM302" s="5">
        <v>2600.04</v>
      </c>
      <c r="AN302" s="4" t="s">
        <v>124</v>
      </c>
    </row>
    <row r="303" spans="1:42" s="4" customFormat="1" x14ac:dyDescent="0.25">
      <c r="A303" s="3">
        <v>4604921</v>
      </c>
      <c r="B303" s="28">
        <v>42095</v>
      </c>
      <c r="C303" s="3" t="s">
        <v>392</v>
      </c>
      <c r="D303" s="3">
        <v>10004708</v>
      </c>
      <c r="E303" s="4">
        <v>4534272</v>
      </c>
      <c r="F303" s="3" t="s">
        <v>49</v>
      </c>
      <c r="G303" s="4" t="s">
        <v>372</v>
      </c>
      <c r="H303" s="4" t="s">
        <v>503</v>
      </c>
      <c r="I303" s="5">
        <v>64500</v>
      </c>
      <c r="J303" s="3" t="s">
        <v>502</v>
      </c>
      <c r="K303" s="3" t="s">
        <v>504</v>
      </c>
      <c r="L303" s="3" t="s">
        <v>119</v>
      </c>
      <c r="M303" s="4" t="s">
        <v>503</v>
      </c>
      <c r="N303" s="3" t="s">
        <v>25</v>
      </c>
      <c r="O303" s="3" t="s">
        <v>139</v>
      </c>
      <c r="P303" s="4" t="s">
        <v>282</v>
      </c>
      <c r="Q303" s="3"/>
      <c r="R303" s="3"/>
      <c r="Y303" s="4" t="s">
        <v>505</v>
      </c>
      <c r="Z303" s="4" t="s">
        <v>505</v>
      </c>
      <c r="AA303" s="4" t="s">
        <v>506</v>
      </c>
      <c r="AB303" s="3"/>
      <c r="AC303" s="3"/>
      <c r="AD303" s="3" t="s">
        <v>500</v>
      </c>
      <c r="AE303" s="3">
        <v>1000</v>
      </c>
      <c r="AI303" s="4" t="s">
        <v>507</v>
      </c>
      <c r="AJ303" s="4" t="s">
        <v>507</v>
      </c>
      <c r="AK303" s="3" t="s">
        <v>286</v>
      </c>
      <c r="AL303" s="4">
        <v>43825</v>
      </c>
      <c r="AM303" s="5">
        <v>64500</v>
      </c>
      <c r="AN303" s="4" t="s">
        <v>124</v>
      </c>
      <c r="AO303" s="4">
        <v>99</v>
      </c>
      <c r="AP303" s="4">
        <v>80101505</v>
      </c>
    </row>
    <row r="304" spans="1:42" s="4" customFormat="1" x14ac:dyDescent="0.25">
      <c r="A304" s="3">
        <v>4604924</v>
      </c>
      <c r="B304" s="28">
        <v>42095</v>
      </c>
      <c r="C304" s="3" t="s">
        <v>392</v>
      </c>
      <c r="D304" s="3">
        <v>10004708</v>
      </c>
      <c r="E304" s="4">
        <v>4534275</v>
      </c>
      <c r="F304" s="3" t="s">
        <v>49</v>
      </c>
      <c r="G304" s="4" t="s">
        <v>508</v>
      </c>
      <c r="H304" s="4" t="s">
        <v>503</v>
      </c>
      <c r="I304" s="5">
        <v>79500</v>
      </c>
      <c r="J304" s="3" t="s">
        <v>502</v>
      </c>
      <c r="K304" s="3" t="s">
        <v>504</v>
      </c>
      <c r="L304" s="3" t="s">
        <v>119</v>
      </c>
      <c r="M304" s="4" t="s">
        <v>503</v>
      </c>
      <c r="N304" s="3" t="s">
        <v>25</v>
      </c>
      <c r="O304" s="3" t="s">
        <v>139</v>
      </c>
      <c r="P304" s="4" t="s">
        <v>282</v>
      </c>
      <c r="Q304" s="3"/>
      <c r="R304" s="3"/>
      <c r="Y304" s="4" t="s">
        <v>505</v>
      </c>
      <c r="Z304" s="4" t="s">
        <v>505</v>
      </c>
      <c r="AA304" s="4" t="s">
        <v>509</v>
      </c>
      <c r="AB304" s="3"/>
      <c r="AC304" s="3"/>
      <c r="AD304" s="3" t="s">
        <v>510</v>
      </c>
      <c r="AE304" s="3">
        <v>1000</v>
      </c>
      <c r="AI304" s="4" t="s">
        <v>507</v>
      </c>
      <c r="AJ304" s="4" t="s">
        <v>507</v>
      </c>
      <c r="AK304" s="3" t="s">
        <v>286</v>
      </c>
      <c r="AL304" s="4">
        <v>140425</v>
      </c>
      <c r="AM304" s="5">
        <v>79500</v>
      </c>
      <c r="AN304" s="4" t="s">
        <v>124</v>
      </c>
      <c r="AO304" s="4">
        <v>99</v>
      </c>
      <c r="AP304" s="4">
        <v>80101505</v>
      </c>
    </row>
    <row r="305" spans="1:42" s="4" customFormat="1" x14ac:dyDescent="0.25">
      <c r="A305" s="3">
        <v>4604928</v>
      </c>
      <c r="B305" s="28">
        <v>42108</v>
      </c>
      <c r="C305" s="3" t="s">
        <v>392</v>
      </c>
      <c r="D305" s="3">
        <v>10004749</v>
      </c>
      <c r="E305" s="4">
        <v>4534279</v>
      </c>
      <c r="F305" s="3" t="s">
        <v>49</v>
      </c>
      <c r="G305" s="4" t="s">
        <v>318</v>
      </c>
      <c r="I305" s="5">
        <v>2412.52</v>
      </c>
      <c r="J305" s="3" t="s">
        <v>511</v>
      </c>
      <c r="K305" s="3" t="s">
        <v>374</v>
      </c>
      <c r="L305" s="3" t="s">
        <v>119</v>
      </c>
      <c r="M305" s="4" t="s">
        <v>512</v>
      </c>
      <c r="N305" s="3" t="s">
        <v>56</v>
      </c>
      <c r="O305" s="3"/>
      <c r="Q305" s="3"/>
      <c r="R305" s="3"/>
      <c r="Y305" s="4" t="s">
        <v>178</v>
      </c>
      <c r="Z305" s="4" t="s">
        <v>178</v>
      </c>
      <c r="AB305" s="3"/>
      <c r="AC305" s="3"/>
      <c r="AD305" s="3" t="s">
        <v>510</v>
      </c>
      <c r="AE305" s="3">
        <v>1000</v>
      </c>
      <c r="AI305" s="4" t="s">
        <v>181</v>
      </c>
      <c r="AJ305" s="4" t="s">
        <v>181</v>
      </c>
      <c r="AK305" s="3"/>
      <c r="AL305" s="4">
        <v>141551</v>
      </c>
      <c r="AM305" s="5">
        <v>2412.52</v>
      </c>
      <c r="AN305" s="4" t="s">
        <v>124</v>
      </c>
    </row>
    <row r="306" spans="1:42" s="4" customFormat="1" x14ac:dyDescent="0.25">
      <c r="A306" s="3">
        <v>4604931</v>
      </c>
      <c r="B306" s="28">
        <v>42110</v>
      </c>
      <c r="C306" s="3" t="s">
        <v>392</v>
      </c>
      <c r="D306" s="3">
        <v>10004755</v>
      </c>
      <c r="E306" s="4">
        <v>4534282</v>
      </c>
      <c r="F306" s="3" t="s">
        <v>49</v>
      </c>
      <c r="G306" s="4" t="s">
        <v>174</v>
      </c>
      <c r="I306" s="5">
        <v>1512.51</v>
      </c>
      <c r="J306" s="3" t="s">
        <v>513</v>
      </c>
      <c r="K306" s="3" t="s">
        <v>514</v>
      </c>
      <c r="L306" s="3" t="s">
        <v>119</v>
      </c>
      <c r="M306" s="4" t="s">
        <v>515</v>
      </c>
      <c r="N306" s="3" t="s">
        <v>56</v>
      </c>
      <c r="O306" s="3"/>
      <c r="Q306" s="3"/>
      <c r="R306" s="3"/>
      <c r="Y306" s="4" t="s">
        <v>178</v>
      </c>
      <c r="Z306" s="4" t="s">
        <v>178</v>
      </c>
      <c r="AB306" s="3"/>
      <c r="AC306" s="3"/>
      <c r="AD306" s="3" t="s">
        <v>516</v>
      </c>
      <c r="AE306" s="3">
        <v>1000</v>
      </c>
      <c r="AI306" s="4" t="s">
        <v>181</v>
      </c>
      <c r="AJ306" s="4" t="s">
        <v>181</v>
      </c>
      <c r="AK306" s="3"/>
      <c r="AL306" s="4">
        <v>40476</v>
      </c>
      <c r="AM306" s="5">
        <v>1512.51</v>
      </c>
      <c r="AN306" s="4" t="s">
        <v>124</v>
      </c>
    </row>
    <row r="307" spans="1:42" s="4" customFormat="1" x14ac:dyDescent="0.25">
      <c r="A307" s="3">
        <v>4604938</v>
      </c>
      <c r="B307" s="28">
        <v>42111</v>
      </c>
      <c r="C307" s="3" t="s">
        <v>392</v>
      </c>
      <c r="D307" s="3">
        <v>10004756</v>
      </c>
      <c r="E307" s="4">
        <v>4534289</v>
      </c>
      <c r="F307" s="3" t="s">
        <v>49</v>
      </c>
      <c r="G307" s="4" t="s">
        <v>519</v>
      </c>
      <c r="H307" s="4" t="s">
        <v>520</v>
      </c>
      <c r="I307" s="5">
        <v>461571</v>
      </c>
      <c r="J307" s="3" t="s">
        <v>513</v>
      </c>
      <c r="K307" s="3" t="s">
        <v>77</v>
      </c>
      <c r="L307" s="3" t="s">
        <v>119</v>
      </c>
      <c r="M307" s="4" t="s">
        <v>520</v>
      </c>
      <c r="N307" s="3" t="s">
        <v>56</v>
      </c>
      <c r="O307" s="3"/>
      <c r="Q307" s="3"/>
      <c r="R307" s="3"/>
      <c r="Y307" s="4" t="s">
        <v>466</v>
      </c>
      <c r="Z307" s="4" t="s">
        <v>466</v>
      </c>
      <c r="AA307" s="4" t="s">
        <v>521</v>
      </c>
      <c r="AB307" s="3" t="s">
        <v>522</v>
      </c>
      <c r="AC307" s="3" t="s">
        <v>523</v>
      </c>
      <c r="AD307" s="3" t="s">
        <v>524</v>
      </c>
      <c r="AE307" s="3">
        <v>1000</v>
      </c>
      <c r="AI307" s="4" t="s">
        <v>468</v>
      </c>
      <c r="AJ307" s="4" t="s">
        <v>468</v>
      </c>
      <c r="AK307" s="3"/>
      <c r="AL307" s="4">
        <v>141888</v>
      </c>
      <c r="AM307" s="5">
        <v>461571</v>
      </c>
      <c r="AN307" s="4" t="s">
        <v>124</v>
      </c>
      <c r="AO307" s="4">
        <v>99</v>
      </c>
      <c r="AP307" s="4">
        <v>43230000</v>
      </c>
    </row>
    <row r="308" spans="1:42" s="4" customFormat="1" x14ac:dyDescent="0.25">
      <c r="A308" s="3">
        <v>4604953</v>
      </c>
      <c r="B308" s="28">
        <v>42095</v>
      </c>
      <c r="C308" s="3" t="s">
        <v>392</v>
      </c>
      <c r="D308" s="3">
        <v>10004708</v>
      </c>
      <c r="E308" s="4">
        <v>4534304</v>
      </c>
      <c r="F308" s="3" t="s">
        <v>49</v>
      </c>
      <c r="G308" s="4" t="s">
        <v>525</v>
      </c>
      <c r="H308" s="4" t="s">
        <v>503</v>
      </c>
      <c r="I308" s="5">
        <v>135500</v>
      </c>
      <c r="J308" s="3" t="s">
        <v>502</v>
      </c>
      <c r="K308" s="3" t="s">
        <v>504</v>
      </c>
      <c r="L308" s="3" t="s">
        <v>119</v>
      </c>
      <c r="M308" s="4" t="s">
        <v>503</v>
      </c>
      <c r="N308" s="3" t="s">
        <v>25</v>
      </c>
      <c r="O308" s="3" t="s">
        <v>139</v>
      </c>
      <c r="P308" s="4" t="s">
        <v>282</v>
      </c>
      <c r="Q308" s="3"/>
      <c r="R308" s="3"/>
      <c r="Y308" s="4" t="s">
        <v>505</v>
      </c>
      <c r="Z308" s="4" t="s">
        <v>505</v>
      </c>
      <c r="AA308" s="4" t="s">
        <v>526</v>
      </c>
      <c r="AB308" s="3"/>
      <c r="AC308" s="3"/>
      <c r="AD308" s="3" t="s">
        <v>527</v>
      </c>
      <c r="AE308" s="3">
        <v>1000</v>
      </c>
      <c r="AI308" s="4" t="s">
        <v>507</v>
      </c>
      <c r="AJ308" s="4" t="s">
        <v>507</v>
      </c>
      <c r="AK308" s="3" t="s">
        <v>286</v>
      </c>
      <c r="AL308" s="4">
        <v>141897</v>
      </c>
      <c r="AM308" s="5">
        <v>135500</v>
      </c>
      <c r="AN308" s="4" t="s">
        <v>124</v>
      </c>
      <c r="AO308" s="4">
        <v>99</v>
      </c>
      <c r="AP308" s="4">
        <v>80101505</v>
      </c>
    </row>
    <row r="309" spans="1:42" s="4" customFormat="1" x14ac:dyDescent="0.25">
      <c r="A309" s="3">
        <v>4604980</v>
      </c>
      <c r="B309" s="28">
        <v>42150</v>
      </c>
      <c r="C309" s="3" t="s">
        <v>392</v>
      </c>
      <c r="D309" s="3">
        <v>10004799</v>
      </c>
      <c r="E309" s="4">
        <v>4534331</v>
      </c>
      <c r="F309" s="3" t="s">
        <v>49</v>
      </c>
      <c r="G309" s="4" t="s">
        <v>519</v>
      </c>
      <c r="H309" s="4" t="s">
        <v>528</v>
      </c>
      <c r="I309" s="5">
        <v>52299.5</v>
      </c>
      <c r="J309" s="3" t="s">
        <v>360</v>
      </c>
      <c r="K309" s="3" t="s">
        <v>77</v>
      </c>
      <c r="L309" s="3" t="s">
        <v>119</v>
      </c>
      <c r="M309" s="4" t="s">
        <v>528</v>
      </c>
      <c r="N309" s="3" t="s">
        <v>56</v>
      </c>
      <c r="O309" s="3"/>
      <c r="Q309" s="3"/>
      <c r="R309" s="3"/>
      <c r="Y309" s="4" t="s">
        <v>466</v>
      </c>
      <c r="Z309" s="4" t="s">
        <v>466</v>
      </c>
      <c r="AA309" s="4" t="s">
        <v>521</v>
      </c>
      <c r="AB309" s="3" t="s">
        <v>522</v>
      </c>
      <c r="AC309" s="3" t="s">
        <v>523</v>
      </c>
      <c r="AD309" s="3" t="s">
        <v>474</v>
      </c>
      <c r="AE309" s="3">
        <v>1000</v>
      </c>
      <c r="AI309" s="4" t="s">
        <v>468</v>
      </c>
      <c r="AJ309" s="4" t="s">
        <v>468</v>
      </c>
      <c r="AK309" s="3"/>
      <c r="AL309" s="4">
        <v>141888</v>
      </c>
      <c r="AM309" s="5">
        <v>52299.5</v>
      </c>
      <c r="AN309" s="4" t="s">
        <v>124</v>
      </c>
      <c r="AO309" s="4">
        <v>99</v>
      </c>
      <c r="AP309" s="4">
        <v>43230000</v>
      </c>
    </row>
    <row r="310" spans="1:42" s="4" customFormat="1" x14ac:dyDescent="0.25">
      <c r="A310" s="3">
        <v>4604985</v>
      </c>
      <c r="B310" s="28">
        <v>42152</v>
      </c>
      <c r="C310" s="3" t="s">
        <v>392</v>
      </c>
      <c r="D310" s="3">
        <v>10004814</v>
      </c>
      <c r="E310" s="4">
        <v>4534336</v>
      </c>
      <c r="F310" s="3" t="s">
        <v>49</v>
      </c>
      <c r="G310" s="4" t="s">
        <v>318</v>
      </c>
      <c r="I310" s="5">
        <v>1224.82</v>
      </c>
      <c r="J310" s="3" t="s">
        <v>529</v>
      </c>
      <c r="K310" s="3" t="s">
        <v>530</v>
      </c>
      <c r="L310" s="3" t="s">
        <v>119</v>
      </c>
      <c r="M310" s="4" t="s">
        <v>531</v>
      </c>
      <c r="N310" s="3" t="s">
        <v>56</v>
      </c>
      <c r="O310" s="3"/>
      <c r="Q310" s="3"/>
      <c r="R310" s="3"/>
      <c r="Y310" s="4" t="s">
        <v>178</v>
      </c>
      <c r="Z310" s="4" t="s">
        <v>178</v>
      </c>
      <c r="AB310" s="3"/>
      <c r="AC310" s="3"/>
      <c r="AD310" s="3" t="s">
        <v>422</v>
      </c>
      <c r="AE310" s="3">
        <v>1000</v>
      </c>
      <c r="AI310" s="4" t="s">
        <v>181</v>
      </c>
      <c r="AJ310" s="4" t="s">
        <v>181</v>
      </c>
      <c r="AK310" s="3"/>
      <c r="AL310" s="4">
        <v>141551</v>
      </c>
      <c r="AM310" s="5">
        <v>1224.82</v>
      </c>
      <c r="AN310" s="4" t="s">
        <v>124</v>
      </c>
    </row>
    <row r="311" spans="1:42" s="4" customFormat="1" x14ac:dyDescent="0.25">
      <c r="A311" s="3">
        <v>4605042</v>
      </c>
      <c r="B311" s="28">
        <v>42179</v>
      </c>
      <c r="C311" s="3" t="s">
        <v>392</v>
      </c>
      <c r="D311" s="3">
        <v>10004895</v>
      </c>
      <c r="E311" s="4">
        <v>4534393</v>
      </c>
      <c r="F311" s="3" t="s">
        <v>49</v>
      </c>
      <c r="G311" s="4" t="s">
        <v>289</v>
      </c>
      <c r="I311" s="5">
        <v>1967.22</v>
      </c>
      <c r="J311" s="3" t="s">
        <v>543</v>
      </c>
      <c r="K311" s="3" t="s">
        <v>544</v>
      </c>
      <c r="L311" s="3" t="s">
        <v>119</v>
      </c>
      <c r="M311" s="4" t="s">
        <v>545</v>
      </c>
      <c r="N311" s="3" t="s">
        <v>56</v>
      </c>
      <c r="O311" s="3"/>
      <c r="Q311" s="3"/>
      <c r="R311" s="3"/>
      <c r="Y311" s="4" t="s">
        <v>178</v>
      </c>
      <c r="Z311" s="4" t="s">
        <v>178</v>
      </c>
      <c r="AB311" s="3"/>
      <c r="AC311" s="3"/>
      <c r="AD311" s="3" t="s">
        <v>369</v>
      </c>
      <c r="AE311" s="3">
        <v>1000</v>
      </c>
      <c r="AI311" s="4" t="s">
        <v>181</v>
      </c>
      <c r="AJ311" s="4" t="s">
        <v>181</v>
      </c>
      <c r="AK311" s="3"/>
      <c r="AL311" s="4">
        <v>141467</v>
      </c>
      <c r="AM311" s="5">
        <v>1967.22</v>
      </c>
      <c r="AN311" s="4" t="s">
        <v>124</v>
      </c>
    </row>
    <row r="312" spans="1:42" s="4" customFormat="1" x14ac:dyDescent="0.25">
      <c r="A312" s="3">
        <v>4605045</v>
      </c>
      <c r="B312" s="28">
        <v>42150</v>
      </c>
      <c r="C312" s="3" t="s">
        <v>392</v>
      </c>
      <c r="D312" s="3">
        <v>10004897</v>
      </c>
      <c r="E312" s="4">
        <v>4534396</v>
      </c>
      <c r="F312" s="3" t="s">
        <v>49</v>
      </c>
      <c r="G312" s="4" t="s">
        <v>546</v>
      </c>
      <c r="H312" s="4" t="s">
        <v>547</v>
      </c>
      <c r="I312" s="5">
        <v>64898</v>
      </c>
      <c r="J312" s="3" t="s">
        <v>382</v>
      </c>
      <c r="K312" s="3" t="s">
        <v>374</v>
      </c>
      <c r="L312" s="3" t="s">
        <v>119</v>
      </c>
      <c r="M312" s="4" t="s">
        <v>547</v>
      </c>
      <c r="N312" s="3" t="s">
        <v>56</v>
      </c>
      <c r="O312" s="3"/>
      <c r="Q312" s="3" t="s">
        <v>139</v>
      </c>
      <c r="R312" s="3" t="s">
        <v>548</v>
      </c>
      <c r="S312" s="4" t="s">
        <v>549</v>
      </c>
      <c r="U312" s="4" t="s">
        <v>139</v>
      </c>
      <c r="V312" s="4" t="s">
        <v>548</v>
      </c>
      <c r="W312" s="4" t="s">
        <v>549</v>
      </c>
      <c r="Y312" s="4" t="s">
        <v>550</v>
      </c>
      <c r="Z312" s="4" t="s">
        <v>550</v>
      </c>
      <c r="AA312" s="4" t="s">
        <v>356</v>
      </c>
      <c r="AB312" s="3" t="s">
        <v>551</v>
      </c>
      <c r="AC312" s="3" t="s">
        <v>358</v>
      </c>
      <c r="AD312" s="3" t="s">
        <v>369</v>
      </c>
      <c r="AE312" s="3">
        <v>1000</v>
      </c>
      <c r="AI312" s="4" t="s">
        <v>552</v>
      </c>
      <c r="AJ312" s="4" t="s">
        <v>552</v>
      </c>
      <c r="AK312" s="3"/>
      <c r="AL312" s="4">
        <v>140499</v>
      </c>
      <c r="AM312" s="5">
        <v>64898</v>
      </c>
      <c r="AN312" s="4" t="s">
        <v>124</v>
      </c>
      <c r="AO312" s="4">
        <v>99</v>
      </c>
      <c r="AP312" s="4">
        <v>80101603</v>
      </c>
    </row>
    <row r="313" spans="1:42" s="4" customFormat="1" x14ac:dyDescent="0.25">
      <c r="A313" s="3">
        <v>4605054</v>
      </c>
      <c r="B313" s="28">
        <v>42184</v>
      </c>
      <c r="C313" s="3" t="s">
        <v>392</v>
      </c>
      <c r="D313" s="3">
        <v>10004824</v>
      </c>
      <c r="E313" s="4">
        <v>4534405</v>
      </c>
      <c r="F313" s="3" t="s">
        <v>49</v>
      </c>
      <c r="G313" s="4" t="s">
        <v>553</v>
      </c>
      <c r="H313" s="4" t="s">
        <v>554</v>
      </c>
      <c r="I313" s="5">
        <v>77000</v>
      </c>
      <c r="J313" s="3" t="s">
        <v>535</v>
      </c>
      <c r="K313" s="3" t="s">
        <v>555</v>
      </c>
      <c r="L313" s="3" t="s">
        <v>119</v>
      </c>
      <c r="M313" s="4" t="s">
        <v>554</v>
      </c>
      <c r="N313" s="3" t="s">
        <v>56</v>
      </c>
      <c r="O313" s="3" t="s">
        <v>139</v>
      </c>
      <c r="P313" s="4" t="s">
        <v>140</v>
      </c>
      <c r="Q313" s="3"/>
      <c r="R313" s="3"/>
      <c r="Y313" s="4" t="s">
        <v>556</v>
      </c>
      <c r="Z313" s="4" t="s">
        <v>556</v>
      </c>
      <c r="AA313" s="4" t="s">
        <v>356</v>
      </c>
      <c r="AB313" s="3" t="s">
        <v>557</v>
      </c>
      <c r="AC313" s="3" t="s">
        <v>358</v>
      </c>
      <c r="AD313" s="3" t="s">
        <v>287</v>
      </c>
      <c r="AE313" s="3">
        <v>1000</v>
      </c>
      <c r="AI313" s="4" t="s">
        <v>558</v>
      </c>
      <c r="AJ313" s="4" t="s">
        <v>558</v>
      </c>
      <c r="AK313" s="3" t="s">
        <v>143</v>
      </c>
      <c r="AL313" s="4">
        <v>42555</v>
      </c>
      <c r="AM313" s="5">
        <v>77000</v>
      </c>
      <c r="AN313" s="4" t="s">
        <v>124</v>
      </c>
      <c r="AO313" s="4">
        <v>99</v>
      </c>
      <c r="AP313" s="4">
        <v>80101603</v>
      </c>
    </row>
    <row r="314" spans="1:42" s="4" customFormat="1" x14ac:dyDescent="0.25">
      <c r="A314" s="3">
        <v>4600307</v>
      </c>
      <c r="B314" s="28">
        <v>41575</v>
      </c>
      <c r="C314" s="3" t="s">
        <v>560</v>
      </c>
      <c r="D314" s="3">
        <v>10000374</v>
      </c>
      <c r="E314" s="4">
        <v>4529657</v>
      </c>
      <c r="F314" s="3" t="s">
        <v>49</v>
      </c>
      <c r="G314" s="4" t="s">
        <v>561</v>
      </c>
      <c r="H314" s="4" t="s">
        <v>562</v>
      </c>
      <c r="I314" s="5">
        <v>424915</v>
      </c>
      <c r="J314" s="3" t="s">
        <v>563</v>
      </c>
      <c r="K314" s="3" t="s">
        <v>77</v>
      </c>
      <c r="L314" s="3" t="s">
        <v>119</v>
      </c>
      <c r="M314" s="4" t="s">
        <v>564</v>
      </c>
      <c r="N314" s="3" t="s">
        <v>25</v>
      </c>
      <c r="O314" s="3"/>
      <c r="Q314" s="3"/>
      <c r="R314" s="3"/>
      <c r="Y314" s="4" t="s">
        <v>565</v>
      </c>
      <c r="Z314" s="4" t="s">
        <v>566</v>
      </c>
      <c r="AA314" s="4" t="s">
        <v>567</v>
      </c>
      <c r="AB314" s="3"/>
      <c r="AC314" s="3"/>
      <c r="AD314" s="3" t="s">
        <v>568</v>
      </c>
      <c r="AE314" s="3">
        <v>5000</v>
      </c>
      <c r="AF314" s="4">
        <v>18242.27</v>
      </c>
      <c r="AG314" s="4">
        <v>66400.27</v>
      </c>
      <c r="AH314" s="4">
        <v>4528577</v>
      </c>
      <c r="AI314" s="4" t="s">
        <v>569</v>
      </c>
      <c r="AJ314" s="4" t="s">
        <v>570</v>
      </c>
      <c r="AK314" s="3"/>
      <c r="AL314" s="4">
        <v>140166</v>
      </c>
      <c r="AM314" s="5">
        <v>424915</v>
      </c>
      <c r="AN314" s="4" t="s">
        <v>31</v>
      </c>
      <c r="AO314" s="4">
        <v>95</v>
      </c>
      <c r="AP314" s="4">
        <v>80101600</v>
      </c>
    </row>
    <row r="315" spans="1:42" s="4" customFormat="1" x14ac:dyDescent="0.25">
      <c r="A315" s="3">
        <v>4600328</v>
      </c>
      <c r="B315" s="28">
        <v>41575</v>
      </c>
      <c r="C315" s="3" t="s">
        <v>560</v>
      </c>
      <c r="D315" s="3">
        <v>10000390</v>
      </c>
      <c r="E315" s="4">
        <v>4529678</v>
      </c>
      <c r="F315" s="3" t="s">
        <v>49</v>
      </c>
      <c r="G315" s="4" t="s">
        <v>579</v>
      </c>
      <c r="H315" s="4" t="s">
        <v>562</v>
      </c>
      <c r="I315" s="5">
        <v>505700</v>
      </c>
      <c r="J315" s="3" t="s">
        <v>580</v>
      </c>
      <c r="K315" s="3" t="s">
        <v>77</v>
      </c>
      <c r="L315" s="3" t="s">
        <v>119</v>
      </c>
      <c r="M315" s="4" t="s">
        <v>564</v>
      </c>
      <c r="N315" s="3" t="s">
        <v>56</v>
      </c>
      <c r="O315" s="3"/>
      <c r="Q315" s="3"/>
      <c r="R315" s="3"/>
      <c r="Y315" s="4" t="s">
        <v>565</v>
      </c>
      <c r="Z315" s="4" t="s">
        <v>566</v>
      </c>
      <c r="AA315" s="4" t="s">
        <v>567</v>
      </c>
      <c r="AB315" s="3" t="s">
        <v>581</v>
      </c>
      <c r="AC315" s="3" t="s">
        <v>582</v>
      </c>
      <c r="AD315" s="3" t="s">
        <v>583</v>
      </c>
      <c r="AE315" s="3">
        <v>5000</v>
      </c>
      <c r="AF315" s="4">
        <v>47065.27</v>
      </c>
      <c r="AG315" s="4">
        <v>88148.53</v>
      </c>
      <c r="AH315" s="4">
        <v>4528569</v>
      </c>
      <c r="AI315" s="4" t="s">
        <v>569</v>
      </c>
      <c r="AJ315" s="4" t="s">
        <v>570</v>
      </c>
      <c r="AK315" s="3"/>
      <c r="AL315" s="4">
        <v>53480</v>
      </c>
      <c r="AM315" s="5">
        <v>505700</v>
      </c>
      <c r="AN315" s="4" t="s">
        <v>31</v>
      </c>
      <c r="AO315" s="4">
        <v>95</v>
      </c>
      <c r="AP315" s="4">
        <v>43200000</v>
      </c>
    </row>
    <row r="316" spans="1:42" s="4" customFormat="1" x14ac:dyDescent="0.25">
      <c r="A316" s="3">
        <v>4600329</v>
      </c>
      <c r="B316" s="28">
        <v>41575</v>
      </c>
      <c r="C316" s="3" t="s">
        <v>560</v>
      </c>
      <c r="D316" s="3">
        <v>10000392</v>
      </c>
      <c r="E316" s="4">
        <v>4529679</v>
      </c>
      <c r="F316" s="3" t="s">
        <v>49</v>
      </c>
      <c r="G316" s="4" t="s">
        <v>584</v>
      </c>
      <c r="H316" s="4" t="s">
        <v>562</v>
      </c>
      <c r="I316" s="5">
        <v>1264953.1000000001</v>
      </c>
      <c r="J316" s="3" t="s">
        <v>585</v>
      </c>
      <c r="K316" s="3" t="s">
        <v>77</v>
      </c>
      <c r="L316" s="3" t="s">
        <v>119</v>
      </c>
      <c r="M316" s="4" t="s">
        <v>564</v>
      </c>
      <c r="N316" s="3" t="s">
        <v>56</v>
      </c>
      <c r="O316" s="3"/>
      <c r="Q316" s="3"/>
      <c r="R316" s="3"/>
      <c r="Y316" s="4" t="s">
        <v>565</v>
      </c>
      <c r="Z316" s="4" t="s">
        <v>566</v>
      </c>
      <c r="AA316" s="4" t="s">
        <v>567</v>
      </c>
      <c r="AB316" s="3" t="s">
        <v>586</v>
      </c>
      <c r="AC316" s="3" t="s">
        <v>582</v>
      </c>
      <c r="AD316" s="3" t="s">
        <v>583</v>
      </c>
      <c r="AE316" s="3">
        <v>5000</v>
      </c>
      <c r="AF316" s="4">
        <v>48699.8</v>
      </c>
      <c r="AG316" s="4">
        <v>101537.76</v>
      </c>
      <c r="AH316" s="4">
        <v>4528566</v>
      </c>
      <c r="AI316" s="4" t="s">
        <v>569</v>
      </c>
      <c r="AJ316" s="4" t="s">
        <v>570</v>
      </c>
      <c r="AK316" s="3"/>
      <c r="AL316" s="4">
        <v>49597</v>
      </c>
      <c r="AM316" s="5">
        <v>1264953.1000000001</v>
      </c>
      <c r="AN316" s="4" t="s">
        <v>31</v>
      </c>
      <c r="AO316" s="4">
        <v>93</v>
      </c>
      <c r="AP316" s="4">
        <v>80101600</v>
      </c>
    </row>
    <row r="317" spans="1:42" s="4" customFormat="1" x14ac:dyDescent="0.25">
      <c r="A317" s="3">
        <v>4600331</v>
      </c>
      <c r="B317" s="28">
        <v>41575</v>
      </c>
      <c r="C317" s="3" t="s">
        <v>560</v>
      </c>
      <c r="D317" s="3">
        <v>10000393</v>
      </c>
      <c r="E317" s="4">
        <v>4529681</v>
      </c>
      <c r="F317" s="3" t="s">
        <v>49</v>
      </c>
      <c r="G317" s="4" t="s">
        <v>587</v>
      </c>
      <c r="H317" s="4" t="s">
        <v>562</v>
      </c>
      <c r="I317" s="5">
        <v>250100</v>
      </c>
      <c r="J317" s="3" t="s">
        <v>580</v>
      </c>
      <c r="K317" s="3" t="s">
        <v>77</v>
      </c>
      <c r="L317" s="3" t="s">
        <v>119</v>
      </c>
      <c r="M317" s="4" t="s">
        <v>564</v>
      </c>
      <c r="N317" s="3" t="s">
        <v>56</v>
      </c>
      <c r="O317" s="3"/>
      <c r="Q317" s="3"/>
      <c r="R317" s="3"/>
      <c r="Y317" s="4" t="s">
        <v>565</v>
      </c>
      <c r="Z317" s="4" t="s">
        <v>566</v>
      </c>
      <c r="AA317" s="4" t="s">
        <v>567</v>
      </c>
      <c r="AB317" s="3" t="s">
        <v>588</v>
      </c>
      <c r="AC317" s="3" t="s">
        <v>582</v>
      </c>
      <c r="AD317" s="3" t="s">
        <v>583</v>
      </c>
      <c r="AE317" s="3">
        <v>5000</v>
      </c>
      <c r="AF317" s="4">
        <v>8580</v>
      </c>
      <c r="AG317" s="4">
        <v>104098.17</v>
      </c>
      <c r="AH317" s="4">
        <v>4528576</v>
      </c>
      <c r="AI317" s="4" t="s">
        <v>569</v>
      </c>
      <c r="AJ317" s="4" t="s">
        <v>570</v>
      </c>
      <c r="AK317" s="3"/>
      <c r="AL317" s="4">
        <v>140165</v>
      </c>
      <c r="AM317" s="5">
        <v>250100</v>
      </c>
      <c r="AN317" s="4" t="s">
        <v>31</v>
      </c>
      <c r="AO317" s="4">
        <v>97</v>
      </c>
      <c r="AP317" s="4">
        <v>43200000</v>
      </c>
    </row>
    <row r="318" spans="1:42" s="4" customFormat="1" x14ac:dyDescent="0.25">
      <c r="A318" s="3">
        <v>4602209</v>
      </c>
      <c r="B318" s="28">
        <v>41450</v>
      </c>
      <c r="C318" s="3" t="s">
        <v>560</v>
      </c>
      <c r="D318" s="3">
        <v>10002146</v>
      </c>
      <c r="E318" s="4">
        <v>4531560</v>
      </c>
      <c r="F318" s="3" t="s">
        <v>49</v>
      </c>
      <c r="G318" s="4" t="s">
        <v>590</v>
      </c>
      <c r="H318" s="4" t="s">
        <v>591</v>
      </c>
      <c r="I318" s="5">
        <v>1964582.8</v>
      </c>
      <c r="J318" s="3" t="s">
        <v>592</v>
      </c>
      <c r="K318" s="3" t="s">
        <v>77</v>
      </c>
      <c r="L318" s="3" t="s">
        <v>119</v>
      </c>
      <c r="M318" s="4" t="s">
        <v>593</v>
      </c>
      <c r="N318" s="3" t="s">
        <v>25</v>
      </c>
      <c r="O318" s="3"/>
      <c r="Q318" s="3"/>
      <c r="R318" s="3"/>
      <c r="Y318" s="4" t="s">
        <v>594</v>
      </c>
      <c r="Z318" s="4" t="s">
        <v>594</v>
      </c>
      <c r="AA318" s="4" t="s">
        <v>595</v>
      </c>
      <c r="AB318" s="3"/>
      <c r="AC318" s="3"/>
      <c r="AD318" s="3" t="s">
        <v>596</v>
      </c>
      <c r="AE318" s="3">
        <v>5000</v>
      </c>
      <c r="AI318" s="4" t="s">
        <v>597</v>
      </c>
      <c r="AJ318" s="4" t="s">
        <v>597</v>
      </c>
      <c r="AK318" s="3"/>
      <c r="AL318" s="4">
        <v>48114</v>
      </c>
      <c r="AM318" s="5">
        <v>1964582.8</v>
      </c>
      <c r="AN318" s="4" t="s">
        <v>31</v>
      </c>
      <c r="AO318" s="4">
        <v>98</v>
      </c>
      <c r="AP318" s="4">
        <v>43222800</v>
      </c>
    </row>
    <row r="319" spans="1:42" s="4" customFormat="1" x14ac:dyDescent="0.25">
      <c r="A319" s="3">
        <v>4603854</v>
      </c>
      <c r="B319" s="28">
        <v>41450</v>
      </c>
      <c r="C319" s="3" t="s">
        <v>560</v>
      </c>
      <c r="D319" s="3">
        <v>10003685</v>
      </c>
      <c r="E319" s="4">
        <v>4533205</v>
      </c>
      <c r="F319" s="3" t="s">
        <v>49</v>
      </c>
      <c r="G319" s="4" t="s">
        <v>629</v>
      </c>
      <c r="H319" s="4" t="s">
        <v>630</v>
      </c>
      <c r="I319" s="5">
        <v>4494081.2</v>
      </c>
      <c r="J319" s="3" t="s">
        <v>631</v>
      </c>
      <c r="K319" s="3" t="s">
        <v>77</v>
      </c>
      <c r="L319" s="3" t="s">
        <v>119</v>
      </c>
      <c r="M319" s="4" t="s">
        <v>630</v>
      </c>
      <c r="N319" s="3" t="s">
        <v>25</v>
      </c>
      <c r="O319" s="3"/>
      <c r="Q319" s="3"/>
      <c r="R319" s="3"/>
      <c r="Y319" s="4" t="s">
        <v>632</v>
      </c>
      <c r="Z319" s="4" t="s">
        <v>632</v>
      </c>
      <c r="AA319" s="4" t="s">
        <v>633</v>
      </c>
      <c r="AB319" s="3"/>
      <c r="AC319" s="3"/>
      <c r="AD319" s="3" t="s">
        <v>634</v>
      </c>
      <c r="AE319" s="3">
        <v>5000</v>
      </c>
      <c r="AI319" s="4" t="s">
        <v>635</v>
      </c>
      <c r="AJ319" s="4" t="s">
        <v>635</v>
      </c>
      <c r="AK319" s="3"/>
      <c r="AL319" s="4">
        <v>140045</v>
      </c>
      <c r="AM319" s="5">
        <v>4494081.2</v>
      </c>
      <c r="AN319" s="4" t="s">
        <v>31</v>
      </c>
      <c r="AO319" s="4">
        <v>99</v>
      </c>
      <c r="AP319" s="4">
        <v>43222800</v>
      </c>
    </row>
    <row r="320" spans="1:42" s="4" customFormat="1" x14ac:dyDescent="0.25">
      <c r="A320" s="3">
        <v>4604261</v>
      </c>
      <c r="B320" s="28">
        <v>41575</v>
      </c>
      <c r="C320" s="3" t="s">
        <v>560</v>
      </c>
      <c r="D320" s="3">
        <v>10000394</v>
      </c>
      <c r="E320" s="4">
        <v>4533612</v>
      </c>
      <c r="F320" s="3" t="s">
        <v>49</v>
      </c>
      <c r="G320" s="4" t="s">
        <v>721</v>
      </c>
      <c r="H320" s="4" t="s">
        <v>564</v>
      </c>
      <c r="I320" s="5">
        <v>468000.01</v>
      </c>
      <c r="J320" s="3" t="s">
        <v>722</v>
      </c>
      <c r="K320" s="3" t="s">
        <v>77</v>
      </c>
      <c r="L320" s="3" t="s">
        <v>119</v>
      </c>
      <c r="M320" s="4" t="s">
        <v>564</v>
      </c>
      <c r="N320" s="3" t="s">
        <v>56</v>
      </c>
      <c r="O320" s="3"/>
      <c r="Q320" s="3"/>
      <c r="R320" s="3"/>
      <c r="Y320" s="4" t="s">
        <v>565</v>
      </c>
      <c r="Z320" s="4" t="s">
        <v>614</v>
      </c>
      <c r="AA320" s="4" t="s">
        <v>567</v>
      </c>
      <c r="AB320" s="3" t="s">
        <v>723</v>
      </c>
      <c r="AC320" s="3" t="s">
        <v>582</v>
      </c>
      <c r="AD320" s="3" t="s">
        <v>724</v>
      </c>
      <c r="AE320" s="3">
        <v>5000</v>
      </c>
      <c r="AF320" s="4">
        <v>35941.4</v>
      </c>
      <c r="AG320" s="4">
        <v>114296.16</v>
      </c>
      <c r="AH320" s="4">
        <v>4528567</v>
      </c>
      <c r="AI320" s="4" t="s">
        <v>569</v>
      </c>
      <c r="AJ320" s="4" t="s">
        <v>617</v>
      </c>
      <c r="AK320" s="3"/>
      <c r="AL320" s="4">
        <v>141563</v>
      </c>
      <c r="AM320" s="5">
        <v>468000.01</v>
      </c>
      <c r="AN320" s="4" t="s">
        <v>31</v>
      </c>
      <c r="AO320" s="4">
        <v>99</v>
      </c>
      <c r="AP320" s="4">
        <v>80101600</v>
      </c>
    </row>
    <row r="321" spans="1:42" s="4" customFormat="1" x14ac:dyDescent="0.25">
      <c r="A321" s="3">
        <v>4604396</v>
      </c>
      <c r="B321" s="28">
        <v>41699</v>
      </c>
      <c r="C321" s="3" t="s">
        <v>560</v>
      </c>
      <c r="D321" s="3">
        <v>10004182</v>
      </c>
      <c r="E321" s="4">
        <v>4533747</v>
      </c>
      <c r="F321" s="3" t="s">
        <v>49</v>
      </c>
      <c r="G321" s="4" t="s">
        <v>726</v>
      </c>
      <c r="H321" s="4" t="s">
        <v>727</v>
      </c>
      <c r="I321" s="5">
        <v>13976.02</v>
      </c>
      <c r="J321" s="3" t="s">
        <v>725</v>
      </c>
      <c r="K321" s="3" t="s">
        <v>728</v>
      </c>
      <c r="L321" s="3" t="s">
        <v>119</v>
      </c>
      <c r="M321" s="4" t="s">
        <v>727</v>
      </c>
      <c r="N321" s="3" t="s">
        <v>25</v>
      </c>
      <c r="O321" s="3"/>
      <c r="Q321" s="3"/>
      <c r="R321" s="3"/>
      <c r="Y321" s="4" t="s">
        <v>729</v>
      </c>
      <c r="Z321" s="4" t="s">
        <v>729</v>
      </c>
      <c r="AA321" s="4">
        <v>41184</v>
      </c>
      <c r="AB321" s="3"/>
      <c r="AC321" s="3"/>
      <c r="AD321" s="3" t="s">
        <v>730</v>
      </c>
      <c r="AE321" s="3">
        <v>1000</v>
      </c>
      <c r="AI321" s="4" t="s">
        <v>731</v>
      </c>
      <c r="AJ321" s="4" t="s">
        <v>731</v>
      </c>
      <c r="AK321" s="3"/>
      <c r="AL321" s="4">
        <v>41184</v>
      </c>
      <c r="AM321" s="5">
        <v>13976.02</v>
      </c>
      <c r="AN321" s="4" t="s">
        <v>124</v>
      </c>
      <c r="AO321" s="4">
        <v>99</v>
      </c>
      <c r="AP321" s="4">
        <v>81112200</v>
      </c>
    </row>
    <row r="322" spans="1:42" s="4" customFormat="1" x14ac:dyDescent="0.25">
      <c r="A322" s="3">
        <v>4604473</v>
      </c>
      <c r="B322" s="28">
        <v>41773</v>
      </c>
      <c r="C322" s="3" t="s">
        <v>560</v>
      </c>
      <c r="D322" s="3">
        <v>10004235</v>
      </c>
      <c r="E322" s="4">
        <v>4533824</v>
      </c>
      <c r="F322" s="3" t="s">
        <v>49</v>
      </c>
      <c r="G322" s="4" t="s">
        <v>733</v>
      </c>
      <c r="H322" s="4" t="s">
        <v>734</v>
      </c>
      <c r="I322" s="5">
        <v>73436</v>
      </c>
      <c r="J322" s="3" t="s">
        <v>735</v>
      </c>
      <c r="K322" s="3" t="s">
        <v>736</v>
      </c>
      <c r="L322" s="3" t="s">
        <v>119</v>
      </c>
      <c r="M322" s="4" t="s">
        <v>734</v>
      </c>
      <c r="N322" s="3" t="s">
        <v>56</v>
      </c>
      <c r="O322" s="3" t="s">
        <v>139</v>
      </c>
      <c r="P322" s="4" t="s">
        <v>140</v>
      </c>
      <c r="Q322" s="3"/>
      <c r="R322" s="3"/>
      <c r="Y322" s="4" t="s">
        <v>737</v>
      </c>
      <c r="Z322" s="4" t="s">
        <v>738</v>
      </c>
      <c r="AA322" s="4" t="s">
        <v>356</v>
      </c>
      <c r="AB322" s="3" t="s">
        <v>739</v>
      </c>
      <c r="AC322" s="3" t="s">
        <v>358</v>
      </c>
      <c r="AD322" s="3" t="s">
        <v>265</v>
      </c>
      <c r="AE322" s="3">
        <v>1000</v>
      </c>
      <c r="AI322" s="4" t="s">
        <v>740</v>
      </c>
      <c r="AJ322" s="4" t="s">
        <v>741</v>
      </c>
      <c r="AK322" s="3" t="s">
        <v>143</v>
      </c>
      <c r="AL322" s="4">
        <v>141735</v>
      </c>
      <c r="AM322" s="5">
        <v>73436</v>
      </c>
      <c r="AN322" s="4" t="s">
        <v>124</v>
      </c>
      <c r="AO322" s="4">
        <v>99</v>
      </c>
      <c r="AP322" s="4">
        <v>80141500</v>
      </c>
    </row>
    <row r="323" spans="1:42" s="4" customFormat="1" x14ac:dyDescent="0.25">
      <c r="A323" s="3">
        <v>4604535</v>
      </c>
      <c r="B323" s="28">
        <v>41803</v>
      </c>
      <c r="C323" s="3" t="s">
        <v>560</v>
      </c>
      <c r="D323" s="3">
        <v>10004324</v>
      </c>
      <c r="E323" s="4">
        <v>4533886</v>
      </c>
      <c r="F323" s="3" t="s">
        <v>49</v>
      </c>
      <c r="G323" s="4" t="s">
        <v>751</v>
      </c>
      <c r="H323" s="4" t="s">
        <v>752</v>
      </c>
      <c r="I323" s="5">
        <v>29343</v>
      </c>
      <c r="J323" s="3" t="s">
        <v>750</v>
      </c>
      <c r="K323" s="3" t="s">
        <v>223</v>
      </c>
      <c r="L323" s="3" t="s">
        <v>119</v>
      </c>
      <c r="M323" s="4" t="s">
        <v>752</v>
      </c>
      <c r="N323" s="3" t="s">
        <v>56</v>
      </c>
      <c r="O323" s="3"/>
      <c r="Q323" s="3"/>
      <c r="R323" s="3"/>
      <c r="Y323" s="4" t="s">
        <v>753</v>
      </c>
      <c r="Z323" s="4" t="s">
        <v>753</v>
      </c>
      <c r="AA323" s="4" t="s">
        <v>754</v>
      </c>
      <c r="AB323" s="3" t="s">
        <v>755</v>
      </c>
      <c r="AC323" s="3" t="s">
        <v>756</v>
      </c>
      <c r="AD323" s="3" t="s">
        <v>757</v>
      </c>
      <c r="AE323" s="3">
        <v>1000</v>
      </c>
      <c r="AI323" s="4" t="s">
        <v>758</v>
      </c>
      <c r="AJ323" s="4" t="s">
        <v>758</v>
      </c>
      <c r="AK323" s="3"/>
      <c r="AL323" s="4">
        <v>49246</v>
      </c>
      <c r="AM323" s="5">
        <v>29343</v>
      </c>
      <c r="AN323" s="4" t="s">
        <v>124</v>
      </c>
      <c r="AO323" s="4">
        <v>99</v>
      </c>
      <c r="AP323" s="4">
        <v>80100000</v>
      </c>
    </row>
    <row r="324" spans="1:42" s="4" customFormat="1" x14ac:dyDescent="0.25">
      <c r="A324" s="3">
        <v>4604697</v>
      </c>
      <c r="B324" s="28">
        <v>41879</v>
      </c>
      <c r="C324" s="3" t="s">
        <v>560</v>
      </c>
      <c r="D324" s="3">
        <v>10004478</v>
      </c>
      <c r="E324" s="4">
        <v>4534048</v>
      </c>
      <c r="F324" s="3" t="s">
        <v>49</v>
      </c>
      <c r="G324" s="4" t="s">
        <v>546</v>
      </c>
      <c r="H324" s="4" t="s">
        <v>788</v>
      </c>
      <c r="I324" s="5">
        <v>106057</v>
      </c>
      <c r="J324" s="3" t="s">
        <v>787</v>
      </c>
      <c r="K324" s="3" t="s">
        <v>395</v>
      </c>
      <c r="L324" s="3" t="s">
        <v>119</v>
      </c>
      <c r="M324" s="4" t="s">
        <v>788</v>
      </c>
      <c r="N324" s="3" t="s">
        <v>56</v>
      </c>
      <c r="O324" s="3" t="s">
        <v>139</v>
      </c>
      <c r="P324" s="4" t="s">
        <v>282</v>
      </c>
      <c r="Q324" s="3" t="s">
        <v>139</v>
      </c>
      <c r="R324" s="3" t="s">
        <v>119</v>
      </c>
      <c r="S324" s="4" t="s">
        <v>217</v>
      </c>
      <c r="T324" s="4" t="s">
        <v>789</v>
      </c>
      <c r="U324" s="4" t="s">
        <v>139</v>
      </c>
      <c r="V324" s="4" t="s">
        <v>119</v>
      </c>
      <c r="W324" s="4" t="s">
        <v>217</v>
      </c>
      <c r="X324" s="4" t="s">
        <v>789</v>
      </c>
      <c r="Y324" s="4" t="s">
        <v>790</v>
      </c>
      <c r="Z324" s="4" t="s">
        <v>790</v>
      </c>
      <c r="AA324" s="4" t="s">
        <v>356</v>
      </c>
      <c r="AB324" s="3" t="s">
        <v>551</v>
      </c>
      <c r="AC324" s="3" t="s">
        <v>358</v>
      </c>
      <c r="AD324" s="3" t="s">
        <v>452</v>
      </c>
      <c r="AE324" s="3">
        <v>1000</v>
      </c>
      <c r="AI324" s="4" t="s">
        <v>791</v>
      </c>
      <c r="AJ324" s="4" t="s">
        <v>791</v>
      </c>
      <c r="AK324" s="3" t="s">
        <v>286</v>
      </c>
      <c r="AL324" s="4">
        <v>140499</v>
      </c>
      <c r="AM324" s="5">
        <v>106057</v>
      </c>
      <c r="AN324" s="4" t="s">
        <v>124</v>
      </c>
      <c r="AO324" s="4">
        <v>99</v>
      </c>
      <c r="AP324" s="4">
        <v>80100000</v>
      </c>
    </row>
    <row r="325" spans="1:42" s="4" customFormat="1" x14ac:dyDescent="0.25">
      <c r="A325" s="3">
        <v>4600247</v>
      </c>
      <c r="B325" s="28">
        <v>41949</v>
      </c>
      <c r="C325" s="3" t="s">
        <v>1042</v>
      </c>
      <c r="D325" s="3">
        <v>10000293</v>
      </c>
      <c r="E325" s="4">
        <v>4529597</v>
      </c>
      <c r="F325" s="3" t="s">
        <v>49</v>
      </c>
      <c r="G325" s="4" t="s">
        <v>1060</v>
      </c>
      <c r="H325" s="4" t="s">
        <v>1061</v>
      </c>
      <c r="I325" s="5">
        <v>158443.6</v>
      </c>
      <c r="J325" s="3" t="s">
        <v>1062</v>
      </c>
      <c r="K325" s="3" t="s">
        <v>832</v>
      </c>
      <c r="L325" s="3" t="s">
        <v>119</v>
      </c>
      <c r="M325" s="4" t="s">
        <v>1063</v>
      </c>
      <c r="N325" s="3" t="s">
        <v>56</v>
      </c>
      <c r="O325" s="3"/>
      <c r="Q325" s="3"/>
      <c r="R325" s="3"/>
      <c r="Y325" s="4" t="s">
        <v>540</v>
      </c>
      <c r="Z325" s="4" t="s">
        <v>1048</v>
      </c>
      <c r="AB325" s="3"/>
      <c r="AC325" s="3"/>
      <c r="AD325" s="3" t="s">
        <v>1059</v>
      </c>
      <c r="AE325" s="3">
        <v>1000</v>
      </c>
      <c r="AF325" s="4">
        <v>17913.599999999999</v>
      </c>
      <c r="AG325" s="4">
        <v>54158.400000000001</v>
      </c>
      <c r="AH325" s="4">
        <v>4528904</v>
      </c>
      <c r="AI325" s="4" t="s">
        <v>542</v>
      </c>
      <c r="AJ325" s="4" t="s">
        <v>1051</v>
      </c>
      <c r="AK325" s="3"/>
      <c r="AL325" s="4">
        <v>140146</v>
      </c>
      <c r="AM325" s="5">
        <v>158443.6</v>
      </c>
      <c r="AN325" s="4" t="s">
        <v>124</v>
      </c>
      <c r="AO325" s="4">
        <v>97</v>
      </c>
    </row>
    <row r="326" spans="1:42" s="4" customFormat="1" x14ac:dyDescent="0.25">
      <c r="A326" s="3">
        <v>4601430</v>
      </c>
      <c r="B326" s="28">
        <v>41831</v>
      </c>
      <c r="C326" s="3" t="s">
        <v>1042</v>
      </c>
      <c r="D326" s="3">
        <v>10001460</v>
      </c>
      <c r="E326" s="4">
        <v>4530780</v>
      </c>
      <c r="F326" s="3" t="s">
        <v>49</v>
      </c>
      <c r="G326" s="4" t="s">
        <v>1073</v>
      </c>
      <c r="H326" s="4" t="s">
        <v>1074</v>
      </c>
      <c r="I326" s="5">
        <v>1261000</v>
      </c>
      <c r="J326" s="3" t="s">
        <v>1075</v>
      </c>
      <c r="K326" s="3" t="s">
        <v>77</v>
      </c>
      <c r="L326" s="3" t="s">
        <v>119</v>
      </c>
      <c r="M326" s="4" t="s">
        <v>1074</v>
      </c>
      <c r="N326" s="3" t="s">
        <v>25</v>
      </c>
      <c r="O326" s="3"/>
      <c r="Q326" s="3"/>
      <c r="R326" s="3"/>
      <c r="Y326" s="4" t="s">
        <v>604</v>
      </c>
      <c r="Z326" s="4" t="s">
        <v>605</v>
      </c>
      <c r="AA326" s="4" t="s">
        <v>1076</v>
      </c>
      <c r="AB326" s="3"/>
      <c r="AC326" s="3"/>
      <c r="AD326" s="3" t="s">
        <v>1052</v>
      </c>
      <c r="AE326" s="3">
        <v>1000</v>
      </c>
      <c r="AI326" s="4" t="s">
        <v>608</v>
      </c>
      <c r="AJ326" s="4" t="s">
        <v>609</v>
      </c>
      <c r="AK326" s="3"/>
      <c r="AL326" s="4">
        <v>40523</v>
      </c>
      <c r="AM326" s="5">
        <v>1261000</v>
      </c>
      <c r="AN326" s="4" t="s">
        <v>124</v>
      </c>
      <c r="AO326" s="4">
        <v>96</v>
      </c>
      <c r="AP326" s="4">
        <v>76110000</v>
      </c>
    </row>
    <row r="327" spans="1:42" s="4" customFormat="1" x14ac:dyDescent="0.25">
      <c r="A327" s="3">
        <v>4601453</v>
      </c>
      <c r="B327" s="28">
        <v>42153</v>
      </c>
      <c r="C327" s="3" t="s">
        <v>1042</v>
      </c>
      <c r="D327" s="3">
        <v>10001466</v>
      </c>
      <c r="E327" s="4">
        <v>4530804</v>
      </c>
      <c r="F327" s="3" t="s">
        <v>49</v>
      </c>
      <c r="G327" s="4" t="s">
        <v>1077</v>
      </c>
      <c r="H327" s="4" t="s">
        <v>1078</v>
      </c>
      <c r="I327" s="5">
        <v>1168228.6000000001</v>
      </c>
      <c r="J327" s="3" t="s">
        <v>574</v>
      </c>
      <c r="K327" s="3" t="s">
        <v>575</v>
      </c>
      <c r="L327" s="3" t="s">
        <v>119</v>
      </c>
      <c r="M327" s="4" t="s">
        <v>1078</v>
      </c>
      <c r="N327" s="3" t="s">
        <v>56</v>
      </c>
      <c r="O327" s="3"/>
      <c r="Q327" s="3"/>
      <c r="R327" s="3"/>
      <c r="Y327" s="4" t="s">
        <v>1079</v>
      </c>
      <c r="Z327" s="4" t="s">
        <v>605</v>
      </c>
      <c r="AA327" s="4" t="s">
        <v>1080</v>
      </c>
      <c r="AB327" s="3" t="s">
        <v>1081</v>
      </c>
      <c r="AC327" s="3" t="s">
        <v>1082</v>
      </c>
      <c r="AD327" s="3" t="s">
        <v>365</v>
      </c>
      <c r="AE327" s="3">
        <v>1000</v>
      </c>
      <c r="AI327" s="4" t="s">
        <v>1083</v>
      </c>
      <c r="AJ327" s="4" t="s">
        <v>609</v>
      </c>
      <c r="AK327" s="3"/>
      <c r="AL327" s="4">
        <v>140517</v>
      </c>
      <c r="AM327" s="5">
        <v>1168228.6000000001</v>
      </c>
      <c r="AN327" s="4" t="s">
        <v>124</v>
      </c>
      <c r="AO327" s="4">
        <v>97</v>
      </c>
      <c r="AP327" s="4">
        <v>83100000</v>
      </c>
    </row>
    <row r="328" spans="1:42" s="4" customFormat="1" x14ac:dyDescent="0.25">
      <c r="A328" s="3">
        <v>4602570</v>
      </c>
      <c r="B328" s="28">
        <v>41869</v>
      </c>
      <c r="C328" s="3" t="s">
        <v>1042</v>
      </c>
      <c r="D328" s="3">
        <v>10002087</v>
      </c>
      <c r="E328" s="4">
        <v>4531921</v>
      </c>
      <c r="F328" s="3" t="s">
        <v>49</v>
      </c>
      <c r="G328" s="4" t="s">
        <v>1085</v>
      </c>
      <c r="H328" s="4" t="s">
        <v>1086</v>
      </c>
      <c r="I328" s="5">
        <v>922238.35</v>
      </c>
      <c r="J328" s="3" t="s">
        <v>1087</v>
      </c>
      <c r="K328" s="3" t="s">
        <v>1088</v>
      </c>
      <c r="L328" s="3" t="s">
        <v>119</v>
      </c>
      <c r="M328" s="4" t="s">
        <v>1089</v>
      </c>
      <c r="N328" s="3" t="s">
        <v>56</v>
      </c>
      <c r="O328" s="3"/>
      <c r="Q328" s="3"/>
      <c r="R328" s="3"/>
      <c r="Y328" s="4" t="s">
        <v>1056</v>
      </c>
      <c r="Z328" s="4" t="s">
        <v>1090</v>
      </c>
      <c r="AB328" s="3"/>
      <c r="AC328" s="3"/>
      <c r="AD328" s="3" t="s">
        <v>183</v>
      </c>
      <c r="AE328" s="3">
        <v>1000</v>
      </c>
      <c r="AI328" s="4" t="s">
        <v>1058</v>
      </c>
      <c r="AJ328" s="4" t="s">
        <v>1091</v>
      </c>
      <c r="AK328" s="3"/>
      <c r="AL328" s="4">
        <v>30502</v>
      </c>
      <c r="AM328" s="5">
        <v>922238.35</v>
      </c>
      <c r="AN328" s="4" t="s">
        <v>124</v>
      </c>
      <c r="AO328" s="4">
        <v>99</v>
      </c>
    </row>
    <row r="329" spans="1:42" s="4" customFormat="1" x14ac:dyDescent="0.25">
      <c r="A329" s="3">
        <v>4603323</v>
      </c>
      <c r="B329" s="28">
        <v>41834</v>
      </c>
      <c r="C329" s="3" t="s">
        <v>1042</v>
      </c>
      <c r="D329" s="3">
        <v>10003119</v>
      </c>
      <c r="E329" s="4">
        <v>4532674</v>
      </c>
      <c r="F329" s="3" t="s">
        <v>49</v>
      </c>
      <c r="G329" s="4" t="s">
        <v>1122</v>
      </c>
      <c r="H329" s="4" t="s">
        <v>1123</v>
      </c>
      <c r="I329" s="5">
        <v>1350000</v>
      </c>
      <c r="J329" s="3" t="s">
        <v>1124</v>
      </c>
      <c r="K329" s="3" t="s">
        <v>1125</v>
      </c>
      <c r="L329" s="3" t="s">
        <v>119</v>
      </c>
      <c r="M329" s="4" t="s">
        <v>1126</v>
      </c>
      <c r="N329" s="3" t="s">
        <v>56</v>
      </c>
      <c r="O329" s="3"/>
      <c r="Q329" s="3"/>
      <c r="R329" s="3"/>
      <c r="Y329" s="4" t="s">
        <v>1056</v>
      </c>
      <c r="Z329" s="4" t="s">
        <v>1090</v>
      </c>
      <c r="AA329" s="4" t="s">
        <v>1127</v>
      </c>
      <c r="AB329" s="3" t="s">
        <v>1128</v>
      </c>
      <c r="AC329" s="3" t="s">
        <v>1129</v>
      </c>
      <c r="AD329" s="3" t="s">
        <v>1121</v>
      </c>
      <c r="AE329" s="3">
        <v>1000</v>
      </c>
      <c r="AI329" s="4" t="s">
        <v>1058</v>
      </c>
      <c r="AJ329" s="4" t="s">
        <v>1091</v>
      </c>
      <c r="AK329" s="3"/>
      <c r="AL329" s="4">
        <v>140258</v>
      </c>
      <c r="AM329" s="5">
        <v>1350000</v>
      </c>
      <c r="AN329" s="4" t="s">
        <v>124</v>
      </c>
      <c r="AO329" s="4">
        <v>99</v>
      </c>
      <c r="AP329" s="4">
        <v>80131500</v>
      </c>
    </row>
    <row r="330" spans="1:42" s="4" customFormat="1" x14ac:dyDescent="0.25">
      <c r="A330" s="3">
        <v>4603347</v>
      </c>
      <c r="B330" s="28">
        <v>42019</v>
      </c>
      <c r="C330" s="3" t="s">
        <v>1042</v>
      </c>
      <c r="D330" s="3">
        <v>10003194</v>
      </c>
      <c r="E330" s="4">
        <v>4532698</v>
      </c>
      <c r="F330" s="3" t="s">
        <v>49</v>
      </c>
      <c r="G330" s="4" t="s">
        <v>1131</v>
      </c>
      <c r="H330" s="4" t="s">
        <v>1132</v>
      </c>
      <c r="I330" s="5">
        <v>43000</v>
      </c>
      <c r="J330" s="3" t="s">
        <v>1133</v>
      </c>
      <c r="K330" s="3" t="s">
        <v>1134</v>
      </c>
      <c r="L330" s="3" t="s">
        <v>119</v>
      </c>
      <c r="M330" s="4" t="s">
        <v>1132</v>
      </c>
      <c r="N330" s="3" t="s">
        <v>25</v>
      </c>
      <c r="O330" s="3"/>
      <c r="Q330" s="3"/>
      <c r="R330" s="3"/>
      <c r="Y330" s="4" t="s">
        <v>540</v>
      </c>
      <c r="Z330" s="4" t="s">
        <v>1090</v>
      </c>
      <c r="AA330" s="4" t="s">
        <v>1135</v>
      </c>
      <c r="AB330" s="3"/>
      <c r="AC330" s="3"/>
      <c r="AD330" s="3" t="s">
        <v>1130</v>
      </c>
      <c r="AE330" s="3">
        <v>1000</v>
      </c>
      <c r="AI330" s="4" t="s">
        <v>542</v>
      </c>
      <c r="AJ330" s="4" t="s">
        <v>1091</v>
      </c>
      <c r="AK330" s="3"/>
      <c r="AL330" s="4">
        <v>49690</v>
      </c>
      <c r="AM330" s="5">
        <v>43000</v>
      </c>
      <c r="AN330" s="4" t="s">
        <v>124</v>
      </c>
      <c r="AO330" s="4">
        <v>99</v>
      </c>
      <c r="AP330" s="4">
        <v>76110000</v>
      </c>
    </row>
    <row r="331" spans="1:42" s="4" customFormat="1" x14ac:dyDescent="0.25">
      <c r="A331" s="3">
        <v>4603664</v>
      </c>
      <c r="B331" s="28">
        <v>42129</v>
      </c>
      <c r="C331" s="3" t="s">
        <v>1042</v>
      </c>
      <c r="D331" s="3">
        <v>10003503</v>
      </c>
      <c r="E331" s="4">
        <v>4533015</v>
      </c>
      <c r="F331" s="3" t="s">
        <v>49</v>
      </c>
      <c r="G331" s="4" t="s">
        <v>1153</v>
      </c>
      <c r="H331" s="4" t="s">
        <v>1154</v>
      </c>
      <c r="I331" s="5">
        <v>291289.65999999997</v>
      </c>
      <c r="J331" s="3" t="s">
        <v>1155</v>
      </c>
      <c r="K331" s="3" t="s">
        <v>1156</v>
      </c>
      <c r="L331" s="3" t="s">
        <v>119</v>
      </c>
      <c r="M331" s="4" t="s">
        <v>1154</v>
      </c>
      <c r="N331" s="3" t="s">
        <v>25</v>
      </c>
      <c r="O331" s="3"/>
      <c r="Q331" s="3"/>
      <c r="R331" s="3"/>
      <c r="Y331" s="4" t="s">
        <v>1157</v>
      </c>
      <c r="Z331" s="4" t="s">
        <v>1090</v>
      </c>
      <c r="AA331" s="4" t="s">
        <v>1158</v>
      </c>
      <c r="AB331" s="3"/>
      <c r="AC331" s="3"/>
      <c r="AD331" s="3" t="s">
        <v>1159</v>
      </c>
      <c r="AE331" s="3">
        <v>1000</v>
      </c>
      <c r="AI331" s="4" t="s">
        <v>1160</v>
      </c>
      <c r="AJ331" s="4" t="s">
        <v>1091</v>
      </c>
      <c r="AK331" s="3"/>
      <c r="AL331" s="4">
        <v>141225</v>
      </c>
      <c r="AM331" s="5">
        <v>291289.65999999997</v>
      </c>
      <c r="AN331" s="4" t="s">
        <v>124</v>
      </c>
      <c r="AO331" s="4">
        <v>99</v>
      </c>
      <c r="AP331" s="4">
        <v>81111700</v>
      </c>
    </row>
    <row r="332" spans="1:42" s="4" customFormat="1" x14ac:dyDescent="0.25">
      <c r="A332" s="3">
        <v>4603707</v>
      </c>
      <c r="B332" s="28">
        <v>41862</v>
      </c>
      <c r="C332" s="3" t="s">
        <v>1042</v>
      </c>
      <c r="D332" s="3">
        <v>10003561</v>
      </c>
      <c r="E332" s="4">
        <v>4533058</v>
      </c>
      <c r="F332" s="3" t="s">
        <v>49</v>
      </c>
      <c r="G332" s="4" t="s">
        <v>1170</v>
      </c>
      <c r="H332" s="4" t="s">
        <v>1171</v>
      </c>
      <c r="I332" s="5">
        <v>17700</v>
      </c>
      <c r="J332" s="3" t="s">
        <v>1172</v>
      </c>
      <c r="K332" s="3" t="s">
        <v>324</v>
      </c>
      <c r="L332" s="3" t="s">
        <v>119</v>
      </c>
      <c r="M332" s="4" t="s">
        <v>1171</v>
      </c>
      <c r="N332" s="3" t="s">
        <v>56</v>
      </c>
      <c r="O332" s="3"/>
      <c r="Q332" s="3"/>
      <c r="R332" s="3"/>
      <c r="Y332" s="4" t="s">
        <v>1056</v>
      </c>
      <c r="Z332" s="4" t="s">
        <v>1090</v>
      </c>
      <c r="AA332" s="4" t="s">
        <v>1095</v>
      </c>
      <c r="AB332" s="3" t="s">
        <v>1173</v>
      </c>
      <c r="AC332" s="3" t="s">
        <v>1097</v>
      </c>
      <c r="AD332" s="3" t="s">
        <v>1169</v>
      </c>
      <c r="AE332" s="3">
        <v>1000</v>
      </c>
      <c r="AI332" s="4" t="s">
        <v>1058</v>
      </c>
      <c r="AJ332" s="4" t="s">
        <v>1091</v>
      </c>
      <c r="AK332" s="3"/>
      <c r="AL332" s="4">
        <v>41114</v>
      </c>
      <c r="AM332" s="5">
        <v>17700</v>
      </c>
      <c r="AN332" s="4" t="s">
        <v>124</v>
      </c>
      <c r="AO332" s="4">
        <v>99</v>
      </c>
      <c r="AP332" s="4">
        <v>44100000</v>
      </c>
    </row>
    <row r="333" spans="1:42" s="4" customFormat="1" x14ac:dyDescent="0.25">
      <c r="A333" s="3">
        <v>4603721</v>
      </c>
      <c r="B333" s="28">
        <v>41451</v>
      </c>
      <c r="C333" s="3" t="s">
        <v>1042</v>
      </c>
      <c r="D333" s="3">
        <v>10003578</v>
      </c>
      <c r="E333" s="4">
        <v>4533072</v>
      </c>
      <c r="F333" s="3" t="s">
        <v>49</v>
      </c>
      <c r="G333" s="4" t="s">
        <v>1174</v>
      </c>
      <c r="H333" s="4" t="s">
        <v>1175</v>
      </c>
      <c r="I333" s="5">
        <v>644000</v>
      </c>
      <c r="J333" s="3" t="s">
        <v>631</v>
      </c>
      <c r="K333" s="3" t="s">
        <v>575</v>
      </c>
      <c r="L333" s="3" t="s">
        <v>119</v>
      </c>
      <c r="M333" s="4" t="s">
        <v>1175</v>
      </c>
      <c r="N333" s="3" t="s">
        <v>56</v>
      </c>
      <c r="O333" s="3" t="s">
        <v>139</v>
      </c>
      <c r="P333" s="4" t="s">
        <v>282</v>
      </c>
      <c r="Q333" s="3"/>
      <c r="R333" s="3"/>
      <c r="Y333" s="4" t="s">
        <v>1176</v>
      </c>
      <c r="Z333" s="4" t="s">
        <v>565</v>
      </c>
      <c r="AA333" s="4" t="s">
        <v>754</v>
      </c>
      <c r="AB333" s="3" t="s">
        <v>1177</v>
      </c>
      <c r="AC333" s="3" t="s">
        <v>756</v>
      </c>
      <c r="AD333" s="3" t="s">
        <v>527</v>
      </c>
      <c r="AE333" s="3">
        <v>1000</v>
      </c>
      <c r="AI333" s="4" t="s">
        <v>1178</v>
      </c>
      <c r="AJ333" s="4" t="s">
        <v>569</v>
      </c>
      <c r="AK333" s="3" t="s">
        <v>286</v>
      </c>
      <c r="AL333" s="4">
        <v>42811</v>
      </c>
      <c r="AM333" s="5">
        <v>644000</v>
      </c>
      <c r="AN333" s="4" t="s">
        <v>124</v>
      </c>
      <c r="AO333" s="4">
        <v>99</v>
      </c>
      <c r="AP333" s="4">
        <v>80101510</v>
      </c>
    </row>
    <row r="334" spans="1:42" s="4" customFormat="1" x14ac:dyDescent="0.25">
      <c r="A334" s="3">
        <v>4603792</v>
      </c>
      <c r="B334" s="28">
        <v>42080</v>
      </c>
      <c r="C334" s="3" t="s">
        <v>1042</v>
      </c>
      <c r="D334" s="3">
        <v>10003633</v>
      </c>
      <c r="E334" s="4">
        <v>4533143</v>
      </c>
      <c r="F334" s="3" t="s">
        <v>49</v>
      </c>
      <c r="G334" s="4" t="s">
        <v>1137</v>
      </c>
      <c r="H334" s="4" t="s">
        <v>1147</v>
      </c>
      <c r="I334" s="5">
        <v>40000</v>
      </c>
      <c r="J334" s="3" t="s">
        <v>634</v>
      </c>
      <c r="K334" s="3" t="s">
        <v>543</v>
      </c>
      <c r="L334" s="3" t="s">
        <v>119</v>
      </c>
      <c r="M334" s="4" t="s">
        <v>1180</v>
      </c>
      <c r="N334" s="3" t="s">
        <v>56</v>
      </c>
      <c r="O334" s="3"/>
      <c r="Q334" s="3"/>
      <c r="R334" s="3"/>
      <c r="Y334" s="4" t="s">
        <v>540</v>
      </c>
      <c r="Z334" s="4" t="s">
        <v>1090</v>
      </c>
      <c r="AA334" s="4" t="s">
        <v>1181</v>
      </c>
      <c r="AB334" s="3" t="s">
        <v>1142</v>
      </c>
      <c r="AC334" s="3" t="s">
        <v>1143</v>
      </c>
      <c r="AD334" s="3" t="s">
        <v>1179</v>
      </c>
      <c r="AE334" s="3">
        <v>1000</v>
      </c>
      <c r="AI334" s="4" t="s">
        <v>542</v>
      </c>
      <c r="AJ334" s="4" t="s">
        <v>1091</v>
      </c>
      <c r="AK334" s="3"/>
      <c r="AL334" s="4">
        <v>141215</v>
      </c>
      <c r="AM334" s="5">
        <v>40000</v>
      </c>
      <c r="AN334" s="4" t="s">
        <v>124</v>
      </c>
      <c r="AO334" s="4">
        <v>99</v>
      </c>
      <c r="AP334" s="4">
        <v>78111809</v>
      </c>
    </row>
    <row r="335" spans="1:42" s="4" customFormat="1" x14ac:dyDescent="0.25">
      <c r="A335" s="3">
        <v>4604014</v>
      </c>
      <c r="B335" s="28">
        <v>41530</v>
      </c>
      <c r="C335" s="3" t="s">
        <v>1042</v>
      </c>
      <c r="D335" s="3">
        <v>10003771</v>
      </c>
      <c r="E335" s="4">
        <v>4533365</v>
      </c>
      <c r="F335" s="3" t="s">
        <v>49</v>
      </c>
      <c r="G335" s="4" t="s">
        <v>1218</v>
      </c>
      <c r="H335" s="4" t="s">
        <v>1219</v>
      </c>
      <c r="I335" s="5">
        <v>4400</v>
      </c>
      <c r="J335" s="3" t="s">
        <v>1220</v>
      </c>
      <c r="K335" s="3" t="s">
        <v>1052</v>
      </c>
      <c r="L335" s="3" t="s">
        <v>119</v>
      </c>
      <c r="M335" s="4" t="s">
        <v>1221</v>
      </c>
      <c r="N335" s="3" t="s">
        <v>56</v>
      </c>
      <c r="O335" s="3"/>
      <c r="Q335" s="3"/>
      <c r="R335" s="3"/>
      <c r="Y335" s="4" t="s">
        <v>1222</v>
      </c>
      <c r="Z335" s="4" t="s">
        <v>1090</v>
      </c>
      <c r="AA335" s="4" t="s">
        <v>1223</v>
      </c>
      <c r="AB335" s="3" t="s">
        <v>1224</v>
      </c>
      <c r="AC335" s="3" t="s">
        <v>1225</v>
      </c>
      <c r="AD335" s="3" t="s">
        <v>1121</v>
      </c>
      <c r="AE335" s="3">
        <v>1000</v>
      </c>
      <c r="AI335" s="4" t="s">
        <v>1226</v>
      </c>
      <c r="AJ335" s="4" t="s">
        <v>1091</v>
      </c>
      <c r="AK335" s="3"/>
      <c r="AL335" s="4">
        <v>140192</v>
      </c>
      <c r="AM335" s="5">
        <v>4400</v>
      </c>
      <c r="AN335" s="4" t="s">
        <v>124</v>
      </c>
      <c r="AO335" s="4">
        <v>99</v>
      </c>
      <c r="AP335" s="4">
        <v>80111600</v>
      </c>
    </row>
    <row r="336" spans="1:42" s="4" customFormat="1" x14ac:dyDescent="0.25">
      <c r="A336" s="3">
        <v>4604051</v>
      </c>
      <c r="B336" s="28">
        <v>41457</v>
      </c>
      <c r="C336" s="3" t="s">
        <v>1042</v>
      </c>
      <c r="D336" s="3">
        <v>10003821</v>
      </c>
      <c r="E336" s="4">
        <v>4533402</v>
      </c>
      <c r="F336" s="3" t="s">
        <v>49</v>
      </c>
      <c r="G336" s="4" t="s">
        <v>1234</v>
      </c>
      <c r="H336" s="4" t="s">
        <v>1235</v>
      </c>
      <c r="I336" s="5">
        <v>84000</v>
      </c>
      <c r="J336" s="3" t="s">
        <v>631</v>
      </c>
      <c r="K336" s="3" t="s">
        <v>1236</v>
      </c>
      <c r="L336" s="3" t="s">
        <v>119</v>
      </c>
      <c r="M336" s="4" t="s">
        <v>1235</v>
      </c>
      <c r="N336" s="3" t="s">
        <v>56</v>
      </c>
      <c r="O336" s="3"/>
      <c r="Q336" s="3"/>
      <c r="R336" s="3"/>
      <c r="Y336" s="4" t="s">
        <v>267</v>
      </c>
      <c r="Z336" s="4" t="s">
        <v>1237</v>
      </c>
      <c r="AA336" s="4" t="s">
        <v>1238</v>
      </c>
      <c r="AB336" s="3" t="s">
        <v>1238</v>
      </c>
      <c r="AC336" s="3" t="s">
        <v>1239</v>
      </c>
      <c r="AD336" s="3" t="s">
        <v>1240</v>
      </c>
      <c r="AE336" s="3">
        <v>1000</v>
      </c>
      <c r="AI336" s="4" t="s">
        <v>270</v>
      </c>
      <c r="AJ336" s="4" t="s">
        <v>1241</v>
      </c>
      <c r="AK336" s="3"/>
      <c r="AL336" s="4">
        <v>43497</v>
      </c>
      <c r="AM336" s="5">
        <v>84000</v>
      </c>
      <c r="AN336" s="4" t="s">
        <v>124</v>
      </c>
      <c r="AO336" s="4">
        <v>98</v>
      </c>
      <c r="AP336" s="4">
        <v>80110000</v>
      </c>
    </row>
    <row r="337" spans="1:42" s="4" customFormat="1" x14ac:dyDescent="0.25">
      <c r="A337" s="3">
        <v>4604118</v>
      </c>
      <c r="B337" s="28">
        <v>41831</v>
      </c>
      <c r="C337" s="3" t="s">
        <v>1042</v>
      </c>
      <c r="D337" s="3">
        <v>10003886</v>
      </c>
      <c r="E337" s="4">
        <v>4533469</v>
      </c>
      <c r="F337" s="3" t="s">
        <v>49</v>
      </c>
      <c r="G337" s="4" t="s">
        <v>1251</v>
      </c>
      <c r="H337" s="4" t="s">
        <v>1252</v>
      </c>
      <c r="I337" s="5">
        <v>495000</v>
      </c>
      <c r="J337" s="3" t="s">
        <v>1253</v>
      </c>
      <c r="K337" s="3" t="s">
        <v>575</v>
      </c>
      <c r="L337" s="3" t="s">
        <v>119</v>
      </c>
      <c r="M337" s="4" t="s">
        <v>1252</v>
      </c>
      <c r="N337" s="3" t="s">
        <v>56</v>
      </c>
      <c r="O337" s="3"/>
      <c r="Q337" s="3"/>
      <c r="R337" s="3"/>
      <c r="Y337" s="4" t="s">
        <v>1056</v>
      </c>
      <c r="Z337" s="4" t="s">
        <v>1090</v>
      </c>
      <c r="AA337" s="4" t="s">
        <v>1254</v>
      </c>
      <c r="AB337" s="3" t="s">
        <v>1255</v>
      </c>
      <c r="AC337" s="3" t="s">
        <v>1256</v>
      </c>
      <c r="AD337" s="3" t="s">
        <v>1052</v>
      </c>
      <c r="AE337" s="3">
        <v>1000</v>
      </c>
      <c r="AI337" s="4" t="s">
        <v>1058</v>
      </c>
      <c r="AJ337" s="4" t="s">
        <v>1091</v>
      </c>
      <c r="AK337" s="3"/>
      <c r="AL337" s="4">
        <v>48564</v>
      </c>
      <c r="AM337" s="5">
        <v>495000</v>
      </c>
      <c r="AN337" s="4" t="s">
        <v>124</v>
      </c>
      <c r="AO337" s="4">
        <v>99</v>
      </c>
      <c r="AP337" s="4">
        <v>43230000</v>
      </c>
    </row>
    <row r="338" spans="1:42" s="4" customFormat="1" x14ac:dyDescent="0.25">
      <c r="A338" s="3">
        <v>4604258</v>
      </c>
      <c r="B338" s="28">
        <v>41548</v>
      </c>
      <c r="C338" s="3" t="s">
        <v>1042</v>
      </c>
      <c r="D338" s="3">
        <v>10004019</v>
      </c>
      <c r="E338" s="4">
        <v>4533609</v>
      </c>
      <c r="F338" s="3" t="s">
        <v>49</v>
      </c>
      <c r="G338" s="4" t="s">
        <v>1261</v>
      </c>
      <c r="H338" s="4" t="s">
        <v>1262</v>
      </c>
      <c r="I338" s="5">
        <v>91682.2</v>
      </c>
      <c r="J338" s="3" t="s">
        <v>1263</v>
      </c>
      <c r="K338" s="3" t="s">
        <v>1264</v>
      </c>
      <c r="L338" s="3" t="s">
        <v>119</v>
      </c>
      <c r="M338" s="4" t="s">
        <v>1262</v>
      </c>
      <c r="N338" s="3" t="s">
        <v>25</v>
      </c>
      <c r="O338" s="3"/>
      <c r="Q338" s="3"/>
      <c r="R338" s="3"/>
      <c r="Y338" s="4" t="s">
        <v>267</v>
      </c>
      <c r="Z338" s="4" t="s">
        <v>267</v>
      </c>
      <c r="AA338" s="4" t="s">
        <v>1265</v>
      </c>
      <c r="AB338" s="3"/>
      <c r="AC338" s="3"/>
      <c r="AD338" s="3" t="s">
        <v>304</v>
      </c>
      <c r="AE338" s="3">
        <v>1000</v>
      </c>
      <c r="AI338" s="4" t="s">
        <v>270</v>
      </c>
      <c r="AJ338" s="4" t="s">
        <v>270</v>
      </c>
      <c r="AK338" s="3"/>
      <c r="AL338" s="4">
        <v>43889</v>
      </c>
      <c r="AM338" s="5">
        <v>91682.2</v>
      </c>
      <c r="AN338" s="4" t="s">
        <v>124</v>
      </c>
      <c r="AO338" s="4">
        <v>98</v>
      </c>
      <c r="AP338" s="4">
        <v>80111700</v>
      </c>
    </row>
    <row r="339" spans="1:42" s="4" customFormat="1" x14ac:dyDescent="0.25">
      <c r="A339" s="3">
        <v>4604315</v>
      </c>
      <c r="B339" s="28">
        <v>42104</v>
      </c>
      <c r="C339" s="3" t="s">
        <v>1278</v>
      </c>
      <c r="D339" s="3">
        <v>10004089</v>
      </c>
      <c r="E339" s="4">
        <v>4533666</v>
      </c>
      <c r="F339" s="3" t="s">
        <v>49</v>
      </c>
      <c r="G339" s="4" t="s">
        <v>1174</v>
      </c>
      <c r="H339" s="4" t="s">
        <v>1281</v>
      </c>
      <c r="I339" s="5">
        <v>8897</v>
      </c>
      <c r="J339" s="3" t="s">
        <v>1282</v>
      </c>
      <c r="K339" s="3" t="s">
        <v>137</v>
      </c>
      <c r="L339" s="3" t="s">
        <v>119</v>
      </c>
      <c r="M339" s="4" t="s">
        <v>1283</v>
      </c>
      <c r="N339" s="3" t="s">
        <v>56</v>
      </c>
      <c r="O339" s="3" t="s">
        <v>139</v>
      </c>
      <c r="P339" s="4" t="s">
        <v>140</v>
      </c>
      <c r="Q339" s="3"/>
      <c r="R339" s="3"/>
      <c r="Y339" s="4" t="s">
        <v>260</v>
      </c>
      <c r="Z339" s="4" t="s">
        <v>38</v>
      </c>
      <c r="AA339" s="4" t="s">
        <v>1284</v>
      </c>
      <c r="AB339" s="3" t="s">
        <v>1285</v>
      </c>
      <c r="AC339" s="3" t="s">
        <v>1286</v>
      </c>
      <c r="AD339" s="3" t="s">
        <v>492</v>
      </c>
      <c r="AE339" s="3">
        <v>1000</v>
      </c>
      <c r="AI339" s="4" t="s">
        <v>261</v>
      </c>
      <c r="AJ339" s="4" t="s">
        <v>40</v>
      </c>
      <c r="AK339" s="3" t="s">
        <v>143</v>
      </c>
      <c r="AL339" s="4">
        <v>42811</v>
      </c>
      <c r="AM339" s="5">
        <v>8897</v>
      </c>
      <c r="AN339" s="4" t="s">
        <v>124</v>
      </c>
      <c r="AO339" s="4">
        <v>99</v>
      </c>
      <c r="AP339" s="4">
        <v>80100000</v>
      </c>
    </row>
    <row r="340" spans="1:42" s="4" customFormat="1" x14ac:dyDescent="0.25">
      <c r="A340" s="3">
        <v>4604316</v>
      </c>
      <c r="B340" s="28">
        <v>41626</v>
      </c>
      <c r="C340" s="3" t="s">
        <v>1278</v>
      </c>
      <c r="D340" s="3">
        <v>10004089</v>
      </c>
      <c r="E340" s="4">
        <v>4533667</v>
      </c>
      <c r="F340" s="3" t="s">
        <v>49</v>
      </c>
      <c r="G340" s="4" t="s">
        <v>1174</v>
      </c>
      <c r="H340" s="4" t="s">
        <v>1287</v>
      </c>
      <c r="I340" s="5">
        <v>15252</v>
      </c>
      <c r="J340" s="3" t="s">
        <v>1282</v>
      </c>
      <c r="K340" s="3" t="s">
        <v>137</v>
      </c>
      <c r="L340" s="3" t="s">
        <v>119</v>
      </c>
      <c r="M340" s="4" t="s">
        <v>1287</v>
      </c>
      <c r="N340" s="3" t="s">
        <v>56</v>
      </c>
      <c r="O340" s="3" t="s">
        <v>139</v>
      </c>
      <c r="P340" s="4" t="s">
        <v>140</v>
      </c>
      <c r="Q340" s="3"/>
      <c r="R340" s="3"/>
      <c r="Y340" s="4" t="s">
        <v>38</v>
      </c>
      <c r="Z340" s="4" t="s">
        <v>38</v>
      </c>
      <c r="AA340" s="4" t="s">
        <v>1284</v>
      </c>
      <c r="AB340" s="3" t="s">
        <v>1285</v>
      </c>
      <c r="AC340" s="3" t="s">
        <v>1286</v>
      </c>
      <c r="AD340" s="3" t="s">
        <v>847</v>
      </c>
      <c r="AE340" s="3">
        <v>1000</v>
      </c>
      <c r="AI340" s="4" t="s">
        <v>40</v>
      </c>
      <c r="AJ340" s="4" t="s">
        <v>40</v>
      </c>
      <c r="AK340" s="3" t="s">
        <v>143</v>
      </c>
      <c r="AL340" s="4">
        <v>42811</v>
      </c>
      <c r="AM340" s="5">
        <v>15252</v>
      </c>
      <c r="AN340" s="4" t="s">
        <v>124</v>
      </c>
      <c r="AO340" s="4">
        <v>99</v>
      </c>
      <c r="AP340" s="4">
        <v>80100000</v>
      </c>
    </row>
    <row r="341" spans="1:42" s="4" customFormat="1" x14ac:dyDescent="0.25">
      <c r="A341" s="3">
        <v>4604356</v>
      </c>
      <c r="B341" s="28">
        <v>41670</v>
      </c>
      <c r="C341" s="3" t="s">
        <v>1278</v>
      </c>
      <c r="D341" s="3">
        <v>10004072</v>
      </c>
      <c r="E341" s="4">
        <v>4533707</v>
      </c>
      <c r="F341" s="3" t="s">
        <v>49</v>
      </c>
      <c r="G341" s="4" t="s">
        <v>347</v>
      </c>
      <c r="H341" s="4" t="s">
        <v>1307</v>
      </c>
      <c r="I341" s="5">
        <v>975405.53</v>
      </c>
      <c r="J341" s="3" t="s">
        <v>1308</v>
      </c>
      <c r="K341" s="3" t="s">
        <v>1037</v>
      </c>
      <c r="L341" s="3" t="s">
        <v>119</v>
      </c>
      <c r="M341" s="4" t="s">
        <v>1307</v>
      </c>
      <c r="N341" s="3" t="s">
        <v>56</v>
      </c>
      <c r="O341" s="3"/>
      <c r="Q341" s="3"/>
      <c r="R341" s="3"/>
      <c r="Y341" s="4" t="s">
        <v>1309</v>
      </c>
      <c r="Z341" s="4" t="s">
        <v>1309</v>
      </c>
      <c r="AA341" s="4" t="s">
        <v>1310</v>
      </c>
      <c r="AB341" s="3" t="s">
        <v>1311</v>
      </c>
      <c r="AC341" s="3" t="s">
        <v>1312</v>
      </c>
      <c r="AD341" s="3" t="s">
        <v>265</v>
      </c>
      <c r="AE341" s="3">
        <v>1000</v>
      </c>
      <c r="AI341" s="4" t="s">
        <v>1313</v>
      </c>
      <c r="AJ341" s="4" t="s">
        <v>1313</v>
      </c>
      <c r="AK341" s="3"/>
      <c r="AL341" s="4">
        <v>40471</v>
      </c>
      <c r="AM341" s="5">
        <v>975405.53</v>
      </c>
      <c r="AN341" s="4" t="s">
        <v>124</v>
      </c>
      <c r="AO341" s="4">
        <v>99</v>
      </c>
      <c r="AP341" s="4">
        <v>82111900</v>
      </c>
    </row>
    <row r="342" spans="1:42" s="4" customFormat="1" x14ac:dyDescent="0.25">
      <c r="A342" s="3">
        <v>4604390</v>
      </c>
      <c r="B342" s="28">
        <v>41712</v>
      </c>
      <c r="C342" s="3" t="s">
        <v>1278</v>
      </c>
      <c r="D342" s="3">
        <v>10004181</v>
      </c>
      <c r="E342" s="4">
        <v>4533741</v>
      </c>
      <c r="F342" s="3" t="s">
        <v>49</v>
      </c>
      <c r="G342" s="4" t="s">
        <v>174</v>
      </c>
      <c r="H342" s="4" t="s">
        <v>1315</v>
      </c>
      <c r="I342" s="5">
        <v>143615</v>
      </c>
      <c r="J342" s="3" t="s">
        <v>1314</v>
      </c>
      <c r="K342" s="3" t="s">
        <v>807</v>
      </c>
      <c r="L342" s="3" t="s">
        <v>119</v>
      </c>
      <c r="M342" s="4" t="s">
        <v>1316</v>
      </c>
      <c r="N342" s="3" t="s">
        <v>56</v>
      </c>
      <c r="O342" s="3"/>
      <c r="Q342" s="3"/>
      <c r="R342" s="3"/>
      <c r="Y342" s="4" t="s">
        <v>179</v>
      </c>
      <c r="Z342" s="4" t="s">
        <v>179</v>
      </c>
      <c r="AA342" s="4" t="s">
        <v>188</v>
      </c>
      <c r="AB342" s="3" t="s">
        <v>401</v>
      </c>
      <c r="AC342" s="3" t="s">
        <v>190</v>
      </c>
      <c r="AD342" s="3" t="s">
        <v>447</v>
      </c>
      <c r="AE342" s="3">
        <v>5000</v>
      </c>
      <c r="AI342" s="4" t="s">
        <v>182</v>
      </c>
      <c r="AJ342" s="4" t="s">
        <v>182</v>
      </c>
      <c r="AK342" s="3"/>
      <c r="AL342" s="4">
        <v>40476</v>
      </c>
      <c r="AM342" s="5">
        <v>143615</v>
      </c>
      <c r="AN342" s="4" t="s">
        <v>31</v>
      </c>
      <c r="AO342" s="4">
        <v>99</v>
      </c>
      <c r="AP342" s="4">
        <v>80111600</v>
      </c>
    </row>
    <row r="343" spans="1:42" s="4" customFormat="1" x14ac:dyDescent="0.25">
      <c r="A343" s="3">
        <v>4604398</v>
      </c>
      <c r="B343" s="28">
        <v>42184</v>
      </c>
      <c r="C343" s="3" t="s">
        <v>1278</v>
      </c>
      <c r="D343" s="3">
        <v>10004189</v>
      </c>
      <c r="E343" s="4">
        <v>4533749</v>
      </c>
      <c r="F343" s="3" t="s">
        <v>49</v>
      </c>
      <c r="G343" s="4" t="s">
        <v>318</v>
      </c>
      <c r="H343" s="4" t="s">
        <v>1317</v>
      </c>
      <c r="I343" s="5">
        <v>138038.87</v>
      </c>
      <c r="J343" s="3" t="s">
        <v>1318</v>
      </c>
      <c r="K343" s="3" t="s">
        <v>77</v>
      </c>
      <c r="L343" s="3" t="s">
        <v>119</v>
      </c>
      <c r="M343" s="4" t="s">
        <v>1319</v>
      </c>
      <c r="N343" s="3" t="s">
        <v>56</v>
      </c>
      <c r="O343" s="3"/>
      <c r="Q343" s="3"/>
      <c r="R343" s="3"/>
      <c r="Y343" s="4" t="s">
        <v>179</v>
      </c>
      <c r="Z343" s="4" t="s">
        <v>179</v>
      </c>
      <c r="AA343" s="4" t="s">
        <v>188</v>
      </c>
      <c r="AB343" s="3" t="s">
        <v>1320</v>
      </c>
      <c r="AC343" s="3" t="s">
        <v>190</v>
      </c>
      <c r="AD343" s="3" t="s">
        <v>77</v>
      </c>
      <c r="AE343" s="3">
        <v>5000</v>
      </c>
      <c r="AI343" s="4" t="s">
        <v>182</v>
      </c>
      <c r="AJ343" s="4" t="s">
        <v>182</v>
      </c>
      <c r="AK343" s="3"/>
      <c r="AL343" s="4">
        <v>141551</v>
      </c>
      <c r="AM343" s="5">
        <v>138038.87</v>
      </c>
      <c r="AN343" s="4" t="s">
        <v>31</v>
      </c>
      <c r="AO343" s="4">
        <v>98</v>
      </c>
      <c r="AP343" s="4">
        <v>80111600</v>
      </c>
    </row>
    <row r="344" spans="1:42" s="4" customFormat="1" x14ac:dyDescent="0.25">
      <c r="A344" s="3">
        <v>4604434</v>
      </c>
      <c r="B344" s="28">
        <v>41831</v>
      </c>
      <c r="C344" s="3" t="s">
        <v>1278</v>
      </c>
      <c r="D344" s="3">
        <v>10004180</v>
      </c>
      <c r="E344" s="4">
        <v>4533785</v>
      </c>
      <c r="F344" s="3" t="s">
        <v>49</v>
      </c>
      <c r="G344" s="4" t="s">
        <v>1321</v>
      </c>
      <c r="H344" s="4" t="s">
        <v>1322</v>
      </c>
      <c r="I344" s="5">
        <v>62700</v>
      </c>
      <c r="J344" s="3" t="s">
        <v>1323</v>
      </c>
      <c r="K344" s="3" t="s">
        <v>1052</v>
      </c>
      <c r="L344" s="3" t="s">
        <v>119</v>
      </c>
      <c r="M344" s="4" t="s">
        <v>1322</v>
      </c>
      <c r="N344" s="3" t="s">
        <v>56</v>
      </c>
      <c r="O344" s="3"/>
      <c r="Q344" s="3"/>
      <c r="R344" s="3"/>
      <c r="Y344" s="4" t="s">
        <v>1309</v>
      </c>
      <c r="Z344" s="4" t="s">
        <v>1309</v>
      </c>
      <c r="AA344" s="4" t="s">
        <v>1324</v>
      </c>
      <c r="AB344" s="3" t="s">
        <v>1325</v>
      </c>
      <c r="AC344" s="3" t="s">
        <v>1326</v>
      </c>
      <c r="AD344" s="3" t="s">
        <v>577</v>
      </c>
      <c r="AE344" s="3">
        <v>1000</v>
      </c>
      <c r="AI344" s="4" t="s">
        <v>1313</v>
      </c>
      <c r="AJ344" s="4" t="s">
        <v>1313</v>
      </c>
      <c r="AK344" s="3"/>
      <c r="AL344" s="4">
        <v>140474</v>
      </c>
      <c r="AM344" s="5">
        <v>62700</v>
      </c>
      <c r="AN344" s="4" t="s">
        <v>124</v>
      </c>
      <c r="AO344" s="4">
        <v>99</v>
      </c>
      <c r="AP344" s="4">
        <v>83110000</v>
      </c>
    </row>
    <row r="345" spans="1:42" s="4" customFormat="1" x14ac:dyDescent="0.25">
      <c r="A345" s="3">
        <v>4604447</v>
      </c>
      <c r="B345" s="28">
        <v>41757</v>
      </c>
      <c r="C345" s="3" t="s">
        <v>1278</v>
      </c>
      <c r="D345" s="3">
        <v>10004241</v>
      </c>
      <c r="E345" s="4">
        <v>4533798</v>
      </c>
      <c r="F345" s="3" t="s">
        <v>49</v>
      </c>
      <c r="G345" s="4" t="s">
        <v>174</v>
      </c>
      <c r="I345" s="5">
        <v>1466.68</v>
      </c>
      <c r="J345" s="3" t="s">
        <v>1327</v>
      </c>
      <c r="K345" s="3" t="s">
        <v>187</v>
      </c>
      <c r="L345" s="3" t="s">
        <v>119</v>
      </c>
      <c r="M345" s="4" t="s">
        <v>1328</v>
      </c>
      <c r="N345" s="3" t="s">
        <v>56</v>
      </c>
      <c r="O345" s="3"/>
      <c r="Q345" s="3"/>
      <c r="R345" s="3"/>
      <c r="Y345" s="4" t="s">
        <v>179</v>
      </c>
      <c r="Z345" s="4" t="s">
        <v>179</v>
      </c>
      <c r="AB345" s="3"/>
      <c r="AC345" s="3"/>
      <c r="AD345" s="3" t="s">
        <v>1327</v>
      </c>
      <c r="AE345" s="3">
        <v>1000</v>
      </c>
      <c r="AI345" s="4" t="s">
        <v>182</v>
      </c>
      <c r="AJ345" s="4" t="s">
        <v>182</v>
      </c>
      <c r="AK345" s="3"/>
      <c r="AL345" s="4">
        <v>40476</v>
      </c>
      <c r="AM345" s="5">
        <v>1466.68</v>
      </c>
      <c r="AN345" s="4" t="s">
        <v>124</v>
      </c>
    </row>
    <row r="346" spans="1:42" s="4" customFormat="1" x14ac:dyDescent="0.25">
      <c r="A346" s="3">
        <v>4604489</v>
      </c>
      <c r="B346" s="28">
        <v>41869</v>
      </c>
      <c r="C346" s="3" t="s">
        <v>1278</v>
      </c>
      <c r="D346" s="3">
        <v>10004276</v>
      </c>
      <c r="E346" s="4">
        <v>4533840</v>
      </c>
      <c r="F346" s="3" t="s">
        <v>49</v>
      </c>
      <c r="G346" s="4" t="s">
        <v>1053</v>
      </c>
      <c r="H346" s="4" t="s">
        <v>1338</v>
      </c>
      <c r="I346" s="5">
        <v>786720</v>
      </c>
      <c r="J346" s="3" t="s">
        <v>1335</v>
      </c>
      <c r="K346" s="3" t="s">
        <v>77</v>
      </c>
      <c r="L346" s="3" t="s">
        <v>119</v>
      </c>
      <c r="M346" s="4" t="s">
        <v>1339</v>
      </c>
      <c r="N346" s="3" t="s">
        <v>56</v>
      </c>
      <c r="O346" s="3"/>
      <c r="Q346" s="3"/>
      <c r="R346" s="3"/>
      <c r="Y346" s="4" t="s">
        <v>1056</v>
      </c>
      <c r="Z346" s="4" t="s">
        <v>1090</v>
      </c>
      <c r="AA346" s="4" t="s">
        <v>1057</v>
      </c>
      <c r="AB346" s="3" t="s">
        <v>1057</v>
      </c>
      <c r="AC346" s="3" t="s">
        <v>1340</v>
      </c>
      <c r="AD346" s="3" t="s">
        <v>1179</v>
      </c>
      <c r="AE346" s="3">
        <v>1000</v>
      </c>
      <c r="AI346" s="4" t="s">
        <v>1058</v>
      </c>
      <c r="AJ346" s="4" t="s">
        <v>1091</v>
      </c>
      <c r="AK346" s="3"/>
      <c r="AL346" s="4">
        <v>140248</v>
      </c>
      <c r="AM346" s="5">
        <v>786720</v>
      </c>
      <c r="AN346" s="4" t="s">
        <v>124</v>
      </c>
      <c r="AO346" s="4">
        <v>97</v>
      </c>
      <c r="AP346" s="4">
        <v>81111500</v>
      </c>
    </row>
    <row r="347" spans="1:42" s="4" customFormat="1" x14ac:dyDescent="0.25">
      <c r="A347" s="3">
        <v>4604500</v>
      </c>
      <c r="B347" s="28">
        <v>41785</v>
      </c>
      <c r="C347" s="3" t="s">
        <v>1278</v>
      </c>
      <c r="D347" s="3">
        <v>10004280</v>
      </c>
      <c r="E347" s="4">
        <v>4533851</v>
      </c>
      <c r="F347" s="3" t="s">
        <v>49</v>
      </c>
      <c r="G347" s="4" t="s">
        <v>1341</v>
      </c>
      <c r="H347" s="4" t="s">
        <v>1342</v>
      </c>
      <c r="I347" s="5">
        <v>47000</v>
      </c>
      <c r="J347" s="3" t="s">
        <v>744</v>
      </c>
      <c r="K347" s="3" t="s">
        <v>997</v>
      </c>
      <c r="L347" s="3" t="s">
        <v>119</v>
      </c>
      <c r="M347" s="4" t="s">
        <v>1343</v>
      </c>
      <c r="N347" s="3" t="s">
        <v>56</v>
      </c>
      <c r="O347" s="3"/>
      <c r="Q347" s="3"/>
      <c r="R347" s="3"/>
      <c r="Y347" s="4" t="s">
        <v>1344</v>
      </c>
      <c r="Z347" s="4" t="s">
        <v>1344</v>
      </c>
      <c r="AA347" s="4" t="s">
        <v>1284</v>
      </c>
      <c r="AB347" s="3" t="s">
        <v>1345</v>
      </c>
      <c r="AC347" s="3" t="s">
        <v>1286</v>
      </c>
      <c r="AD347" s="3" t="s">
        <v>183</v>
      </c>
      <c r="AE347" s="3">
        <v>1000</v>
      </c>
      <c r="AI347" s="4" t="s">
        <v>1346</v>
      </c>
      <c r="AJ347" s="4" t="s">
        <v>1346</v>
      </c>
      <c r="AK347" s="3"/>
      <c r="AL347" s="4">
        <v>141743</v>
      </c>
      <c r="AM347" s="5">
        <v>47000</v>
      </c>
      <c r="AN347" s="4" t="s">
        <v>124</v>
      </c>
      <c r="AO347" s="4">
        <v>98</v>
      </c>
      <c r="AP347" s="4">
        <v>84111500</v>
      </c>
    </row>
    <row r="348" spans="1:42" s="4" customFormat="1" x14ac:dyDescent="0.25">
      <c r="A348" s="3">
        <v>4604521</v>
      </c>
      <c r="B348" s="28">
        <v>41803</v>
      </c>
      <c r="C348" s="3" t="s">
        <v>1278</v>
      </c>
      <c r="D348" s="3">
        <v>10004314</v>
      </c>
      <c r="E348" s="4">
        <v>4533872</v>
      </c>
      <c r="F348" s="3" t="s">
        <v>49</v>
      </c>
      <c r="G348" s="4" t="s">
        <v>1353</v>
      </c>
      <c r="H348" s="4" t="s">
        <v>1354</v>
      </c>
      <c r="I348" s="5">
        <v>49106</v>
      </c>
      <c r="J348" s="3" t="s">
        <v>76</v>
      </c>
      <c r="K348" s="3" t="s">
        <v>77</v>
      </c>
      <c r="L348" s="3" t="s">
        <v>119</v>
      </c>
      <c r="M348" s="4" t="s">
        <v>1354</v>
      </c>
      <c r="N348" s="3" t="s">
        <v>56</v>
      </c>
      <c r="O348" s="3"/>
      <c r="Q348" s="3"/>
      <c r="R348" s="3"/>
      <c r="Y348" s="4" t="s">
        <v>466</v>
      </c>
      <c r="Z348" s="4" t="s">
        <v>466</v>
      </c>
      <c r="AA348" s="4" t="s">
        <v>1324</v>
      </c>
      <c r="AB348" s="3" t="s">
        <v>1355</v>
      </c>
      <c r="AC348" s="3" t="s">
        <v>1326</v>
      </c>
      <c r="AD348" s="3" t="s">
        <v>1356</v>
      </c>
      <c r="AE348" s="3">
        <v>1000</v>
      </c>
      <c r="AI348" s="4" t="s">
        <v>468</v>
      </c>
      <c r="AJ348" s="4" t="s">
        <v>468</v>
      </c>
      <c r="AK348" s="3"/>
      <c r="AL348" s="4">
        <v>140449</v>
      </c>
      <c r="AM348" s="5">
        <v>49106</v>
      </c>
      <c r="AN348" s="4" t="s">
        <v>124</v>
      </c>
      <c r="AO348" s="4">
        <v>99</v>
      </c>
      <c r="AP348" s="4">
        <v>43230000</v>
      </c>
    </row>
    <row r="349" spans="1:42" s="4" customFormat="1" x14ac:dyDescent="0.25">
      <c r="A349" s="3">
        <v>4604522</v>
      </c>
      <c r="B349" s="28">
        <v>41803</v>
      </c>
      <c r="C349" s="3" t="s">
        <v>1278</v>
      </c>
      <c r="D349" s="3">
        <v>10004314</v>
      </c>
      <c r="E349" s="4">
        <v>4533873</v>
      </c>
      <c r="F349" s="3" t="s">
        <v>49</v>
      </c>
      <c r="G349" s="4" t="s">
        <v>1357</v>
      </c>
      <c r="H349" s="4" t="s">
        <v>1358</v>
      </c>
      <c r="I349" s="5">
        <v>22000</v>
      </c>
      <c r="J349" s="3" t="s">
        <v>76</v>
      </c>
      <c r="K349" s="3" t="s">
        <v>77</v>
      </c>
      <c r="L349" s="3" t="s">
        <v>119</v>
      </c>
      <c r="M349" s="4" t="s">
        <v>1358</v>
      </c>
      <c r="N349" s="3" t="s">
        <v>56</v>
      </c>
      <c r="O349" s="3"/>
      <c r="Q349" s="3"/>
      <c r="R349" s="3"/>
      <c r="Y349" s="4" t="s">
        <v>466</v>
      </c>
      <c r="Z349" s="4" t="s">
        <v>466</v>
      </c>
      <c r="AA349" s="4" t="s">
        <v>1324</v>
      </c>
      <c r="AB349" s="3" t="s">
        <v>1359</v>
      </c>
      <c r="AC349" s="3" t="s">
        <v>1326</v>
      </c>
      <c r="AD349" s="3" t="s">
        <v>1356</v>
      </c>
      <c r="AE349" s="3">
        <v>1000</v>
      </c>
      <c r="AI349" s="4" t="s">
        <v>468</v>
      </c>
      <c r="AJ349" s="4" t="s">
        <v>468</v>
      </c>
      <c r="AK349" s="3"/>
      <c r="AL349" s="4">
        <v>49941</v>
      </c>
      <c r="AM349" s="5">
        <v>22000</v>
      </c>
      <c r="AN349" s="4" t="s">
        <v>124</v>
      </c>
      <c r="AO349" s="4">
        <v>99</v>
      </c>
      <c r="AP349" s="4">
        <v>43230000</v>
      </c>
    </row>
    <row r="350" spans="1:42" s="4" customFormat="1" x14ac:dyDescent="0.25">
      <c r="A350" s="3">
        <v>4604523</v>
      </c>
      <c r="B350" s="28">
        <v>41803</v>
      </c>
      <c r="C350" s="3" t="s">
        <v>1278</v>
      </c>
      <c r="D350" s="3">
        <v>10004314</v>
      </c>
      <c r="E350" s="4">
        <v>4533874</v>
      </c>
      <c r="F350" s="3" t="s">
        <v>49</v>
      </c>
      <c r="G350" s="4" t="s">
        <v>1360</v>
      </c>
      <c r="H350" s="4" t="s">
        <v>1361</v>
      </c>
      <c r="I350" s="5">
        <v>201300</v>
      </c>
      <c r="J350" s="3" t="s">
        <v>76</v>
      </c>
      <c r="K350" s="3" t="s">
        <v>77</v>
      </c>
      <c r="L350" s="3" t="s">
        <v>119</v>
      </c>
      <c r="M350" s="4" t="s">
        <v>1362</v>
      </c>
      <c r="N350" s="3" t="s">
        <v>56</v>
      </c>
      <c r="O350" s="3"/>
      <c r="Q350" s="3"/>
      <c r="R350" s="3"/>
      <c r="Y350" s="4" t="s">
        <v>466</v>
      </c>
      <c r="Z350" s="4" t="s">
        <v>466</v>
      </c>
      <c r="AA350" s="4" t="s">
        <v>1324</v>
      </c>
      <c r="AB350" s="3" t="s">
        <v>1363</v>
      </c>
      <c r="AC350" s="3" t="s">
        <v>1326</v>
      </c>
      <c r="AD350" s="3" t="s">
        <v>1356</v>
      </c>
      <c r="AE350" s="3">
        <v>1000</v>
      </c>
      <c r="AI350" s="4" t="s">
        <v>468</v>
      </c>
      <c r="AJ350" s="4" t="s">
        <v>468</v>
      </c>
      <c r="AK350" s="3"/>
      <c r="AL350" s="4">
        <v>49879</v>
      </c>
      <c r="AM350" s="5">
        <v>201300</v>
      </c>
      <c r="AN350" s="4" t="s">
        <v>124</v>
      </c>
      <c r="AO350" s="4">
        <v>99</v>
      </c>
      <c r="AP350" s="4">
        <v>43230000</v>
      </c>
    </row>
    <row r="351" spans="1:42" s="4" customFormat="1" x14ac:dyDescent="0.25">
      <c r="A351" s="3">
        <v>4604524</v>
      </c>
      <c r="B351" s="28">
        <v>41803</v>
      </c>
      <c r="C351" s="3" t="s">
        <v>1278</v>
      </c>
      <c r="D351" s="3">
        <v>10004314</v>
      </c>
      <c r="E351" s="4">
        <v>4533875</v>
      </c>
      <c r="F351" s="3" t="s">
        <v>49</v>
      </c>
      <c r="G351" s="4" t="s">
        <v>1353</v>
      </c>
      <c r="H351" s="4" t="s">
        <v>1364</v>
      </c>
      <c r="I351" s="5">
        <v>21780</v>
      </c>
      <c r="J351" s="3" t="s">
        <v>76</v>
      </c>
      <c r="K351" s="3" t="s">
        <v>77</v>
      </c>
      <c r="L351" s="3" t="s">
        <v>119</v>
      </c>
      <c r="M351" s="4" t="s">
        <v>1364</v>
      </c>
      <c r="N351" s="3" t="s">
        <v>56</v>
      </c>
      <c r="O351" s="3"/>
      <c r="Q351" s="3"/>
      <c r="R351" s="3"/>
      <c r="Y351" s="4" t="s">
        <v>466</v>
      </c>
      <c r="Z351" s="4" t="s">
        <v>466</v>
      </c>
      <c r="AA351" s="4" t="s">
        <v>1324</v>
      </c>
      <c r="AB351" s="3" t="s">
        <v>1355</v>
      </c>
      <c r="AC351" s="3" t="s">
        <v>1326</v>
      </c>
      <c r="AD351" s="3" t="s">
        <v>1356</v>
      </c>
      <c r="AE351" s="3">
        <v>1000</v>
      </c>
      <c r="AI351" s="4" t="s">
        <v>468</v>
      </c>
      <c r="AJ351" s="4" t="s">
        <v>468</v>
      </c>
      <c r="AK351" s="3"/>
      <c r="AL351" s="4">
        <v>140449</v>
      </c>
      <c r="AM351" s="5">
        <v>21780</v>
      </c>
      <c r="AN351" s="4" t="s">
        <v>124</v>
      </c>
      <c r="AO351" s="4">
        <v>99</v>
      </c>
      <c r="AP351" s="4">
        <v>43230000</v>
      </c>
    </row>
    <row r="352" spans="1:42" s="4" customFormat="1" x14ac:dyDescent="0.25">
      <c r="A352" s="3">
        <v>4604525</v>
      </c>
      <c r="B352" s="28">
        <v>41803</v>
      </c>
      <c r="C352" s="3" t="s">
        <v>1278</v>
      </c>
      <c r="D352" s="3">
        <v>10004314</v>
      </c>
      <c r="E352" s="4">
        <v>4533876</v>
      </c>
      <c r="F352" s="3" t="s">
        <v>49</v>
      </c>
      <c r="G352" s="4" t="s">
        <v>1365</v>
      </c>
      <c r="H352" s="4" t="s">
        <v>1366</v>
      </c>
      <c r="I352" s="5">
        <v>45760</v>
      </c>
      <c r="J352" s="3" t="s">
        <v>76</v>
      </c>
      <c r="K352" s="3" t="s">
        <v>77</v>
      </c>
      <c r="L352" s="3" t="s">
        <v>119</v>
      </c>
      <c r="M352" s="4" t="s">
        <v>1366</v>
      </c>
      <c r="N352" s="3" t="s">
        <v>56</v>
      </c>
      <c r="O352" s="3"/>
      <c r="Q352" s="3"/>
      <c r="R352" s="3"/>
      <c r="Y352" s="4" t="s">
        <v>466</v>
      </c>
      <c r="Z352" s="4" t="s">
        <v>466</v>
      </c>
      <c r="AA352" s="4" t="s">
        <v>1367</v>
      </c>
      <c r="AB352" s="3" t="s">
        <v>1367</v>
      </c>
      <c r="AC352" s="3" t="s">
        <v>1368</v>
      </c>
      <c r="AD352" s="3" t="s">
        <v>1356</v>
      </c>
      <c r="AE352" s="3">
        <v>1000</v>
      </c>
      <c r="AI352" s="4" t="s">
        <v>468</v>
      </c>
      <c r="AJ352" s="4" t="s">
        <v>468</v>
      </c>
      <c r="AK352" s="3"/>
      <c r="AL352" s="4">
        <v>140286</v>
      </c>
      <c r="AM352" s="5">
        <v>45760</v>
      </c>
      <c r="AN352" s="4" t="s">
        <v>124</v>
      </c>
      <c r="AO352" s="4">
        <v>99</v>
      </c>
      <c r="AP352" s="4">
        <v>43230000</v>
      </c>
    </row>
    <row r="353" spans="1:42" s="4" customFormat="1" x14ac:dyDescent="0.25">
      <c r="A353" s="3">
        <v>4604526</v>
      </c>
      <c r="B353" s="28">
        <v>41803</v>
      </c>
      <c r="C353" s="3" t="s">
        <v>1278</v>
      </c>
      <c r="D353" s="3">
        <v>10004314</v>
      </c>
      <c r="E353" s="4">
        <v>4533877</v>
      </c>
      <c r="F353" s="3" t="s">
        <v>49</v>
      </c>
      <c r="G353" s="4" t="s">
        <v>1353</v>
      </c>
      <c r="H353" s="4" t="s">
        <v>1369</v>
      </c>
      <c r="I353" s="5">
        <v>138228</v>
      </c>
      <c r="J353" s="3" t="s">
        <v>76</v>
      </c>
      <c r="K353" s="3" t="s">
        <v>77</v>
      </c>
      <c r="L353" s="3" t="s">
        <v>119</v>
      </c>
      <c r="M353" s="4" t="s">
        <v>1369</v>
      </c>
      <c r="N353" s="3" t="s">
        <v>56</v>
      </c>
      <c r="O353" s="3"/>
      <c r="Q353" s="3"/>
      <c r="R353" s="3"/>
      <c r="Y353" s="4" t="s">
        <v>466</v>
      </c>
      <c r="Z353" s="4" t="s">
        <v>466</v>
      </c>
      <c r="AA353" s="4" t="s">
        <v>1324</v>
      </c>
      <c r="AB353" s="3" t="s">
        <v>1355</v>
      </c>
      <c r="AC353" s="3" t="s">
        <v>1326</v>
      </c>
      <c r="AD353" s="3" t="s">
        <v>1356</v>
      </c>
      <c r="AE353" s="3">
        <v>1000</v>
      </c>
      <c r="AI353" s="4" t="s">
        <v>468</v>
      </c>
      <c r="AJ353" s="4" t="s">
        <v>468</v>
      </c>
      <c r="AK353" s="3"/>
      <c r="AL353" s="4">
        <v>140449</v>
      </c>
      <c r="AM353" s="5">
        <v>138228</v>
      </c>
      <c r="AN353" s="4" t="s">
        <v>124</v>
      </c>
      <c r="AO353" s="4">
        <v>99</v>
      </c>
      <c r="AP353" s="4">
        <v>43230000</v>
      </c>
    </row>
    <row r="354" spans="1:42" s="4" customFormat="1" x14ac:dyDescent="0.25">
      <c r="A354" s="3">
        <v>4604527</v>
      </c>
      <c r="B354" s="28">
        <v>41803</v>
      </c>
      <c r="C354" s="3" t="s">
        <v>1278</v>
      </c>
      <c r="D354" s="3">
        <v>10004314</v>
      </c>
      <c r="E354" s="4">
        <v>4533878</v>
      </c>
      <c r="F354" s="3" t="s">
        <v>49</v>
      </c>
      <c r="G354" s="4" t="s">
        <v>1370</v>
      </c>
      <c r="H354" s="4" t="s">
        <v>1371</v>
      </c>
      <c r="I354" s="5">
        <v>135930</v>
      </c>
      <c r="J354" s="3" t="s">
        <v>76</v>
      </c>
      <c r="K354" s="3" t="s">
        <v>77</v>
      </c>
      <c r="L354" s="3" t="s">
        <v>119</v>
      </c>
      <c r="M354" s="4" t="s">
        <v>1371</v>
      </c>
      <c r="N354" s="3" t="s">
        <v>56</v>
      </c>
      <c r="O354" s="3"/>
      <c r="Q354" s="3"/>
      <c r="R354" s="3"/>
      <c r="Y354" s="4" t="s">
        <v>466</v>
      </c>
      <c r="Z354" s="4" t="s">
        <v>466</v>
      </c>
      <c r="AA354" s="4" t="s">
        <v>1324</v>
      </c>
      <c r="AB354" s="3" t="s">
        <v>1372</v>
      </c>
      <c r="AC354" s="3" t="s">
        <v>1326</v>
      </c>
      <c r="AD354" s="3" t="s">
        <v>1373</v>
      </c>
      <c r="AE354" s="3">
        <v>1000</v>
      </c>
      <c r="AI354" s="4" t="s">
        <v>468</v>
      </c>
      <c r="AJ354" s="4" t="s">
        <v>468</v>
      </c>
      <c r="AK354" s="3"/>
      <c r="AL354" s="4">
        <v>140443</v>
      </c>
      <c r="AM354" s="5">
        <v>135930</v>
      </c>
      <c r="AN354" s="4" t="s">
        <v>124</v>
      </c>
      <c r="AO354" s="4">
        <v>99</v>
      </c>
      <c r="AP354" s="4">
        <v>43230000</v>
      </c>
    </row>
    <row r="355" spans="1:42" s="4" customFormat="1" x14ac:dyDescent="0.25">
      <c r="A355" s="3">
        <v>4604528</v>
      </c>
      <c r="B355" s="28">
        <v>41803</v>
      </c>
      <c r="C355" s="3" t="s">
        <v>1278</v>
      </c>
      <c r="D355" s="3">
        <v>10004314</v>
      </c>
      <c r="E355" s="4">
        <v>4533879</v>
      </c>
      <c r="F355" s="3" t="s">
        <v>49</v>
      </c>
      <c r="G355" s="4" t="s">
        <v>1374</v>
      </c>
      <c r="H355" s="4" t="s">
        <v>1375</v>
      </c>
      <c r="I355" s="5">
        <v>55000</v>
      </c>
      <c r="J355" s="3" t="s">
        <v>76</v>
      </c>
      <c r="K355" s="3" t="s">
        <v>77</v>
      </c>
      <c r="L355" s="3" t="s">
        <v>119</v>
      </c>
      <c r="M355" s="4" t="s">
        <v>1376</v>
      </c>
      <c r="N355" s="3" t="s">
        <v>56</v>
      </c>
      <c r="O355" s="3"/>
      <c r="Q355" s="3"/>
      <c r="R355" s="3"/>
      <c r="Y355" s="4" t="s">
        <v>466</v>
      </c>
      <c r="Z355" s="4" t="s">
        <v>466</v>
      </c>
      <c r="AA355" s="4" t="s">
        <v>412</v>
      </c>
      <c r="AB355" s="3" t="s">
        <v>1377</v>
      </c>
      <c r="AC355" s="3" t="s">
        <v>414</v>
      </c>
      <c r="AD355" s="3" t="s">
        <v>1373</v>
      </c>
      <c r="AE355" s="3">
        <v>1000</v>
      </c>
      <c r="AI355" s="4" t="s">
        <v>468</v>
      </c>
      <c r="AJ355" s="4" t="s">
        <v>468</v>
      </c>
      <c r="AK355" s="3"/>
      <c r="AL355" s="4">
        <v>141749</v>
      </c>
      <c r="AM355" s="5">
        <v>55000</v>
      </c>
      <c r="AN355" s="4" t="s">
        <v>124</v>
      </c>
      <c r="AO355" s="4">
        <v>99</v>
      </c>
      <c r="AP355" s="4">
        <v>43230000</v>
      </c>
    </row>
    <row r="356" spans="1:42" s="4" customFormat="1" x14ac:dyDescent="0.25">
      <c r="A356" s="3">
        <v>4604529</v>
      </c>
      <c r="B356" s="28">
        <v>41803</v>
      </c>
      <c r="C356" s="3" t="s">
        <v>1278</v>
      </c>
      <c r="D356" s="3">
        <v>10004314</v>
      </c>
      <c r="E356" s="4">
        <v>4533880</v>
      </c>
      <c r="F356" s="3" t="s">
        <v>49</v>
      </c>
      <c r="G356" s="4" t="s">
        <v>1378</v>
      </c>
      <c r="I356" s="5">
        <v>5500</v>
      </c>
      <c r="J356" s="3" t="s">
        <v>76</v>
      </c>
      <c r="K356" s="3" t="s">
        <v>77</v>
      </c>
      <c r="L356" s="3" t="s">
        <v>119</v>
      </c>
      <c r="M356" s="4" t="s">
        <v>1379</v>
      </c>
      <c r="N356" s="3" t="s">
        <v>56</v>
      </c>
      <c r="O356" s="3"/>
      <c r="Q356" s="3"/>
      <c r="R356" s="3"/>
      <c r="Y356" s="4" t="s">
        <v>466</v>
      </c>
      <c r="Z356" s="4" t="s">
        <v>466</v>
      </c>
      <c r="AB356" s="3"/>
      <c r="AC356" s="3"/>
      <c r="AD356" s="3" t="s">
        <v>1373</v>
      </c>
      <c r="AE356" s="3">
        <v>1000</v>
      </c>
      <c r="AI356" s="4" t="s">
        <v>468</v>
      </c>
      <c r="AJ356" s="4" t="s">
        <v>468</v>
      </c>
      <c r="AK356" s="3"/>
      <c r="AL356" s="4">
        <v>42337</v>
      </c>
      <c r="AM356" s="5">
        <v>5500</v>
      </c>
      <c r="AN356" s="4" t="s">
        <v>124</v>
      </c>
    </row>
    <row r="357" spans="1:42" s="4" customFormat="1" x14ac:dyDescent="0.25">
      <c r="A357" s="3">
        <v>4604539</v>
      </c>
      <c r="B357" s="28">
        <v>41808</v>
      </c>
      <c r="C357" s="3" t="s">
        <v>1278</v>
      </c>
      <c r="D357" s="3">
        <v>10004326</v>
      </c>
      <c r="E357" s="4">
        <v>4533890</v>
      </c>
      <c r="F357" s="3" t="s">
        <v>49</v>
      </c>
      <c r="G357" s="4" t="s">
        <v>1388</v>
      </c>
      <c r="H357" s="4" t="s">
        <v>1389</v>
      </c>
      <c r="I357" s="5">
        <v>25200</v>
      </c>
      <c r="J357" s="3" t="s">
        <v>265</v>
      </c>
      <c r="K357" s="3" t="s">
        <v>494</v>
      </c>
      <c r="L357" s="3" t="s">
        <v>119</v>
      </c>
      <c r="M357" s="4" t="s">
        <v>1389</v>
      </c>
      <c r="N357" s="3" t="s">
        <v>56</v>
      </c>
      <c r="O357" s="3" t="s">
        <v>139</v>
      </c>
      <c r="P357" s="4" t="s">
        <v>282</v>
      </c>
      <c r="Q357" s="3"/>
      <c r="R357" s="3"/>
      <c r="Y357" s="4" t="s">
        <v>1200</v>
      </c>
      <c r="Z357" s="4" t="s">
        <v>1200</v>
      </c>
      <c r="AA357" s="4" t="s">
        <v>1284</v>
      </c>
      <c r="AB357" s="3" t="s">
        <v>1390</v>
      </c>
      <c r="AC357" s="3" t="s">
        <v>1286</v>
      </c>
      <c r="AD357" s="3" t="s">
        <v>324</v>
      </c>
      <c r="AE357" s="3">
        <v>1000</v>
      </c>
      <c r="AI357" s="4" t="s">
        <v>1202</v>
      </c>
      <c r="AJ357" s="4" t="s">
        <v>1202</v>
      </c>
      <c r="AK357" s="3" t="s">
        <v>286</v>
      </c>
      <c r="AL357" s="4">
        <v>141312</v>
      </c>
      <c r="AM357" s="5">
        <v>25200</v>
      </c>
      <c r="AN357" s="4" t="s">
        <v>124</v>
      </c>
      <c r="AO357" s="4">
        <v>99</v>
      </c>
      <c r="AP357" s="4">
        <v>80101510</v>
      </c>
    </row>
    <row r="358" spans="1:42" s="4" customFormat="1" x14ac:dyDescent="0.25">
      <c r="A358" s="3">
        <v>4604559</v>
      </c>
      <c r="B358" s="28">
        <v>41821</v>
      </c>
      <c r="C358" s="3" t="s">
        <v>1278</v>
      </c>
      <c r="D358" s="3">
        <v>10004299</v>
      </c>
      <c r="E358" s="4">
        <v>4533910</v>
      </c>
      <c r="F358" s="3" t="s">
        <v>49</v>
      </c>
      <c r="G358" s="4" t="s">
        <v>1402</v>
      </c>
      <c r="H358" s="4" t="s">
        <v>1403</v>
      </c>
      <c r="I358" s="5">
        <v>476135</v>
      </c>
      <c r="J358" s="3" t="s">
        <v>76</v>
      </c>
      <c r="K358" s="3" t="s">
        <v>77</v>
      </c>
      <c r="L358" s="3" t="s">
        <v>119</v>
      </c>
      <c r="M358" s="4" t="s">
        <v>1403</v>
      </c>
      <c r="N358" s="3" t="s">
        <v>56</v>
      </c>
      <c r="O358" s="3"/>
      <c r="Q358" s="3"/>
      <c r="R358" s="3"/>
      <c r="Y358" s="4" t="s">
        <v>1309</v>
      </c>
      <c r="Z358" s="4" t="s">
        <v>1309</v>
      </c>
      <c r="AA358" s="4" t="s">
        <v>356</v>
      </c>
      <c r="AB358" s="3" t="s">
        <v>1404</v>
      </c>
      <c r="AC358" s="3" t="s">
        <v>358</v>
      </c>
      <c r="AD358" s="3" t="s">
        <v>122</v>
      </c>
      <c r="AE358" s="3">
        <v>5000</v>
      </c>
      <c r="AI358" s="4" t="s">
        <v>1313</v>
      </c>
      <c r="AJ358" s="4" t="s">
        <v>1313</v>
      </c>
      <c r="AK358" s="3"/>
      <c r="AL358" s="4">
        <v>49275</v>
      </c>
      <c r="AM358" s="5">
        <v>476135</v>
      </c>
      <c r="AN358" s="4" t="s">
        <v>31</v>
      </c>
      <c r="AO358" s="4">
        <v>99</v>
      </c>
      <c r="AP358" s="4">
        <v>80141500</v>
      </c>
    </row>
    <row r="359" spans="1:42" s="4" customFormat="1" x14ac:dyDescent="0.25">
      <c r="A359" s="3">
        <v>4604560</v>
      </c>
      <c r="B359" s="28">
        <v>41815</v>
      </c>
      <c r="C359" s="3" t="s">
        <v>1278</v>
      </c>
      <c r="D359" s="3">
        <v>10004342</v>
      </c>
      <c r="E359" s="4">
        <v>4533911</v>
      </c>
      <c r="F359" s="3" t="s">
        <v>49</v>
      </c>
      <c r="G359" s="4" t="s">
        <v>1405</v>
      </c>
      <c r="H359" s="4" t="s">
        <v>1406</v>
      </c>
      <c r="I359" s="5">
        <v>163206.47</v>
      </c>
      <c r="J359" s="3" t="s">
        <v>76</v>
      </c>
      <c r="K359" s="3" t="s">
        <v>77</v>
      </c>
      <c r="L359" s="3" t="s">
        <v>119</v>
      </c>
      <c r="M359" s="4" t="s">
        <v>1407</v>
      </c>
      <c r="N359" s="3" t="s">
        <v>56</v>
      </c>
      <c r="O359" s="3"/>
      <c r="Q359" s="3"/>
      <c r="R359" s="3"/>
      <c r="Y359" s="4" t="s">
        <v>1056</v>
      </c>
      <c r="Z359" s="4" t="s">
        <v>1090</v>
      </c>
      <c r="AA359" s="4" t="s">
        <v>1254</v>
      </c>
      <c r="AB359" s="3" t="s">
        <v>1255</v>
      </c>
      <c r="AC359" s="3" t="s">
        <v>1256</v>
      </c>
      <c r="AD359" s="3" t="s">
        <v>776</v>
      </c>
      <c r="AE359" s="3">
        <v>1000</v>
      </c>
      <c r="AI359" s="4" t="s">
        <v>1058</v>
      </c>
      <c r="AJ359" s="4" t="s">
        <v>1091</v>
      </c>
      <c r="AK359" s="3"/>
      <c r="AL359" s="4">
        <v>48469</v>
      </c>
      <c r="AM359" s="5">
        <v>163206.47</v>
      </c>
      <c r="AN359" s="4" t="s">
        <v>124</v>
      </c>
      <c r="AO359" s="4">
        <v>99</v>
      </c>
      <c r="AP359" s="4">
        <v>43230000</v>
      </c>
    </row>
    <row r="360" spans="1:42" s="4" customFormat="1" x14ac:dyDescent="0.25">
      <c r="A360" s="3">
        <v>4604565</v>
      </c>
      <c r="B360" s="28">
        <v>41780</v>
      </c>
      <c r="C360" s="3" t="s">
        <v>1278</v>
      </c>
      <c r="D360" s="3">
        <v>10004228</v>
      </c>
      <c r="E360" s="4">
        <v>4533916</v>
      </c>
      <c r="F360" s="3" t="s">
        <v>49</v>
      </c>
      <c r="G360" s="4" t="s">
        <v>1174</v>
      </c>
      <c r="H360" s="4" t="s">
        <v>1411</v>
      </c>
      <c r="I360" s="5">
        <v>85000</v>
      </c>
      <c r="J360" s="3" t="s">
        <v>735</v>
      </c>
      <c r="K360" s="3" t="s">
        <v>223</v>
      </c>
      <c r="L360" s="3" t="s">
        <v>119</v>
      </c>
      <c r="M360" s="4" t="s">
        <v>1411</v>
      </c>
      <c r="N360" s="3" t="s">
        <v>56</v>
      </c>
      <c r="O360" s="3" t="s">
        <v>139</v>
      </c>
      <c r="P360" s="4" t="s">
        <v>282</v>
      </c>
      <c r="Q360" s="3"/>
      <c r="R360" s="3"/>
      <c r="Y360" s="4" t="s">
        <v>1344</v>
      </c>
      <c r="Z360" s="4" t="s">
        <v>1344</v>
      </c>
      <c r="AA360" s="4" t="s">
        <v>754</v>
      </c>
      <c r="AB360" s="3" t="s">
        <v>1177</v>
      </c>
      <c r="AC360" s="3" t="s">
        <v>756</v>
      </c>
      <c r="AD360" s="3" t="s">
        <v>202</v>
      </c>
      <c r="AE360" s="3">
        <v>1000</v>
      </c>
      <c r="AI360" s="4" t="s">
        <v>1346</v>
      </c>
      <c r="AJ360" s="4" t="s">
        <v>1346</v>
      </c>
      <c r="AK360" s="3" t="s">
        <v>286</v>
      </c>
      <c r="AL360" s="4">
        <v>42811</v>
      </c>
      <c r="AM360" s="5">
        <v>85000</v>
      </c>
      <c r="AN360" s="4" t="s">
        <v>124</v>
      </c>
      <c r="AO360" s="4">
        <v>99</v>
      </c>
      <c r="AP360" s="4">
        <v>84111500</v>
      </c>
    </row>
    <row r="361" spans="1:42" s="4" customFormat="1" x14ac:dyDescent="0.25">
      <c r="A361" s="3">
        <v>4604566</v>
      </c>
      <c r="B361" s="28">
        <v>41820</v>
      </c>
      <c r="C361" s="3" t="s">
        <v>1278</v>
      </c>
      <c r="D361" s="3">
        <v>10004322</v>
      </c>
      <c r="E361" s="4">
        <v>4533917</v>
      </c>
      <c r="F361" s="3" t="s">
        <v>49</v>
      </c>
      <c r="G361" s="4" t="s">
        <v>1412</v>
      </c>
      <c r="H361" s="4" t="s">
        <v>1413</v>
      </c>
      <c r="I361" s="5">
        <v>185944</v>
      </c>
      <c r="J361" s="3" t="s">
        <v>76</v>
      </c>
      <c r="K361" s="3" t="s">
        <v>77</v>
      </c>
      <c r="L361" s="3" t="s">
        <v>119</v>
      </c>
      <c r="M361" s="4" t="s">
        <v>1413</v>
      </c>
      <c r="N361" s="3" t="s">
        <v>56</v>
      </c>
      <c r="O361" s="3"/>
      <c r="Q361" s="3"/>
      <c r="R361" s="3"/>
      <c r="Y361" s="4" t="s">
        <v>1047</v>
      </c>
      <c r="Z361" s="4" t="s">
        <v>1048</v>
      </c>
      <c r="AA361" s="4" t="s">
        <v>1414</v>
      </c>
      <c r="AB361" s="3" t="s">
        <v>1415</v>
      </c>
      <c r="AC361" s="3" t="s">
        <v>1416</v>
      </c>
      <c r="AD361" s="3" t="s">
        <v>474</v>
      </c>
      <c r="AE361" s="3">
        <v>1000</v>
      </c>
      <c r="AI361" s="4" t="s">
        <v>1050</v>
      </c>
      <c r="AJ361" s="4" t="s">
        <v>1051</v>
      </c>
      <c r="AK361" s="3"/>
      <c r="AL361" s="4">
        <v>40924</v>
      </c>
      <c r="AM361" s="5">
        <v>185944</v>
      </c>
      <c r="AN361" s="4" t="s">
        <v>124</v>
      </c>
      <c r="AO361" s="4">
        <v>97</v>
      </c>
      <c r="AP361" s="4">
        <v>81112200</v>
      </c>
    </row>
    <row r="362" spans="1:42" s="4" customFormat="1" x14ac:dyDescent="0.25">
      <c r="A362" s="3">
        <v>4604569</v>
      </c>
      <c r="B362" s="28">
        <v>41820</v>
      </c>
      <c r="C362" s="3" t="s">
        <v>1278</v>
      </c>
      <c r="D362" s="3">
        <v>10004314</v>
      </c>
      <c r="E362" s="4">
        <v>4533920</v>
      </c>
      <c r="F362" s="3" t="s">
        <v>49</v>
      </c>
      <c r="G362" s="4" t="s">
        <v>1353</v>
      </c>
      <c r="H362" s="4" t="s">
        <v>1364</v>
      </c>
      <c r="I362" s="5">
        <v>17820</v>
      </c>
      <c r="J362" s="3" t="s">
        <v>76</v>
      </c>
      <c r="K362" s="3" t="s">
        <v>77</v>
      </c>
      <c r="L362" s="3" t="s">
        <v>119</v>
      </c>
      <c r="M362" s="4" t="s">
        <v>1364</v>
      </c>
      <c r="N362" s="3" t="s">
        <v>56</v>
      </c>
      <c r="O362" s="3"/>
      <c r="Q362" s="3"/>
      <c r="R362" s="3"/>
      <c r="Y362" s="4" t="s">
        <v>466</v>
      </c>
      <c r="Z362" s="4" t="s">
        <v>466</v>
      </c>
      <c r="AA362" s="4" t="s">
        <v>1324</v>
      </c>
      <c r="AB362" s="3" t="s">
        <v>1355</v>
      </c>
      <c r="AC362" s="3" t="s">
        <v>1326</v>
      </c>
      <c r="AD362" s="3" t="s">
        <v>1098</v>
      </c>
      <c r="AE362" s="3">
        <v>1000</v>
      </c>
      <c r="AI362" s="4" t="s">
        <v>468</v>
      </c>
      <c r="AJ362" s="4" t="s">
        <v>468</v>
      </c>
      <c r="AK362" s="3"/>
      <c r="AL362" s="4">
        <v>140449</v>
      </c>
      <c r="AM362" s="5">
        <v>17820</v>
      </c>
      <c r="AN362" s="4" t="s">
        <v>124</v>
      </c>
      <c r="AO362" s="4">
        <v>99</v>
      </c>
      <c r="AP362" s="4">
        <v>43230000</v>
      </c>
    </row>
    <row r="363" spans="1:42" s="4" customFormat="1" x14ac:dyDescent="0.25">
      <c r="A363" s="3">
        <v>4604573</v>
      </c>
      <c r="B363" s="28">
        <v>41817</v>
      </c>
      <c r="C363" s="3" t="s">
        <v>1278</v>
      </c>
      <c r="D363" s="3">
        <v>10004352</v>
      </c>
      <c r="E363" s="4">
        <v>4533924</v>
      </c>
      <c r="F363" s="3" t="s">
        <v>49</v>
      </c>
      <c r="G363" s="4" t="s">
        <v>1421</v>
      </c>
      <c r="H363" s="4" t="s">
        <v>1422</v>
      </c>
      <c r="I363" s="5">
        <v>128356.8</v>
      </c>
      <c r="J363" s="3" t="s">
        <v>76</v>
      </c>
      <c r="K363" s="3" t="s">
        <v>77</v>
      </c>
      <c r="L363" s="3" t="s">
        <v>119</v>
      </c>
      <c r="M363" s="4" t="s">
        <v>1423</v>
      </c>
      <c r="N363" s="3" t="s">
        <v>56</v>
      </c>
      <c r="O363" s="3"/>
      <c r="Q363" s="3"/>
      <c r="R363" s="3"/>
      <c r="Y363" s="4" t="s">
        <v>1056</v>
      </c>
      <c r="Z363" s="4" t="s">
        <v>1090</v>
      </c>
      <c r="AA363" s="4" t="s">
        <v>412</v>
      </c>
      <c r="AB363" s="3" t="s">
        <v>1424</v>
      </c>
      <c r="AC363" s="3" t="s">
        <v>414</v>
      </c>
      <c r="AD363" s="3" t="s">
        <v>492</v>
      </c>
      <c r="AE363" s="3">
        <v>1000</v>
      </c>
      <c r="AI363" s="4" t="s">
        <v>1058</v>
      </c>
      <c r="AJ363" s="4" t="s">
        <v>1091</v>
      </c>
      <c r="AK363" s="3"/>
      <c r="AL363" s="4">
        <v>141575</v>
      </c>
      <c r="AM363" s="5">
        <v>128356.8</v>
      </c>
      <c r="AN363" s="4" t="s">
        <v>124</v>
      </c>
      <c r="AO363" s="4">
        <v>98</v>
      </c>
      <c r="AP363" s="4">
        <v>43220000</v>
      </c>
    </row>
    <row r="364" spans="1:42" s="4" customFormat="1" x14ac:dyDescent="0.25">
      <c r="A364" s="3">
        <v>4604594</v>
      </c>
      <c r="B364" s="28">
        <v>41824</v>
      </c>
      <c r="C364" s="3" t="s">
        <v>1278</v>
      </c>
      <c r="D364" s="3">
        <v>10004376</v>
      </c>
      <c r="E364" s="4">
        <v>4533945</v>
      </c>
      <c r="F364" s="3" t="s">
        <v>49</v>
      </c>
      <c r="G364" s="4" t="s">
        <v>1365</v>
      </c>
      <c r="H364" s="4" t="s">
        <v>1453</v>
      </c>
      <c r="I364" s="5">
        <v>59730</v>
      </c>
      <c r="J364" s="3" t="s">
        <v>1452</v>
      </c>
      <c r="K364" s="3" t="s">
        <v>77</v>
      </c>
      <c r="L364" s="3" t="s">
        <v>119</v>
      </c>
      <c r="M364" s="4" t="s">
        <v>1453</v>
      </c>
      <c r="N364" s="3" t="s">
        <v>56</v>
      </c>
      <c r="O364" s="3"/>
      <c r="Q364" s="3"/>
      <c r="R364" s="3"/>
      <c r="Y364" s="4" t="s">
        <v>466</v>
      </c>
      <c r="Z364" s="4" t="s">
        <v>466</v>
      </c>
      <c r="AA364" s="4" t="s">
        <v>1367</v>
      </c>
      <c r="AB364" s="3" t="s">
        <v>1367</v>
      </c>
      <c r="AC364" s="3" t="s">
        <v>1368</v>
      </c>
      <c r="AD364" s="3" t="s">
        <v>1452</v>
      </c>
      <c r="AE364" s="3">
        <v>1000</v>
      </c>
      <c r="AI364" s="4" t="s">
        <v>468</v>
      </c>
      <c r="AJ364" s="4" t="s">
        <v>468</v>
      </c>
      <c r="AK364" s="3"/>
      <c r="AL364" s="4">
        <v>140286</v>
      </c>
      <c r="AM364" s="5">
        <v>59730</v>
      </c>
      <c r="AN364" s="4" t="s">
        <v>124</v>
      </c>
      <c r="AO364" s="4">
        <v>99</v>
      </c>
      <c r="AP364" s="4">
        <v>43230000</v>
      </c>
    </row>
    <row r="365" spans="1:42" s="4" customFormat="1" x14ac:dyDescent="0.25">
      <c r="A365" s="3">
        <v>4604597</v>
      </c>
      <c r="B365" s="28">
        <v>41827</v>
      </c>
      <c r="C365" s="3" t="s">
        <v>1278</v>
      </c>
      <c r="D365" s="3">
        <v>10004377</v>
      </c>
      <c r="E365" s="4">
        <v>4533948</v>
      </c>
      <c r="F365" s="3" t="s">
        <v>49</v>
      </c>
      <c r="G365" s="4" t="s">
        <v>1412</v>
      </c>
      <c r="H365" s="4" t="s">
        <v>1463</v>
      </c>
      <c r="I365" s="5">
        <v>126121.16</v>
      </c>
      <c r="J365" s="3" t="s">
        <v>1462</v>
      </c>
      <c r="K365" s="3" t="s">
        <v>829</v>
      </c>
      <c r="L365" s="3" t="s">
        <v>119</v>
      </c>
      <c r="M365" s="4" t="s">
        <v>1463</v>
      </c>
      <c r="N365" s="3" t="s">
        <v>56</v>
      </c>
      <c r="O365" s="3"/>
      <c r="Q365" s="3"/>
      <c r="R365" s="3"/>
      <c r="Y365" s="4" t="s">
        <v>1222</v>
      </c>
      <c r="Z365" s="4" t="s">
        <v>1090</v>
      </c>
      <c r="AA365" s="4" t="s">
        <v>1414</v>
      </c>
      <c r="AB365" s="3" t="s">
        <v>1415</v>
      </c>
      <c r="AC365" s="3" t="s">
        <v>1416</v>
      </c>
      <c r="AD365" s="3" t="s">
        <v>1462</v>
      </c>
      <c r="AE365" s="3">
        <v>1000</v>
      </c>
      <c r="AI365" s="4" t="s">
        <v>1226</v>
      </c>
      <c r="AJ365" s="4" t="s">
        <v>1091</v>
      </c>
      <c r="AK365" s="3"/>
      <c r="AL365" s="4">
        <v>40924</v>
      </c>
      <c r="AM365" s="5">
        <v>126121.16</v>
      </c>
      <c r="AN365" s="4" t="s">
        <v>124</v>
      </c>
      <c r="AO365" s="4">
        <v>99</v>
      </c>
      <c r="AP365" s="4">
        <v>80101604</v>
      </c>
    </row>
    <row r="366" spans="1:42" s="4" customFormat="1" x14ac:dyDescent="0.25">
      <c r="A366" s="3">
        <v>4604599</v>
      </c>
      <c r="B366" s="28">
        <v>41869</v>
      </c>
      <c r="C366" s="3" t="s">
        <v>1278</v>
      </c>
      <c r="D366" s="3">
        <v>10004380</v>
      </c>
      <c r="E366" s="4">
        <v>4533950</v>
      </c>
      <c r="F366" s="3" t="s">
        <v>49</v>
      </c>
      <c r="G366" s="4" t="s">
        <v>1111</v>
      </c>
      <c r="H366" s="4" t="s">
        <v>1466</v>
      </c>
      <c r="I366" s="5">
        <v>40000</v>
      </c>
      <c r="J366" s="3" t="s">
        <v>76</v>
      </c>
      <c r="K366" s="3" t="s">
        <v>77</v>
      </c>
      <c r="L366" s="3" t="s">
        <v>119</v>
      </c>
      <c r="M366" s="4" t="s">
        <v>1467</v>
      </c>
      <c r="N366" s="3" t="s">
        <v>56</v>
      </c>
      <c r="O366" s="3"/>
      <c r="Q366" s="3"/>
      <c r="R366" s="3"/>
      <c r="Y366" s="4" t="s">
        <v>1056</v>
      </c>
      <c r="Z366" s="4" t="s">
        <v>1090</v>
      </c>
      <c r="AA366" s="4" t="s">
        <v>1468</v>
      </c>
      <c r="AB366" s="3" t="s">
        <v>1469</v>
      </c>
      <c r="AC366" s="3" t="s">
        <v>1470</v>
      </c>
      <c r="AD366" s="3" t="s">
        <v>183</v>
      </c>
      <c r="AE366" s="3">
        <v>1000</v>
      </c>
      <c r="AI366" s="4" t="s">
        <v>1058</v>
      </c>
      <c r="AJ366" s="4" t="s">
        <v>1091</v>
      </c>
      <c r="AK366" s="3"/>
      <c r="AL366" s="4">
        <v>30004</v>
      </c>
      <c r="AM366" s="5">
        <v>40000</v>
      </c>
      <c r="AN366" s="4" t="s">
        <v>124</v>
      </c>
      <c r="AO366" s="4">
        <v>98</v>
      </c>
      <c r="AP366" s="4">
        <v>43191501</v>
      </c>
    </row>
    <row r="367" spans="1:42" s="4" customFormat="1" x14ac:dyDescent="0.25">
      <c r="A367" s="3">
        <v>4604600</v>
      </c>
      <c r="B367" s="28">
        <v>41827</v>
      </c>
      <c r="C367" s="3" t="s">
        <v>1278</v>
      </c>
      <c r="D367" s="3">
        <v>10004381</v>
      </c>
      <c r="E367" s="4">
        <v>4533951</v>
      </c>
      <c r="F367" s="3" t="s">
        <v>49</v>
      </c>
      <c r="G367" s="4" t="s">
        <v>1471</v>
      </c>
      <c r="H367" s="4" t="s">
        <v>1472</v>
      </c>
      <c r="I367" s="5">
        <v>20000</v>
      </c>
      <c r="J367" s="3" t="s">
        <v>76</v>
      </c>
      <c r="K367" s="3" t="s">
        <v>77</v>
      </c>
      <c r="L367" s="3" t="s">
        <v>119</v>
      </c>
      <c r="M367" s="4" t="s">
        <v>1473</v>
      </c>
      <c r="N367" s="3" t="s">
        <v>56</v>
      </c>
      <c r="O367" s="3"/>
      <c r="Q367" s="3"/>
      <c r="R367" s="3"/>
      <c r="Y367" s="4" t="s">
        <v>1056</v>
      </c>
      <c r="Z367" s="4" t="s">
        <v>1090</v>
      </c>
      <c r="AA367" s="4" t="s">
        <v>1474</v>
      </c>
      <c r="AB367" s="3" t="s">
        <v>1475</v>
      </c>
      <c r="AC367" s="3" t="s">
        <v>1476</v>
      </c>
      <c r="AD367" s="3" t="s">
        <v>1462</v>
      </c>
      <c r="AE367" s="3">
        <v>1000</v>
      </c>
      <c r="AI367" s="4" t="s">
        <v>1058</v>
      </c>
      <c r="AJ367" s="4" t="s">
        <v>1091</v>
      </c>
      <c r="AK367" s="3"/>
      <c r="AL367" s="4">
        <v>48891</v>
      </c>
      <c r="AM367" s="5">
        <v>20000</v>
      </c>
      <c r="AN367" s="4" t="s">
        <v>124</v>
      </c>
      <c r="AO367" s="4">
        <v>99</v>
      </c>
      <c r="AP367" s="4">
        <v>43211503</v>
      </c>
    </row>
    <row r="368" spans="1:42" s="4" customFormat="1" x14ac:dyDescent="0.25">
      <c r="A368" s="3">
        <v>4604601</v>
      </c>
      <c r="B368" s="28">
        <v>41827</v>
      </c>
      <c r="C368" s="3" t="s">
        <v>1278</v>
      </c>
      <c r="D368" s="3">
        <v>10004311</v>
      </c>
      <c r="E368" s="4">
        <v>4533952</v>
      </c>
      <c r="F368" s="3" t="s">
        <v>49</v>
      </c>
      <c r="G368" s="4" t="s">
        <v>1477</v>
      </c>
      <c r="H368" s="4" t="s">
        <v>1478</v>
      </c>
      <c r="I368" s="5">
        <v>5340963.29</v>
      </c>
      <c r="J368" s="3" t="s">
        <v>1462</v>
      </c>
      <c r="K368" s="3" t="s">
        <v>807</v>
      </c>
      <c r="L368" s="3" t="s">
        <v>119</v>
      </c>
      <c r="M368" s="4" t="s">
        <v>1478</v>
      </c>
      <c r="N368" s="3" t="s">
        <v>56</v>
      </c>
      <c r="O368" s="3"/>
      <c r="Q368" s="3"/>
      <c r="R368" s="3"/>
      <c r="Y368" s="4" t="s">
        <v>1309</v>
      </c>
      <c r="Z368" s="4" t="s">
        <v>1309</v>
      </c>
      <c r="AA368" s="4" t="s">
        <v>338</v>
      </c>
      <c r="AB368" s="3" t="s">
        <v>338</v>
      </c>
      <c r="AC368" s="3" t="s">
        <v>339</v>
      </c>
      <c r="AD368" s="3" t="s">
        <v>1462</v>
      </c>
      <c r="AE368" s="3">
        <v>5000</v>
      </c>
      <c r="AI368" s="4" t="s">
        <v>1313</v>
      </c>
      <c r="AJ368" s="4" t="s">
        <v>1313</v>
      </c>
      <c r="AK368" s="3"/>
      <c r="AL368" s="4">
        <v>141770</v>
      </c>
      <c r="AM368" s="5">
        <v>5340963.29</v>
      </c>
      <c r="AN368" s="4" t="s">
        <v>31</v>
      </c>
      <c r="AO368" s="4">
        <v>99</v>
      </c>
      <c r="AP368" s="4">
        <v>82100000</v>
      </c>
    </row>
    <row r="369" spans="1:42" s="4" customFormat="1" x14ac:dyDescent="0.25">
      <c r="A369" s="3">
        <v>4604606</v>
      </c>
      <c r="B369" s="28">
        <v>41829</v>
      </c>
      <c r="C369" s="3" t="s">
        <v>1278</v>
      </c>
      <c r="D369" s="3">
        <v>10004388</v>
      </c>
      <c r="E369" s="4">
        <v>4533957</v>
      </c>
      <c r="F369" s="3" t="s">
        <v>49</v>
      </c>
      <c r="G369" s="4" t="s">
        <v>1486</v>
      </c>
      <c r="H369" s="4" t="s">
        <v>1487</v>
      </c>
      <c r="I369" s="5">
        <v>35000</v>
      </c>
      <c r="J369" s="3" t="s">
        <v>113</v>
      </c>
      <c r="K369" s="3" t="s">
        <v>77</v>
      </c>
      <c r="L369" s="3" t="s">
        <v>119</v>
      </c>
      <c r="M369" s="4" t="s">
        <v>1488</v>
      </c>
      <c r="N369" s="3" t="s">
        <v>56</v>
      </c>
      <c r="O369" s="3"/>
      <c r="Q369" s="3"/>
      <c r="R369" s="3"/>
      <c r="Y369" s="4" t="s">
        <v>1056</v>
      </c>
      <c r="Z369" s="4" t="s">
        <v>1090</v>
      </c>
      <c r="AA369" s="4" t="s">
        <v>1468</v>
      </c>
      <c r="AB369" s="3" t="s">
        <v>1468</v>
      </c>
      <c r="AC369" s="3" t="s">
        <v>1470</v>
      </c>
      <c r="AD369" s="3" t="s">
        <v>211</v>
      </c>
      <c r="AE369" s="3">
        <v>1000</v>
      </c>
      <c r="AI369" s="4" t="s">
        <v>1058</v>
      </c>
      <c r="AJ369" s="4" t="s">
        <v>1091</v>
      </c>
      <c r="AK369" s="3"/>
      <c r="AL369" s="4">
        <v>40501</v>
      </c>
      <c r="AM369" s="5">
        <v>35000</v>
      </c>
      <c r="AN369" s="4" t="s">
        <v>124</v>
      </c>
      <c r="AO369" s="4">
        <v>99</v>
      </c>
      <c r="AP369" s="4">
        <v>43200000</v>
      </c>
    </row>
    <row r="370" spans="1:42" s="4" customFormat="1" x14ac:dyDescent="0.25">
      <c r="A370" s="3">
        <v>4604607</v>
      </c>
      <c r="B370" s="28">
        <v>41829</v>
      </c>
      <c r="C370" s="3" t="s">
        <v>1278</v>
      </c>
      <c r="D370" s="3">
        <v>10004386</v>
      </c>
      <c r="E370" s="4">
        <v>4533958</v>
      </c>
      <c r="F370" s="3" t="s">
        <v>49</v>
      </c>
      <c r="G370" s="4" t="s">
        <v>1053</v>
      </c>
      <c r="H370" s="4" t="s">
        <v>1489</v>
      </c>
      <c r="I370" s="5">
        <v>146014.12</v>
      </c>
      <c r="J370" s="3" t="s">
        <v>211</v>
      </c>
      <c r="K370" s="3" t="s">
        <v>214</v>
      </c>
      <c r="L370" s="3" t="s">
        <v>119</v>
      </c>
      <c r="M370" s="4" t="s">
        <v>1490</v>
      </c>
      <c r="N370" s="3" t="s">
        <v>56</v>
      </c>
      <c r="O370" s="3"/>
      <c r="Q370" s="3"/>
      <c r="R370" s="3"/>
      <c r="Y370" s="4" t="s">
        <v>1056</v>
      </c>
      <c r="Z370" s="4" t="s">
        <v>1090</v>
      </c>
      <c r="AA370" s="4" t="s">
        <v>1057</v>
      </c>
      <c r="AB370" s="3" t="s">
        <v>1057</v>
      </c>
      <c r="AC370" s="3" t="s">
        <v>1340</v>
      </c>
      <c r="AD370" s="3" t="s">
        <v>211</v>
      </c>
      <c r="AE370" s="3">
        <v>1000</v>
      </c>
      <c r="AI370" s="4" t="s">
        <v>1058</v>
      </c>
      <c r="AJ370" s="4" t="s">
        <v>1091</v>
      </c>
      <c r="AK370" s="3"/>
      <c r="AL370" s="4">
        <v>140248</v>
      </c>
      <c r="AM370" s="5">
        <v>146014.12</v>
      </c>
      <c r="AN370" s="4" t="s">
        <v>124</v>
      </c>
      <c r="AO370" s="4">
        <v>99</v>
      </c>
      <c r="AP370" s="4">
        <v>43230000</v>
      </c>
    </row>
    <row r="371" spans="1:42" s="4" customFormat="1" x14ac:dyDescent="0.25">
      <c r="A371" s="3">
        <v>4604612</v>
      </c>
      <c r="B371" s="28">
        <v>41877</v>
      </c>
      <c r="C371" s="3" t="s">
        <v>1278</v>
      </c>
      <c r="D371" s="3">
        <v>10004392</v>
      </c>
      <c r="E371" s="4">
        <v>4533963</v>
      </c>
      <c r="F371" s="3" t="s">
        <v>49</v>
      </c>
      <c r="G371" s="4" t="s">
        <v>1499</v>
      </c>
      <c r="I371" s="5">
        <v>4900.01</v>
      </c>
      <c r="J371" s="3" t="s">
        <v>214</v>
      </c>
      <c r="K371" s="3" t="s">
        <v>77</v>
      </c>
      <c r="L371" s="3" t="s">
        <v>119</v>
      </c>
      <c r="M371" s="4" t="s">
        <v>1500</v>
      </c>
      <c r="N371" s="3" t="s">
        <v>56</v>
      </c>
      <c r="O371" s="3"/>
      <c r="Q371" s="3"/>
      <c r="R371" s="3"/>
      <c r="Y371" s="4" t="s">
        <v>466</v>
      </c>
      <c r="Z371" s="4" t="s">
        <v>466</v>
      </c>
      <c r="AB371" s="3"/>
      <c r="AC371" s="3"/>
      <c r="AD371" s="3" t="s">
        <v>1496</v>
      </c>
      <c r="AE371" s="3">
        <v>1000</v>
      </c>
      <c r="AI371" s="4" t="s">
        <v>468</v>
      </c>
      <c r="AJ371" s="4" t="s">
        <v>468</v>
      </c>
      <c r="AK371" s="3"/>
      <c r="AL371" s="4">
        <v>140751</v>
      </c>
      <c r="AM371" s="5">
        <v>4900.01</v>
      </c>
      <c r="AN371" s="4" t="s">
        <v>124</v>
      </c>
    </row>
    <row r="372" spans="1:42" s="4" customFormat="1" x14ac:dyDescent="0.25">
      <c r="A372" s="3">
        <v>4604613</v>
      </c>
      <c r="B372" s="28">
        <v>41830</v>
      </c>
      <c r="C372" s="3" t="s">
        <v>1278</v>
      </c>
      <c r="D372" s="3">
        <v>10004396</v>
      </c>
      <c r="E372" s="4">
        <v>4533964</v>
      </c>
      <c r="F372" s="3" t="s">
        <v>49</v>
      </c>
      <c r="G372" s="4" t="s">
        <v>1053</v>
      </c>
      <c r="I372" s="5">
        <v>4967.0600000000004</v>
      </c>
      <c r="J372" s="3" t="s">
        <v>1052</v>
      </c>
      <c r="K372" s="3" t="s">
        <v>832</v>
      </c>
      <c r="L372" s="3" t="s">
        <v>119</v>
      </c>
      <c r="M372" s="4" t="s">
        <v>1501</v>
      </c>
      <c r="N372" s="3" t="s">
        <v>56</v>
      </c>
      <c r="O372" s="3"/>
      <c r="Q372" s="3"/>
      <c r="R372" s="3"/>
      <c r="Y372" s="4" t="s">
        <v>1056</v>
      </c>
      <c r="Z372" s="4" t="s">
        <v>1090</v>
      </c>
      <c r="AB372" s="3"/>
      <c r="AC372" s="3"/>
      <c r="AD372" s="3" t="s">
        <v>211</v>
      </c>
      <c r="AE372" s="3">
        <v>1000</v>
      </c>
      <c r="AI372" s="4" t="s">
        <v>1058</v>
      </c>
      <c r="AJ372" s="4" t="s">
        <v>1091</v>
      </c>
      <c r="AK372" s="3"/>
      <c r="AL372" s="4">
        <v>140248</v>
      </c>
      <c r="AM372" s="5">
        <v>4967.0600000000004</v>
      </c>
      <c r="AN372" s="4" t="s">
        <v>124</v>
      </c>
    </row>
    <row r="373" spans="1:42" s="4" customFormat="1" x14ac:dyDescent="0.25">
      <c r="A373" s="3">
        <v>4604614</v>
      </c>
      <c r="B373" s="28">
        <v>41830</v>
      </c>
      <c r="C373" s="3" t="s">
        <v>1278</v>
      </c>
      <c r="D373" s="3">
        <v>10004400</v>
      </c>
      <c r="E373" s="4">
        <v>4533965</v>
      </c>
      <c r="F373" s="3" t="s">
        <v>49</v>
      </c>
      <c r="G373" s="4" t="s">
        <v>1502</v>
      </c>
      <c r="H373" s="4" t="s">
        <v>1503</v>
      </c>
      <c r="I373" s="5">
        <v>316800</v>
      </c>
      <c r="J373" s="3" t="s">
        <v>1121</v>
      </c>
      <c r="K373" s="3" t="s">
        <v>77</v>
      </c>
      <c r="L373" s="3" t="s">
        <v>119</v>
      </c>
      <c r="M373" s="4" t="s">
        <v>1503</v>
      </c>
      <c r="N373" s="3" t="s">
        <v>56</v>
      </c>
      <c r="O373" s="3"/>
      <c r="Q373" s="3"/>
      <c r="R373" s="3"/>
      <c r="Y373" s="4" t="s">
        <v>405</v>
      </c>
      <c r="Z373" s="4" t="s">
        <v>1090</v>
      </c>
      <c r="AA373" s="4" t="s">
        <v>412</v>
      </c>
      <c r="AB373" s="3" t="s">
        <v>1504</v>
      </c>
      <c r="AC373" s="3" t="s">
        <v>414</v>
      </c>
      <c r="AD373" s="3" t="s">
        <v>1159</v>
      </c>
      <c r="AE373" s="3">
        <v>1000</v>
      </c>
      <c r="AI373" s="4" t="s">
        <v>408</v>
      </c>
      <c r="AJ373" s="4" t="s">
        <v>1091</v>
      </c>
      <c r="AK373" s="3"/>
      <c r="AL373" s="4">
        <v>49955</v>
      </c>
      <c r="AM373" s="5">
        <v>316800</v>
      </c>
      <c r="AN373" s="4" t="s">
        <v>124</v>
      </c>
      <c r="AO373" s="4">
        <v>99</v>
      </c>
      <c r="AP373" s="4">
        <v>81112200</v>
      </c>
    </row>
    <row r="374" spans="1:42" s="4" customFormat="1" x14ac:dyDescent="0.25">
      <c r="A374" s="3">
        <v>4604615</v>
      </c>
      <c r="B374" s="28">
        <v>41830</v>
      </c>
      <c r="C374" s="3" t="s">
        <v>1278</v>
      </c>
      <c r="D374" s="3">
        <v>10004399</v>
      </c>
      <c r="E374" s="4">
        <v>4533966</v>
      </c>
      <c r="F374" s="3" t="s">
        <v>49</v>
      </c>
      <c r="G374" s="4" t="s">
        <v>1505</v>
      </c>
      <c r="H374" s="4" t="s">
        <v>1506</v>
      </c>
      <c r="I374" s="5">
        <v>308000</v>
      </c>
      <c r="J374" s="3" t="s">
        <v>1121</v>
      </c>
      <c r="K374" s="3" t="s">
        <v>77</v>
      </c>
      <c r="L374" s="3" t="s">
        <v>119</v>
      </c>
      <c r="M374" s="4" t="s">
        <v>1506</v>
      </c>
      <c r="N374" s="3" t="s">
        <v>56</v>
      </c>
      <c r="O374" s="3"/>
      <c r="Q374" s="3"/>
      <c r="R374" s="3"/>
      <c r="Y374" s="4" t="s">
        <v>1222</v>
      </c>
      <c r="Z374" s="4" t="s">
        <v>1090</v>
      </c>
      <c r="AA374" s="4" t="s">
        <v>412</v>
      </c>
      <c r="AB374" s="3" t="s">
        <v>1507</v>
      </c>
      <c r="AC374" s="3" t="s">
        <v>414</v>
      </c>
      <c r="AD374" s="3" t="s">
        <v>1052</v>
      </c>
      <c r="AE374" s="3">
        <v>1000</v>
      </c>
      <c r="AI374" s="4" t="s">
        <v>1226</v>
      </c>
      <c r="AJ374" s="4" t="s">
        <v>1091</v>
      </c>
      <c r="AK374" s="3"/>
      <c r="AL374" s="4">
        <v>141470</v>
      </c>
      <c r="AM374" s="5">
        <v>308000</v>
      </c>
      <c r="AN374" s="4" t="s">
        <v>124</v>
      </c>
      <c r="AO374" s="4">
        <v>99</v>
      </c>
      <c r="AP374" s="4">
        <v>81112200</v>
      </c>
    </row>
    <row r="375" spans="1:42" s="4" customFormat="1" x14ac:dyDescent="0.25">
      <c r="A375" s="3">
        <v>4604616</v>
      </c>
      <c r="B375" s="28">
        <v>42093</v>
      </c>
      <c r="C375" s="3" t="s">
        <v>1278</v>
      </c>
      <c r="D375" s="3">
        <v>10004397</v>
      </c>
      <c r="E375" s="4">
        <v>4533967</v>
      </c>
      <c r="F375" s="3" t="s">
        <v>49</v>
      </c>
      <c r="G375" s="4" t="s">
        <v>1508</v>
      </c>
      <c r="H375" s="4" t="s">
        <v>1509</v>
      </c>
      <c r="I375" s="5">
        <v>270600</v>
      </c>
      <c r="J375" s="3" t="s">
        <v>1121</v>
      </c>
      <c r="K375" s="3" t="s">
        <v>77</v>
      </c>
      <c r="L375" s="3" t="s">
        <v>119</v>
      </c>
      <c r="M375" s="4" t="s">
        <v>1503</v>
      </c>
      <c r="N375" s="3" t="s">
        <v>56</v>
      </c>
      <c r="O375" s="3"/>
      <c r="Q375" s="3"/>
      <c r="R375" s="3"/>
      <c r="Y375" s="4" t="s">
        <v>1510</v>
      </c>
      <c r="Z375" s="4" t="s">
        <v>1090</v>
      </c>
      <c r="AA375" s="4" t="s">
        <v>412</v>
      </c>
      <c r="AB375" s="3" t="s">
        <v>1511</v>
      </c>
      <c r="AC375" s="3" t="s">
        <v>414</v>
      </c>
      <c r="AD375" s="3" t="s">
        <v>1136</v>
      </c>
      <c r="AE375" s="3">
        <v>1000</v>
      </c>
      <c r="AI375" s="4" t="s">
        <v>1512</v>
      </c>
      <c r="AJ375" s="4" t="s">
        <v>1091</v>
      </c>
      <c r="AK375" s="3"/>
      <c r="AL375" s="4">
        <v>140653</v>
      </c>
      <c r="AM375" s="5">
        <v>270600</v>
      </c>
      <c r="AN375" s="4" t="s">
        <v>124</v>
      </c>
      <c r="AO375" s="4">
        <v>98</v>
      </c>
      <c r="AP375" s="4">
        <v>81112200</v>
      </c>
    </row>
    <row r="376" spans="1:42" s="4" customFormat="1" x14ac:dyDescent="0.25">
      <c r="A376" s="3">
        <v>4604622</v>
      </c>
      <c r="B376" s="28">
        <v>41841</v>
      </c>
      <c r="C376" s="3" t="s">
        <v>1278</v>
      </c>
      <c r="D376" s="3">
        <v>10004404</v>
      </c>
      <c r="E376" s="4">
        <v>4533973</v>
      </c>
      <c r="F376" s="3" t="s">
        <v>49</v>
      </c>
      <c r="G376" s="4" t="s">
        <v>1519</v>
      </c>
      <c r="I376" s="5">
        <v>5032.5</v>
      </c>
      <c r="J376" s="3" t="s">
        <v>258</v>
      </c>
      <c r="K376" s="3" t="s">
        <v>829</v>
      </c>
      <c r="L376" s="3" t="s">
        <v>119</v>
      </c>
      <c r="M376" s="4" t="s">
        <v>1520</v>
      </c>
      <c r="N376" s="3" t="s">
        <v>56</v>
      </c>
      <c r="O376" s="3"/>
      <c r="Q376" s="3"/>
      <c r="R376" s="3"/>
      <c r="Y376" s="4" t="s">
        <v>1336</v>
      </c>
      <c r="Z376" s="4" t="s">
        <v>1336</v>
      </c>
      <c r="AB376" s="3"/>
      <c r="AC376" s="3"/>
      <c r="AD376" s="3" t="s">
        <v>1121</v>
      </c>
      <c r="AE376" s="3">
        <v>1000</v>
      </c>
      <c r="AI376" s="4" t="s">
        <v>1337</v>
      </c>
      <c r="AJ376" s="4" t="s">
        <v>1337</v>
      </c>
      <c r="AK376" s="3"/>
      <c r="AL376" s="4">
        <v>43189</v>
      </c>
      <c r="AM376" s="5">
        <v>5032.5</v>
      </c>
      <c r="AN376" s="4" t="s">
        <v>124</v>
      </c>
    </row>
    <row r="377" spans="1:42" s="4" customFormat="1" x14ac:dyDescent="0.25">
      <c r="A377" s="3">
        <v>4604625</v>
      </c>
      <c r="B377" s="28">
        <v>41984</v>
      </c>
      <c r="C377" s="3" t="s">
        <v>1278</v>
      </c>
      <c r="D377" s="3">
        <v>10004406</v>
      </c>
      <c r="E377" s="4">
        <v>4533976</v>
      </c>
      <c r="F377" s="3" t="s">
        <v>49</v>
      </c>
      <c r="G377" s="4" t="s">
        <v>1529</v>
      </c>
      <c r="H377" s="4" t="s">
        <v>1530</v>
      </c>
      <c r="I377" s="5">
        <v>50000</v>
      </c>
      <c r="J377" s="3" t="s">
        <v>76</v>
      </c>
      <c r="K377" s="3" t="s">
        <v>77</v>
      </c>
      <c r="L377" s="3" t="s">
        <v>119</v>
      </c>
      <c r="M377" s="4" t="s">
        <v>1530</v>
      </c>
      <c r="N377" s="3" t="s">
        <v>56</v>
      </c>
      <c r="O377" s="3"/>
      <c r="Q377" s="3"/>
      <c r="R377" s="3"/>
      <c r="Y377" s="4" t="s">
        <v>540</v>
      </c>
      <c r="Z377" s="4" t="s">
        <v>1090</v>
      </c>
      <c r="AA377" s="4" t="s">
        <v>1531</v>
      </c>
      <c r="AB377" s="3" t="s">
        <v>1531</v>
      </c>
      <c r="AC377" s="3" t="s">
        <v>1532</v>
      </c>
      <c r="AD377" s="3" t="s">
        <v>436</v>
      </c>
      <c r="AE377" s="3">
        <v>1000</v>
      </c>
      <c r="AI377" s="4" t="s">
        <v>542</v>
      </c>
      <c r="AJ377" s="4" t="s">
        <v>1091</v>
      </c>
      <c r="AK377" s="3"/>
      <c r="AL377" s="4">
        <v>49058</v>
      </c>
      <c r="AM377" s="5">
        <v>50000</v>
      </c>
      <c r="AN377" s="4" t="s">
        <v>124</v>
      </c>
      <c r="AO377" s="4">
        <v>98</v>
      </c>
      <c r="AP377" s="4">
        <v>72102200</v>
      </c>
    </row>
    <row r="378" spans="1:42" s="4" customFormat="1" x14ac:dyDescent="0.25">
      <c r="A378" s="3">
        <v>4604638</v>
      </c>
      <c r="B378" s="28">
        <v>41851</v>
      </c>
      <c r="C378" s="3" t="s">
        <v>1278</v>
      </c>
      <c r="D378" s="3">
        <v>10004425</v>
      </c>
      <c r="E378" s="4">
        <v>4533989</v>
      </c>
      <c r="F378" s="3" t="s">
        <v>49</v>
      </c>
      <c r="G378" s="4" t="s">
        <v>1053</v>
      </c>
      <c r="H378" s="4" t="s">
        <v>1294</v>
      </c>
      <c r="I378" s="5">
        <v>58231.1</v>
      </c>
      <c r="J378" s="3" t="s">
        <v>1039</v>
      </c>
      <c r="K378" s="3" t="s">
        <v>832</v>
      </c>
      <c r="L378" s="3" t="s">
        <v>119</v>
      </c>
      <c r="M378" s="4" t="s">
        <v>1553</v>
      </c>
      <c r="N378" s="3" t="s">
        <v>56</v>
      </c>
      <c r="O378" s="3"/>
      <c r="Q378" s="3"/>
      <c r="R378" s="3"/>
      <c r="Y378" s="4" t="s">
        <v>1056</v>
      </c>
      <c r="Z378" s="4" t="s">
        <v>1090</v>
      </c>
      <c r="AA378" s="4" t="s">
        <v>1057</v>
      </c>
      <c r="AB378" s="3" t="s">
        <v>1057</v>
      </c>
      <c r="AC378" s="3" t="s">
        <v>1340</v>
      </c>
      <c r="AD378" s="3" t="s">
        <v>223</v>
      </c>
      <c r="AE378" s="3">
        <v>1000</v>
      </c>
      <c r="AI378" s="4" t="s">
        <v>1058</v>
      </c>
      <c r="AJ378" s="4" t="s">
        <v>1091</v>
      </c>
      <c r="AK378" s="3"/>
      <c r="AL378" s="4">
        <v>140248</v>
      </c>
      <c r="AM378" s="5">
        <v>58231.1</v>
      </c>
      <c r="AN378" s="4" t="s">
        <v>124</v>
      </c>
      <c r="AO378" s="4">
        <v>99</v>
      </c>
      <c r="AP378" s="4">
        <v>43230000</v>
      </c>
    </row>
    <row r="379" spans="1:42" s="4" customFormat="1" x14ac:dyDescent="0.25">
      <c r="A379" s="3">
        <v>4604639</v>
      </c>
      <c r="B379" s="28">
        <v>41850</v>
      </c>
      <c r="C379" s="3" t="s">
        <v>1278</v>
      </c>
      <c r="D379" s="3">
        <v>10004427</v>
      </c>
      <c r="E379" s="4">
        <v>4533990</v>
      </c>
      <c r="F379" s="3" t="s">
        <v>49</v>
      </c>
      <c r="G379" s="4" t="s">
        <v>1555</v>
      </c>
      <c r="H379" s="4" t="s">
        <v>1556</v>
      </c>
      <c r="I379" s="5">
        <v>52800.05</v>
      </c>
      <c r="J379" s="3" t="s">
        <v>259</v>
      </c>
      <c r="K379" s="3" t="s">
        <v>997</v>
      </c>
      <c r="L379" s="3" t="s">
        <v>119</v>
      </c>
      <c r="M379" s="4" t="s">
        <v>1557</v>
      </c>
      <c r="N379" s="3" t="s">
        <v>56</v>
      </c>
      <c r="O379" s="3"/>
      <c r="Q379" s="3"/>
      <c r="R379" s="3"/>
      <c r="Y379" s="4" t="s">
        <v>1056</v>
      </c>
      <c r="Z379" s="4" t="s">
        <v>1090</v>
      </c>
      <c r="AA379" s="4" t="s">
        <v>1558</v>
      </c>
      <c r="AB379" s="3" t="s">
        <v>1559</v>
      </c>
      <c r="AC379" s="3" t="s">
        <v>1560</v>
      </c>
      <c r="AD379" s="3" t="s">
        <v>223</v>
      </c>
      <c r="AE379" s="3">
        <v>1000</v>
      </c>
      <c r="AI379" s="4" t="s">
        <v>1058</v>
      </c>
      <c r="AJ379" s="4" t="s">
        <v>1091</v>
      </c>
      <c r="AK379" s="3"/>
      <c r="AL379" s="4">
        <v>41579</v>
      </c>
      <c r="AM379" s="5">
        <v>52800.05</v>
      </c>
      <c r="AN379" s="4" t="s">
        <v>124</v>
      </c>
      <c r="AO379" s="4">
        <v>99</v>
      </c>
      <c r="AP379" s="4">
        <v>43220000</v>
      </c>
    </row>
    <row r="380" spans="1:42" s="4" customFormat="1" x14ac:dyDescent="0.25">
      <c r="A380" s="3">
        <v>4604656</v>
      </c>
      <c r="B380" s="28">
        <v>41859</v>
      </c>
      <c r="C380" s="3" t="s">
        <v>1278</v>
      </c>
      <c r="D380" s="3">
        <v>10004451</v>
      </c>
      <c r="E380" s="4">
        <v>4534007</v>
      </c>
      <c r="F380" s="3" t="s">
        <v>49</v>
      </c>
      <c r="G380" s="4" t="s">
        <v>174</v>
      </c>
      <c r="H380" s="4" t="s">
        <v>1548</v>
      </c>
      <c r="I380" s="5">
        <v>11550.07</v>
      </c>
      <c r="J380" s="3" t="s">
        <v>1194</v>
      </c>
      <c r="K380" s="3" t="s">
        <v>77</v>
      </c>
      <c r="L380" s="3" t="s">
        <v>119</v>
      </c>
      <c r="M380" s="4" t="s">
        <v>1548</v>
      </c>
      <c r="N380" s="3" t="s">
        <v>56</v>
      </c>
      <c r="O380" s="3"/>
      <c r="Q380" s="3"/>
      <c r="R380" s="3"/>
      <c r="Y380" s="4" t="s">
        <v>178</v>
      </c>
      <c r="Z380" s="4" t="s">
        <v>179</v>
      </c>
      <c r="AA380" s="4" t="s">
        <v>188</v>
      </c>
      <c r="AB380" s="3" t="s">
        <v>401</v>
      </c>
      <c r="AC380" s="3" t="s">
        <v>190</v>
      </c>
      <c r="AD380" s="3" t="s">
        <v>324</v>
      </c>
      <c r="AE380" s="3">
        <v>1000</v>
      </c>
      <c r="AI380" s="4" t="s">
        <v>181</v>
      </c>
      <c r="AJ380" s="4" t="s">
        <v>182</v>
      </c>
      <c r="AK380" s="3"/>
      <c r="AL380" s="4">
        <v>40476</v>
      </c>
      <c r="AM380" s="5">
        <v>11550.07</v>
      </c>
      <c r="AN380" s="4" t="s">
        <v>124</v>
      </c>
      <c r="AO380" s="4">
        <v>99</v>
      </c>
      <c r="AP380" s="4">
        <v>80111600</v>
      </c>
    </row>
    <row r="381" spans="1:42" s="4" customFormat="1" x14ac:dyDescent="0.25">
      <c r="A381" s="3">
        <v>4604657</v>
      </c>
      <c r="B381" s="28">
        <v>41859</v>
      </c>
      <c r="C381" s="3" t="s">
        <v>1278</v>
      </c>
      <c r="D381" s="3">
        <v>10004452</v>
      </c>
      <c r="E381" s="4">
        <v>4534008</v>
      </c>
      <c r="F381" s="3" t="s">
        <v>49</v>
      </c>
      <c r="G381" s="4" t="s">
        <v>318</v>
      </c>
      <c r="H381" s="4" t="s">
        <v>1581</v>
      </c>
      <c r="I381" s="5">
        <v>70000</v>
      </c>
      <c r="J381" s="3" t="s">
        <v>1194</v>
      </c>
      <c r="K381" s="3" t="s">
        <v>829</v>
      </c>
      <c r="L381" s="3" t="s">
        <v>119</v>
      </c>
      <c r="M381" s="4" t="s">
        <v>1581</v>
      </c>
      <c r="N381" s="3" t="s">
        <v>56</v>
      </c>
      <c r="O381" s="3"/>
      <c r="Q381" s="3"/>
      <c r="R381" s="3"/>
      <c r="Y381" s="4" t="s">
        <v>179</v>
      </c>
      <c r="Z381" s="4" t="s">
        <v>179</v>
      </c>
      <c r="AA381" s="4" t="s">
        <v>188</v>
      </c>
      <c r="AB381" s="3" t="s">
        <v>1320</v>
      </c>
      <c r="AC381" s="3" t="s">
        <v>190</v>
      </c>
      <c r="AD381" s="3" t="s">
        <v>768</v>
      </c>
      <c r="AE381" s="3">
        <v>1000</v>
      </c>
      <c r="AI381" s="4" t="s">
        <v>182</v>
      </c>
      <c r="AJ381" s="4" t="s">
        <v>182</v>
      </c>
      <c r="AK381" s="3"/>
      <c r="AL381" s="4">
        <v>141551</v>
      </c>
      <c r="AM381" s="5">
        <v>70000</v>
      </c>
      <c r="AN381" s="4" t="s">
        <v>124</v>
      </c>
      <c r="AO381" s="4">
        <v>99</v>
      </c>
      <c r="AP381" s="4">
        <v>80111600</v>
      </c>
    </row>
    <row r="382" spans="1:42" s="4" customFormat="1" x14ac:dyDescent="0.25">
      <c r="A382" s="3">
        <v>4604659</v>
      </c>
      <c r="B382" s="28">
        <v>41862</v>
      </c>
      <c r="C382" s="3" t="s">
        <v>1278</v>
      </c>
      <c r="D382" s="3">
        <v>10004454</v>
      </c>
      <c r="E382" s="4">
        <v>4534010</v>
      </c>
      <c r="F382" s="3" t="s">
        <v>49</v>
      </c>
      <c r="G382" s="4" t="s">
        <v>174</v>
      </c>
      <c r="H382" s="4" t="s">
        <v>1548</v>
      </c>
      <c r="I382" s="5">
        <v>11367.36</v>
      </c>
      <c r="J382" s="3" t="s">
        <v>1169</v>
      </c>
      <c r="K382" s="3" t="s">
        <v>77</v>
      </c>
      <c r="L382" s="3" t="s">
        <v>119</v>
      </c>
      <c r="M382" s="4" t="s">
        <v>1548</v>
      </c>
      <c r="N382" s="3" t="s">
        <v>56</v>
      </c>
      <c r="O382" s="3"/>
      <c r="Q382" s="3"/>
      <c r="R382" s="3"/>
      <c r="Y382" s="4" t="s">
        <v>178</v>
      </c>
      <c r="Z382" s="4" t="s">
        <v>179</v>
      </c>
      <c r="AA382" s="4" t="s">
        <v>188</v>
      </c>
      <c r="AB382" s="3" t="s">
        <v>401</v>
      </c>
      <c r="AC382" s="3" t="s">
        <v>190</v>
      </c>
      <c r="AD382" s="3" t="s">
        <v>324</v>
      </c>
      <c r="AE382" s="3">
        <v>1000</v>
      </c>
      <c r="AI382" s="4" t="s">
        <v>181</v>
      </c>
      <c r="AJ382" s="4" t="s">
        <v>182</v>
      </c>
      <c r="AK382" s="3"/>
      <c r="AL382" s="4">
        <v>40476</v>
      </c>
      <c r="AM382" s="5">
        <v>11367.36</v>
      </c>
      <c r="AN382" s="4" t="s">
        <v>124</v>
      </c>
      <c r="AO382" s="4">
        <v>99</v>
      </c>
      <c r="AP382" s="4">
        <v>80111600</v>
      </c>
    </row>
    <row r="383" spans="1:42" s="4" customFormat="1" x14ac:dyDescent="0.25">
      <c r="A383" s="3">
        <v>4604660</v>
      </c>
      <c r="B383" s="28">
        <v>41892</v>
      </c>
      <c r="C383" s="3" t="s">
        <v>1278</v>
      </c>
      <c r="D383" s="3">
        <v>10004456</v>
      </c>
      <c r="E383" s="4">
        <v>4534011</v>
      </c>
      <c r="F383" s="3" t="s">
        <v>49</v>
      </c>
      <c r="G383" s="4" t="s">
        <v>1588</v>
      </c>
      <c r="I383" s="5">
        <v>1908.11</v>
      </c>
      <c r="J383" s="3" t="s">
        <v>768</v>
      </c>
      <c r="K383" s="3" t="s">
        <v>272</v>
      </c>
      <c r="L383" s="3" t="s">
        <v>119</v>
      </c>
      <c r="M383" s="4" t="s">
        <v>1589</v>
      </c>
      <c r="N383" s="3" t="s">
        <v>56</v>
      </c>
      <c r="O383" s="3"/>
      <c r="Q383" s="3"/>
      <c r="R383" s="3"/>
      <c r="Y383" s="4" t="s">
        <v>178</v>
      </c>
      <c r="Z383" s="4" t="s">
        <v>179</v>
      </c>
      <c r="AB383" s="3"/>
      <c r="AC383" s="3"/>
      <c r="AD383" s="3" t="s">
        <v>1498</v>
      </c>
      <c r="AE383" s="3">
        <v>1000</v>
      </c>
      <c r="AI383" s="4" t="s">
        <v>181</v>
      </c>
      <c r="AJ383" s="4" t="s">
        <v>182</v>
      </c>
      <c r="AK383" s="3"/>
      <c r="AL383" s="4">
        <v>41005</v>
      </c>
      <c r="AM383" s="5">
        <v>1908.11</v>
      </c>
      <c r="AN383" s="4" t="s">
        <v>124</v>
      </c>
    </row>
    <row r="384" spans="1:42" s="4" customFormat="1" x14ac:dyDescent="0.25">
      <c r="A384" s="3">
        <v>4604663</v>
      </c>
      <c r="B384" s="28">
        <v>41863</v>
      </c>
      <c r="C384" s="3" t="s">
        <v>1278</v>
      </c>
      <c r="D384" s="3">
        <v>10004411</v>
      </c>
      <c r="E384" s="4">
        <v>4534014</v>
      </c>
      <c r="F384" s="3" t="s">
        <v>49</v>
      </c>
      <c r="G384" s="4" t="s">
        <v>1053</v>
      </c>
      <c r="H384" s="4" t="s">
        <v>1590</v>
      </c>
      <c r="I384" s="5">
        <v>35860</v>
      </c>
      <c r="J384" s="3" t="s">
        <v>1591</v>
      </c>
      <c r="K384" s="3" t="s">
        <v>807</v>
      </c>
      <c r="L384" s="3" t="s">
        <v>119</v>
      </c>
      <c r="M384" s="4" t="s">
        <v>1592</v>
      </c>
      <c r="N384" s="3" t="s">
        <v>56</v>
      </c>
      <c r="O384" s="3"/>
      <c r="Q384" s="3"/>
      <c r="R384" s="3"/>
      <c r="Y384" s="4" t="s">
        <v>1056</v>
      </c>
      <c r="Z384" s="4" t="s">
        <v>1090</v>
      </c>
      <c r="AA384" s="4" t="s">
        <v>1057</v>
      </c>
      <c r="AB384" s="3" t="s">
        <v>1057</v>
      </c>
      <c r="AC384" s="3" t="s">
        <v>1340</v>
      </c>
      <c r="AD384" s="3" t="s">
        <v>1593</v>
      </c>
      <c r="AE384" s="3">
        <v>1000</v>
      </c>
      <c r="AI384" s="4" t="s">
        <v>1058</v>
      </c>
      <c r="AJ384" s="4" t="s">
        <v>1091</v>
      </c>
      <c r="AK384" s="3"/>
      <c r="AL384" s="4">
        <v>140248</v>
      </c>
      <c r="AM384" s="5">
        <v>35860</v>
      </c>
      <c r="AN384" s="4" t="s">
        <v>124</v>
      </c>
      <c r="AO384" s="4">
        <v>99</v>
      </c>
      <c r="AP384" s="4">
        <v>43222500</v>
      </c>
    </row>
    <row r="385" spans="1:42" s="4" customFormat="1" x14ac:dyDescent="0.25">
      <c r="A385" s="3">
        <v>4604667</v>
      </c>
      <c r="B385" s="28">
        <v>41866</v>
      </c>
      <c r="C385" s="3" t="s">
        <v>1278</v>
      </c>
      <c r="D385" s="3">
        <v>10004455</v>
      </c>
      <c r="E385" s="4">
        <v>4534018</v>
      </c>
      <c r="F385" s="3" t="s">
        <v>49</v>
      </c>
      <c r="G385" s="4" t="s">
        <v>1053</v>
      </c>
      <c r="H385" s="4" t="s">
        <v>1597</v>
      </c>
      <c r="I385" s="5">
        <v>34366.639999999999</v>
      </c>
      <c r="J385" s="3" t="s">
        <v>187</v>
      </c>
      <c r="K385" s="3" t="s">
        <v>832</v>
      </c>
      <c r="L385" s="3" t="s">
        <v>119</v>
      </c>
      <c r="M385" s="4" t="s">
        <v>1598</v>
      </c>
      <c r="N385" s="3" t="s">
        <v>56</v>
      </c>
      <c r="O385" s="3"/>
      <c r="Q385" s="3"/>
      <c r="R385" s="3"/>
      <c r="Y385" s="4" t="s">
        <v>1056</v>
      </c>
      <c r="Z385" s="4" t="s">
        <v>1090</v>
      </c>
      <c r="AA385" s="4" t="s">
        <v>1057</v>
      </c>
      <c r="AB385" s="3" t="s">
        <v>1057</v>
      </c>
      <c r="AC385" s="3" t="s">
        <v>1340</v>
      </c>
      <c r="AD385" s="3" t="s">
        <v>183</v>
      </c>
      <c r="AE385" s="3">
        <v>1000</v>
      </c>
      <c r="AI385" s="4" t="s">
        <v>1058</v>
      </c>
      <c r="AJ385" s="4" t="s">
        <v>1091</v>
      </c>
      <c r="AK385" s="3"/>
      <c r="AL385" s="4">
        <v>140248</v>
      </c>
      <c r="AM385" s="5">
        <v>34366.639999999999</v>
      </c>
      <c r="AN385" s="4" t="s">
        <v>124</v>
      </c>
      <c r="AO385" s="4">
        <v>99</v>
      </c>
      <c r="AP385" s="4">
        <v>43210000</v>
      </c>
    </row>
    <row r="386" spans="1:42" s="4" customFormat="1" x14ac:dyDescent="0.25">
      <c r="A386" s="3">
        <v>4604675</v>
      </c>
      <c r="B386" s="28">
        <v>41873</v>
      </c>
      <c r="C386" s="3" t="s">
        <v>1278</v>
      </c>
      <c r="D386" s="3">
        <v>10004472</v>
      </c>
      <c r="E386" s="4">
        <v>4534026</v>
      </c>
      <c r="F386" s="3" t="s">
        <v>49</v>
      </c>
      <c r="G386" s="4" t="s">
        <v>1609</v>
      </c>
      <c r="I386" s="5">
        <v>9900</v>
      </c>
      <c r="J386" s="3" t="s">
        <v>1425</v>
      </c>
      <c r="K386" s="3" t="s">
        <v>77</v>
      </c>
      <c r="L386" s="3" t="s">
        <v>119</v>
      </c>
      <c r="M386" s="4" t="s">
        <v>1610</v>
      </c>
      <c r="N386" s="3" t="s">
        <v>56</v>
      </c>
      <c r="O386" s="3"/>
      <c r="Q386" s="3"/>
      <c r="R386" s="3"/>
      <c r="Y386" s="4" t="s">
        <v>1222</v>
      </c>
      <c r="Z386" s="4" t="s">
        <v>1090</v>
      </c>
      <c r="AB386" s="3"/>
      <c r="AC386" s="3"/>
      <c r="AD386" s="3" t="s">
        <v>1608</v>
      </c>
      <c r="AE386" s="3">
        <v>1000</v>
      </c>
      <c r="AI386" s="4" t="s">
        <v>1226</v>
      </c>
      <c r="AJ386" s="4" t="s">
        <v>1091</v>
      </c>
      <c r="AK386" s="3"/>
      <c r="AL386" s="4">
        <v>48014</v>
      </c>
      <c r="AM386" s="5">
        <v>9900</v>
      </c>
      <c r="AN386" s="4" t="s">
        <v>124</v>
      </c>
    </row>
    <row r="387" spans="1:42" s="4" customFormat="1" x14ac:dyDescent="0.25">
      <c r="A387" s="3">
        <v>4604683</v>
      </c>
      <c r="B387" s="28">
        <v>41887</v>
      </c>
      <c r="C387" s="3" t="s">
        <v>1278</v>
      </c>
      <c r="D387" s="3">
        <v>10004480</v>
      </c>
      <c r="E387" s="4">
        <v>4534034</v>
      </c>
      <c r="F387" s="3" t="s">
        <v>49</v>
      </c>
      <c r="G387" s="4" t="s">
        <v>1508</v>
      </c>
      <c r="H387" s="4" t="s">
        <v>1620</v>
      </c>
      <c r="I387" s="5">
        <v>237600</v>
      </c>
      <c r="J387" s="3" t="s">
        <v>1621</v>
      </c>
      <c r="K387" s="3" t="s">
        <v>377</v>
      </c>
      <c r="L387" s="3" t="s">
        <v>119</v>
      </c>
      <c r="M387" s="4" t="s">
        <v>1622</v>
      </c>
      <c r="N387" s="3" t="s">
        <v>56</v>
      </c>
      <c r="O387" s="3"/>
      <c r="Q387" s="3"/>
      <c r="R387" s="3"/>
      <c r="Y387" s="4" t="s">
        <v>1056</v>
      </c>
      <c r="Z387" s="4" t="s">
        <v>1056</v>
      </c>
      <c r="AA387" s="4" t="s">
        <v>412</v>
      </c>
      <c r="AB387" s="3" t="s">
        <v>1511</v>
      </c>
      <c r="AC387" s="3" t="s">
        <v>414</v>
      </c>
      <c r="AD387" s="3" t="s">
        <v>1623</v>
      </c>
      <c r="AE387" s="3">
        <v>1000</v>
      </c>
      <c r="AI387" s="4" t="s">
        <v>1058</v>
      </c>
      <c r="AJ387" s="4" t="s">
        <v>1058</v>
      </c>
      <c r="AK387" s="3"/>
      <c r="AL387" s="4">
        <v>140653</v>
      </c>
      <c r="AM387" s="5">
        <v>237600</v>
      </c>
      <c r="AN387" s="4" t="s">
        <v>124</v>
      </c>
      <c r="AO387" s="4">
        <v>99</v>
      </c>
      <c r="AP387" s="4">
        <v>81111800</v>
      </c>
    </row>
    <row r="388" spans="1:42" s="4" customFormat="1" x14ac:dyDescent="0.25">
      <c r="A388" s="3">
        <v>4604684</v>
      </c>
      <c r="B388" s="28">
        <v>41886</v>
      </c>
      <c r="C388" s="3" t="s">
        <v>1278</v>
      </c>
      <c r="D388" s="3">
        <v>10004481</v>
      </c>
      <c r="E388" s="4">
        <v>4534035</v>
      </c>
      <c r="F388" s="3" t="s">
        <v>49</v>
      </c>
      <c r="G388" s="4" t="s">
        <v>1053</v>
      </c>
      <c r="I388" s="5">
        <v>8580.73</v>
      </c>
      <c r="J388" s="3" t="s">
        <v>1613</v>
      </c>
      <c r="K388" s="3" t="s">
        <v>395</v>
      </c>
      <c r="L388" s="3" t="s">
        <v>119</v>
      </c>
      <c r="M388" s="4" t="s">
        <v>1624</v>
      </c>
      <c r="N388" s="3" t="s">
        <v>56</v>
      </c>
      <c r="O388" s="3"/>
      <c r="Q388" s="3"/>
      <c r="R388" s="3"/>
      <c r="Y388" s="4" t="s">
        <v>1056</v>
      </c>
      <c r="Z388" s="4" t="s">
        <v>1056</v>
      </c>
      <c r="AB388" s="3"/>
      <c r="AC388" s="3"/>
      <c r="AD388" s="3" t="s">
        <v>1625</v>
      </c>
      <c r="AE388" s="3">
        <v>1000</v>
      </c>
      <c r="AI388" s="4" t="s">
        <v>1058</v>
      </c>
      <c r="AJ388" s="4" t="s">
        <v>1058</v>
      </c>
      <c r="AK388" s="3"/>
      <c r="AL388" s="4">
        <v>140248</v>
      </c>
      <c r="AM388" s="5">
        <v>8580.73</v>
      </c>
      <c r="AN388" s="4" t="s">
        <v>124</v>
      </c>
    </row>
    <row r="389" spans="1:42" s="4" customFormat="1" x14ac:dyDescent="0.25">
      <c r="A389" s="3">
        <v>4604685</v>
      </c>
      <c r="B389" s="28">
        <v>41885</v>
      </c>
      <c r="C389" s="3" t="s">
        <v>1278</v>
      </c>
      <c r="D389" s="3">
        <v>10004483</v>
      </c>
      <c r="E389" s="4">
        <v>4534036</v>
      </c>
      <c r="F389" s="3" t="s">
        <v>49</v>
      </c>
      <c r="G389" s="4" t="s">
        <v>318</v>
      </c>
      <c r="H389" s="4" t="s">
        <v>1626</v>
      </c>
      <c r="I389" s="5">
        <v>19850.57</v>
      </c>
      <c r="J389" s="3" t="s">
        <v>1625</v>
      </c>
      <c r="K389" s="3" t="s">
        <v>1627</v>
      </c>
      <c r="L389" s="3" t="s">
        <v>119</v>
      </c>
      <c r="M389" s="4" t="s">
        <v>1626</v>
      </c>
      <c r="N389" s="3" t="s">
        <v>56</v>
      </c>
      <c r="O389" s="3"/>
      <c r="Q389" s="3"/>
      <c r="R389" s="3"/>
      <c r="Y389" s="4" t="s">
        <v>178</v>
      </c>
      <c r="Z389" s="4" t="s">
        <v>178</v>
      </c>
      <c r="AA389" s="4" t="s">
        <v>188</v>
      </c>
      <c r="AB389" s="3" t="s">
        <v>1320</v>
      </c>
      <c r="AC389" s="3" t="s">
        <v>190</v>
      </c>
      <c r="AD389" s="3" t="s">
        <v>385</v>
      </c>
      <c r="AE389" s="3">
        <v>1000</v>
      </c>
      <c r="AI389" s="4" t="s">
        <v>181</v>
      </c>
      <c r="AJ389" s="4" t="s">
        <v>181</v>
      </c>
      <c r="AK389" s="3"/>
      <c r="AL389" s="4">
        <v>141551</v>
      </c>
      <c r="AM389" s="5">
        <v>19850.57</v>
      </c>
      <c r="AN389" s="4" t="s">
        <v>124</v>
      </c>
      <c r="AO389" s="4">
        <v>99</v>
      </c>
      <c r="AP389" s="4">
        <v>80111600</v>
      </c>
    </row>
    <row r="390" spans="1:42" s="4" customFormat="1" x14ac:dyDescent="0.25">
      <c r="A390" s="3">
        <v>4604689</v>
      </c>
      <c r="B390" s="28">
        <v>41886</v>
      </c>
      <c r="C390" s="3" t="s">
        <v>1278</v>
      </c>
      <c r="D390" s="3">
        <v>10004486</v>
      </c>
      <c r="E390" s="4">
        <v>4534040</v>
      </c>
      <c r="F390" s="3" t="s">
        <v>49</v>
      </c>
      <c r="G390" s="4" t="s">
        <v>1588</v>
      </c>
      <c r="H390" s="4" t="s">
        <v>1636</v>
      </c>
      <c r="I390" s="5">
        <v>9343.65</v>
      </c>
      <c r="J390" s="3" t="s">
        <v>1623</v>
      </c>
      <c r="K390" s="3" t="s">
        <v>272</v>
      </c>
      <c r="L390" s="3" t="s">
        <v>119</v>
      </c>
      <c r="M390" s="4" t="s">
        <v>1636</v>
      </c>
      <c r="N390" s="3" t="s">
        <v>56</v>
      </c>
      <c r="O390" s="3"/>
      <c r="Q390" s="3"/>
      <c r="R390" s="3"/>
      <c r="Y390" s="4" t="s">
        <v>178</v>
      </c>
      <c r="Z390" s="4" t="s">
        <v>178</v>
      </c>
      <c r="AA390" s="4" t="s">
        <v>188</v>
      </c>
      <c r="AB390" s="3" t="s">
        <v>1637</v>
      </c>
      <c r="AC390" s="3" t="s">
        <v>190</v>
      </c>
      <c r="AD390" s="3" t="s">
        <v>77</v>
      </c>
      <c r="AE390" s="3">
        <v>1000</v>
      </c>
      <c r="AI390" s="4" t="s">
        <v>181</v>
      </c>
      <c r="AJ390" s="4" t="s">
        <v>181</v>
      </c>
      <c r="AK390" s="3"/>
      <c r="AL390" s="4">
        <v>41005</v>
      </c>
      <c r="AM390" s="5">
        <v>9343.65</v>
      </c>
      <c r="AN390" s="4" t="s">
        <v>124</v>
      </c>
      <c r="AO390" s="4">
        <v>99</v>
      </c>
      <c r="AP390" s="4">
        <v>80111600</v>
      </c>
    </row>
    <row r="391" spans="1:42" s="4" customFormat="1" x14ac:dyDescent="0.25">
      <c r="A391" s="3">
        <v>4604695</v>
      </c>
      <c r="B391" s="28">
        <v>42185</v>
      </c>
      <c r="C391" s="3" t="s">
        <v>1278</v>
      </c>
      <c r="D391" s="3">
        <v>10004487</v>
      </c>
      <c r="E391" s="4">
        <v>4534046</v>
      </c>
      <c r="F391" s="3" t="s">
        <v>49</v>
      </c>
      <c r="G391" s="4" t="s">
        <v>1454</v>
      </c>
      <c r="H391" s="4" t="s">
        <v>1644</v>
      </c>
      <c r="I391" s="5">
        <v>30000</v>
      </c>
      <c r="J391" s="3" t="s">
        <v>786</v>
      </c>
      <c r="K391" s="3" t="s">
        <v>395</v>
      </c>
      <c r="L391" s="3" t="s">
        <v>119</v>
      </c>
      <c r="M391" s="4" t="s">
        <v>1644</v>
      </c>
      <c r="N391" s="3" t="s">
        <v>25</v>
      </c>
      <c r="O391" s="3"/>
      <c r="Q391" s="3"/>
      <c r="R391" s="3"/>
      <c r="Y391" s="4" t="s">
        <v>1141</v>
      </c>
      <c r="Z391" s="4" t="s">
        <v>1141</v>
      </c>
      <c r="AA391" s="4" t="s">
        <v>1645</v>
      </c>
      <c r="AB391" s="3"/>
      <c r="AC391" s="3"/>
      <c r="AD391" s="3" t="s">
        <v>77</v>
      </c>
      <c r="AE391" s="3">
        <v>1000</v>
      </c>
      <c r="AI391" s="4" t="s">
        <v>1144</v>
      </c>
      <c r="AJ391" s="4" t="s">
        <v>1144</v>
      </c>
      <c r="AK391" s="3"/>
      <c r="AL391" s="4">
        <v>141769</v>
      </c>
      <c r="AM391" s="5">
        <v>30000</v>
      </c>
      <c r="AN391" s="4" t="s">
        <v>124</v>
      </c>
      <c r="AO391" s="4">
        <v>99</v>
      </c>
      <c r="AP391" s="4">
        <v>72101500</v>
      </c>
    </row>
    <row r="392" spans="1:42" s="4" customFormat="1" x14ac:dyDescent="0.25">
      <c r="A392" s="3">
        <v>4604696</v>
      </c>
      <c r="B392" s="28">
        <v>42185</v>
      </c>
      <c r="C392" s="3" t="s">
        <v>1278</v>
      </c>
      <c r="D392" s="3">
        <v>10004485</v>
      </c>
      <c r="E392" s="4">
        <v>4534047</v>
      </c>
      <c r="F392" s="3" t="s">
        <v>49</v>
      </c>
      <c r="G392" s="4" t="s">
        <v>1454</v>
      </c>
      <c r="H392" s="4" t="s">
        <v>1646</v>
      </c>
      <c r="I392" s="5">
        <v>33896.120000000003</v>
      </c>
      <c r="J392" s="3" t="s">
        <v>745</v>
      </c>
      <c r="K392" s="3" t="s">
        <v>395</v>
      </c>
      <c r="L392" s="3" t="s">
        <v>119</v>
      </c>
      <c r="M392" s="4" t="s">
        <v>1646</v>
      </c>
      <c r="N392" s="3" t="s">
        <v>25</v>
      </c>
      <c r="O392" s="3"/>
      <c r="Q392" s="3"/>
      <c r="R392" s="3"/>
      <c r="Y392" s="4" t="s">
        <v>1141</v>
      </c>
      <c r="Z392" s="4" t="s">
        <v>1141</v>
      </c>
      <c r="AA392" s="4" t="s">
        <v>1647</v>
      </c>
      <c r="AB392" s="3"/>
      <c r="AC392" s="3"/>
      <c r="AD392" s="3" t="s">
        <v>77</v>
      </c>
      <c r="AE392" s="3">
        <v>1000</v>
      </c>
      <c r="AI392" s="4" t="s">
        <v>1144</v>
      </c>
      <c r="AJ392" s="4" t="s">
        <v>1144</v>
      </c>
      <c r="AK392" s="3"/>
      <c r="AL392" s="4">
        <v>141769</v>
      </c>
      <c r="AM392" s="5">
        <v>33896.120000000003</v>
      </c>
      <c r="AN392" s="4" t="s">
        <v>124</v>
      </c>
      <c r="AO392" s="4">
        <v>98</v>
      </c>
      <c r="AP392" s="4">
        <v>72101500</v>
      </c>
    </row>
    <row r="393" spans="1:42" s="4" customFormat="1" x14ac:dyDescent="0.25">
      <c r="A393" s="3">
        <v>4604701</v>
      </c>
      <c r="B393" s="28">
        <v>41894</v>
      </c>
      <c r="C393" s="3" t="s">
        <v>1278</v>
      </c>
      <c r="D393" s="3">
        <v>10004500</v>
      </c>
      <c r="E393" s="4">
        <v>4534052</v>
      </c>
      <c r="F393" s="3" t="s">
        <v>49</v>
      </c>
      <c r="G393" s="4" t="s">
        <v>1588</v>
      </c>
      <c r="H393" s="4" t="s">
        <v>1648</v>
      </c>
      <c r="I393" s="5">
        <v>128566.9</v>
      </c>
      <c r="J393" s="3" t="s">
        <v>1649</v>
      </c>
      <c r="K393" s="3" t="s">
        <v>575</v>
      </c>
      <c r="L393" s="3" t="s">
        <v>119</v>
      </c>
      <c r="M393" s="4" t="s">
        <v>1648</v>
      </c>
      <c r="N393" s="3" t="s">
        <v>56</v>
      </c>
      <c r="O393" s="3"/>
      <c r="Q393" s="3"/>
      <c r="R393" s="3"/>
      <c r="Y393" s="4" t="s">
        <v>178</v>
      </c>
      <c r="Z393" s="4" t="s">
        <v>178</v>
      </c>
      <c r="AA393" s="4" t="s">
        <v>188</v>
      </c>
      <c r="AB393" s="3" t="s">
        <v>1637</v>
      </c>
      <c r="AC393" s="3" t="s">
        <v>190</v>
      </c>
      <c r="AD393" s="3" t="s">
        <v>369</v>
      </c>
      <c r="AE393" s="3">
        <v>1000</v>
      </c>
      <c r="AI393" s="4" t="s">
        <v>181</v>
      </c>
      <c r="AJ393" s="4" t="s">
        <v>181</v>
      </c>
      <c r="AK393" s="3"/>
      <c r="AL393" s="4">
        <v>41005</v>
      </c>
      <c r="AM393" s="5">
        <v>128566.9</v>
      </c>
      <c r="AN393" s="4" t="s">
        <v>124</v>
      </c>
      <c r="AO393" s="4">
        <v>97</v>
      </c>
      <c r="AP393" s="4">
        <v>80111600</v>
      </c>
    </row>
    <row r="394" spans="1:42" s="4" customFormat="1" x14ac:dyDescent="0.25">
      <c r="A394" s="3">
        <v>4604707</v>
      </c>
      <c r="B394" s="28">
        <v>41904</v>
      </c>
      <c r="C394" s="3" t="s">
        <v>1278</v>
      </c>
      <c r="D394" s="3">
        <v>10004505</v>
      </c>
      <c r="E394" s="4">
        <v>4534058</v>
      </c>
      <c r="F394" s="3" t="s">
        <v>49</v>
      </c>
      <c r="G394" s="4" t="s">
        <v>174</v>
      </c>
      <c r="I394" s="5">
        <v>4400</v>
      </c>
      <c r="J394" s="3" t="s">
        <v>1650</v>
      </c>
      <c r="K394" s="3" t="s">
        <v>77</v>
      </c>
      <c r="L394" s="3" t="s">
        <v>119</v>
      </c>
      <c r="M394" s="4" t="s">
        <v>1651</v>
      </c>
      <c r="N394" s="3" t="s">
        <v>56</v>
      </c>
      <c r="O394" s="3"/>
      <c r="Q394" s="3"/>
      <c r="R394" s="3"/>
      <c r="Y394" s="4" t="s">
        <v>178</v>
      </c>
      <c r="Z394" s="4" t="s">
        <v>178</v>
      </c>
      <c r="AB394" s="3"/>
      <c r="AC394" s="3"/>
      <c r="AD394" s="3" t="s">
        <v>469</v>
      </c>
      <c r="AE394" s="3">
        <v>1000</v>
      </c>
      <c r="AI394" s="4" t="s">
        <v>181</v>
      </c>
      <c r="AJ394" s="4" t="s">
        <v>181</v>
      </c>
      <c r="AK394" s="3"/>
      <c r="AL394" s="4">
        <v>40476</v>
      </c>
      <c r="AM394" s="5">
        <v>4400</v>
      </c>
      <c r="AN394" s="4" t="s">
        <v>124</v>
      </c>
    </row>
    <row r="395" spans="1:42" s="4" customFormat="1" x14ac:dyDescent="0.25">
      <c r="A395" s="3">
        <v>4604714</v>
      </c>
      <c r="B395" s="28">
        <v>41907</v>
      </c>
      <c r="C395" s="3" t="s">
        <v>1278</v>
      </c>
      <c r="D395" s="3">
        <v>10004504</v>
      </c>
      <c r="E395" s="4">
        <v>4534065</v>
      </c>
      <c r="F395" s="3" t="s">
        <v>49</v>
      </c>
      <c r="G395" s="4" t="s">
        <v>1502</v>
      </c>
      <c r="H395" s="4" t="s">
        <v>1652</v>
      </c>
      <c r="I395" s="5">
        <v>171600</v>
      </c>
      <c r="J395" s="3" t="s">
        <v>795</v>
      </c>
      <c r="K395" s="3" t="s">
        <v>901</v>
      </c>
      <c r="L395" s="3" t="s">
        <v>119</v>
      </c>
      <c r="M395" s="4" t="s">
        <v>1652</v>
      </c>
      <c r="N395" s="3" t="s">
        <v>56</v>
      </c>
      <c r="O395" s="3"/>
      <c r="Q395" s="3"/>
      <c r="R395" s="3"/>
      <c r="Y395" s="4" t="s">
        <v>1653</v>
      </c>
      <c r="Z395" s="4" t="s">
        <v>1654</v>
      </c>
      <c r="AA395" s="4" t="s">
        <v>412</v>
      </c>
      <c r="AB395" s="3" t="s">
        <v>1504</v>
      </c>
      <c r="AC395" s="3" t="s">
        <v>414</v>
      </c>
      <c r="AD395" s="3" t="s">
        <v>792</v>
      </c>
      <c r="AE395" s="3">
        <v>1000</v>
      </c>
      <c r="AI395" s="4" t="s">
        <v>1655</v>
      </c>
      <c r="AJ395" s="4" t="s">
        <v>1656</v>
      </c>
      <c r="AK395" s="3"/>
      <c r="AL395" s="4">
        <v>49955</v>
      </c>
      <c r="AM395" s="5">
        <v>171600</v>
      </c>
      <c r="AN395" s="4" t="s">
        <v>124</v>
      </c>
      <c r="AO395" s="4">
        <v>99</v>
      </c>
      <c r="AP395" s="4">
        <v>81112200</v>
      </c>
    </row>
    <row r="396" spans="1:42" s="4" customFormat="1" x14ac:dyDescent="0.25">
      <c r="A396" s="3">
        <v>4604718</v>
      </c>
      <c r="B396" s="28">
        <v>41912</v>
      </c>
      <c r="C396" s="3" t="s">
        <v>1278</v>
      </c>
      <c r="D396" s="3">
        <v>10004518</v>
      </c>
      <c r="E396" s="4">
        <v>4534069</v>
      </c>
      <c r="F396" s="3" t="s">
        <v>49</v>
      </c>
      <c r="G396" s="4" t="s">
        <v>1588</v>
      </c>
      <c r="I396" s="5">
        <v>3461.7</v>
      </c>
      <c r="J396" s="3" t="s">
        <v>832</v>
      </c>
      <c r="K396" s="3" t="s">
        <v>321</v>
      </c>
      <c r="L396" s="3" t="s">
        <v>119</v>
      </c>
      <c r="M396" s="4" t="s">
        <v>1660</v>
      </c>
      <c r="N396" s="3" t="s">
        <v>56</v>
      </c>
      <c r="O396" s="3"/>
      <c r="Q396" s="3"/>
      <c r="R396" s="3"/>
      <c r="Y396" s="4" t="s">
        <v>178</v>
      </c>
      <c r="Z396" s="4" t="s">
        <v>178</v>
      </c>
      <c r="AB396" s="3"/>
      <c r="AC396" s="3"/>
      <c r="AD396" s="3" t="s">
        <v>304</v>
      </c>
      <c r="AE396" s="3">
        <v>1000</v>
      </c>
      <c r="AI396" s="4" t="s">
        <v>181</v>
      </c>
      <c r="AJ396" s="4" t="s">
        <v>181</v>
      </c>
      <c r="AK396" s="3"/>
      <c r="AL396" s="4">
        <v>41005</v>
      </c>
      <c r="AM396" s="5">
        <v>3461.7</v>
      </c>
      <c r="AN396" s="4" t="s">
        <v>124</v>
      </c>
    </row>
    <row r="397" spans="1:42" s="4" customFormat="1" x14ac:dyDescent="0.25">
      <c r="A397" s="3">
        <v>4604725</v>
      </c>
      <c r="B397" s="28">
        <v>41913</v>
      </c>
      <c r="C397" s="3" t="s">
        <v>1278</v>
      </c>
      <c r="D397" s="3">
        <v>10004521</v>
      </c>
      <c r="E397" s="4">
        <v>4534076</v>
      </c>
      <c r="F397" s="3" t="s">
        <v>49</v>
      </c>
      <c r="G397" s="4" t="s">
        <v>174</v>
      </c>
      <c r="I397" s="5">
        <v>2919.55</v>
      </c>
      <c r="J397" s="3" t="s">
        <v>173</v>
      </c>
      <c r="K397" s="3" t="s">
        <v>77</v>
      </c>
      <c r="L397" s="3" t="s">
        <v>119</v>
      </c>
      <c r="M397" s="4" t="s">
        <v>1664</v>
      </c>
      <c r="N397" s="3" t="s">
        <v>56</v>
      </c>
      <c r="O397" s="3"/>
      <c r="Q397" s="3"/>
      <c r="R397" s="3"/>
      <c r="Y397" s="4" t="s">
        <v>178</v>
      </c>
      <c r="Z397" s="4" t="s">
        <v>178</v>
      </c>
      <c r="AB397" s="3"/>
      <c r="AC397" s="3"/>
      <c r="AD397" s="3" t="s">
        <v>360</v>
      </c>
      <c r="AE397" s="3">
        <v>1000</v>
      </c>
      <c r="AI397" s="4" t="s">
        <v>181</v>
      </c>
      <c r="AJ397" s="4" t="s">
        <v>181</v>
      </c>
      <c r="AK397" s="3"/>
      <c r="AL397" s="4">
        <v>40476</v>
      </c>
      <c r="AM397" s="5">
        <v>2919.55</v>
      </c>
      <c r="AN397" s="4" t="s">
        <v>124</v>
      </c>
    </row>
    <row r="398" spans="1:42" s="4" customFormat="1" x14ac:dyDescent="0.25">
      <c r="A398" s="3">
        <v>4604726</v>
      </c>
      <c r="B398" s="28">
        <v>41912</v>
      </c>
      <c r="C398" s="3" t="s">
        <v>1278</v>
      </c>
      <c r="D398" s="3">
        <v>10004517</v>
      </c>
      <c r="E398" s="4">
        <v>4534077</v>
      </c>
      <c r="F398" s="3" t="s">
        <v>49</v>
      </c>
      <c r="G398" s="4" t="s">
        <v>311</v>
      </c>
      <c r="I398" s="5">
        <v>2840.31</v>
      </c>
      <c r="J398" s="3" t="s">
        <v>832</v>
      </c>
      <c r="K398" s="3" t="s">
        <v>829</v>
      </c>
      <c r="L398" s="3" t="s">
        <v>119</v>
      </c>
      <c r="M398" s="4" t="s">
        <v>1665</v>
      </c>
      <c r="N398" s="3" t="s">
        <v>56</v>
      </c>
      <c r="O398" s="3"/>
      <c r="Q398" s="3"/>
      <c r="R398" s="3"/>
      <c r="Y398" s="4" t="s">
        <v>178</v>
      </c>
      <c r="Z398" s="4" t="s">
        <v>178</v>
      </c>
      <c r="AB398" s="3"/>
      <c r="AC398" s="3"/>
      <c r="AD398" s="3" t="s">
        <v>275</v>
      </c>
      <c r="AE398" s="3">
        <v>1000</v>
      </c>
      <c r="AI398" s="4" t="s">
        <v>181</v>
      </c>
      <c r="AJ398" s="4" t="s">
        <v>181</v>
      </c>
      <c r="AK398" s="3"/>
      <c r="AL398" s="4">
        <v>141807</v>
      </c>
      <c r="AM398" s="5">
        <v>2840.31</v>
      </c>
      <c r="AN398" s="4" t="s">
        <v>124</v>
      </c>
    </row>
    <row r="399" spans="1:42" s="4" customFormat="1" x14ac:dyDescent="0.25">
      <c r="A399" s="3">
        <v>4604729</v>
      </c>
      <c r="B399" s="28">
        <v>41920</v>
      </c>
      <c r="C399" s="3" t="s">
        <v>1278</v>
      </c>
      <c r="D399" s="3">
        <v>10004526</v>
      </c>
      <c r="E399" s="4">
        <v>4534080</v>
      </c>
      <c r="F399" s="3" t="s">
        <v>49</v>
      </c>
      <c r="G399" s="4" t="s">
        <v>1669</v>
      </c>
      <c r="I399" s="5">
        <v>6975</v>
      </c>
      <c r="J399" s="3" t="s">
        <v>1670</v>
      </c>
      <c r="K399" s="3" t="s">
        <v>176</v>
      </c>
      <c r="L399" s="3" t="s">
        <v>119</v>
      </c>
      <c r="M399" s="4" t="s">
        <v>1671</v>
      </c>
      <c r="N399" s="3" t="s">
        <v>25</v>
      </c>
      <c r="O399" s="3"/>
      <c r="Q399" s="3"/>
      <c r="R399" s="3"/>
      <c r="Y399" s="4" t="s">
        <v>260</v>
      </c>
      <c r="Z399" s="4" t="s">
        <v>260</v>
      </c>
      <c r="AB399" s="3"/>
      <c r="AC399" s="3"/>
      <c r="AD399" s="3" t="s">
        <v>284</v>
      </c>
      <c r="AE399" s="3">
        <v>1000</v>
      </c>
      <c r="AI399" s="4" t="s">
        <v>261</v>
      </c>
      <c r="AJ399" s="4" t="s">
        <v>261</v>
      </c>
      <c r="AK399" s="3"/>
      <c r="AL399" s="4">
        <v>43794</v>
      </c>
      <c r="AM399" s="5">
        <v>6975</v>
      </c>
      <c r="AN399" s="4" t="s">
        <v>124</v>
      </c>
    </row>
    <row r="400" spans="1:42" s="4" customFormat="1" x14ac:dyDescent="0.25">
      <c r="A400" s="3">
        <v>4604734</v>
      </c>
      <c r="B400" s="28">
        <v>41922</v>
      </c>
      <c r="C400" s="3" t="s">
        <v>1278</v>
      </c>
      <c r="D400" s="3">
        <v>10004530</v>
      </c>
      <c r="E400" s="4">
        <v>4534085</v>
      </c>
      <c r="F400" s="3" t="s">
        <v>49</v>
      </c>
      <c r="G400" s="4" t="s">
        <v>1547</v>
      </c>
      <c r="I400" s="5">
        <v>2523.84</v>
      </c>
      <c r="J400" s="3" t="s">
        <v>272</v>
      </c>
      <c r="K400" s="3" t="s">
        <v>324</v>
      </c>
      <c r="L400" s="3" t="s">
        <v>119</v>
      </c>
      <c r="M400" s="4" t="s">
        <v>1679</v>
      </c>
      <c r="N400" s="3" t="s">
        <v>56</v>
      </c>
      <c r="O400" s="3"/>
      <c r="Q400" s="3"/>
      <c r="R400" s="3"/>
      <c r="Y400" s="4" t="s">
        <v>178</v>
      </c>
      <c r="Z400" s="4" t="s">
        <v>178</v>
      </c>
      <c r="AB400" s="3"/>
      <c r="AC400" s="3"/>
      <c r="AD400" s="3" t="s">
        <v>272</v>
      </c>
      <c r="AE400" s="3">
        <v>1000</v>
      </c>
      <c r="AI400" s="4" t="s">
        <v>181</v>
      </c>
      <c r="AJ400" s="4" t="s">
        <v>181</v>
      </c>
      <c r="AK400" s="3"/>
      <c r="AL400" s="4">
        <v>48169</v>
      </c>
      <c r="AM400" s="5">
        <v>2523.84</v>
      </c>
      <c r="AN400" s="4" t="s">
        <v>124</v>
      </c>
    </row>
    <row r="401" spans="1:42" s="4" customFormat="1" x14ac:dyDescent="0.25">
      <c r="A401" s="3">
        <v>4604735</v>
      </c>
      <c r="B401" s="28">
        <v>41922</v>
      </c>
      <c r="C401" s="3" t="s">
        <v>1278</v>
      </c>
      <c r="D401" s="3">
        <v>10004490</v>
      </c>
      <c r="E401" s="4">
        <v>4534086</v>
      </c>
      <c r="F401" s="3" t="s">
        <v>49</v>
      </c>
      <c r="G401" s="4" t="s">
        <v>1471</v>
      </c>
      <c r="H401" s="4" t="s">
        <v>1680</v>
      </c>
      <c r="I401" s="5">
        <v>427949.5</v>
      </c>
      <c r="J401" s="3" t="s">
        <v>745</v>
      </c>
      <c r="K401" s="3" t="s">
        <v>395</v>
      </c>
      <c r="L401" s="3" t="s">
        <v>119</v>
      </c>
      <c r="M401" s="4" t="s">
        <v>1681</v>
      </c>
      <c r="N401" s="3" t="s">
        <v>56</v>
      </c>
      <c r="O401" s="3"/>
      <c r="Q401" s="3"/>
      <c r="R401" s="3"/>
      <c r="Y401" s="4" t="s">
        <v>1056</v>
      </c>
      <c r="Z401" s="4" t="s">
        <v>1056</v>
      </c>
      <c r="AA401" s="4" t="s">
        <v>1474</v>
      </c>
      <c r="AB401" s="3" t="s">
        <v>1475</v>
      </c>
      <c r="AC401" s="3" t="s">
        <v>1476</v>
      </c>
      <c r="AD401" s="3" t="s">
        <v>424</v>
      </c>
      <c r="AE401" s="3">
        <v>1000</v>
      </c>
      <c r="AI401" s="4" t="s">
        <v>1058</v>
      </c>
      <c r="AJ401" s="4" t="s">
        <v>1058</v>
      </c>
      <c r="AK401" s="3"/>
      <c r="AL401" s="4">
        <v>48891</v>
      </c>
      <c r="AM401" s="5">
        <v>427949.5</v>
      </c>
      <c r="AN401" s="4" t="s">
        <v>124</v>
      </c>
      <c r="AO401" s="4">
        <v>99</v>
      </c>
      <c r="AP401" s="4">
        <v>43211503</v>
      </c>
    </row>
    <row r="402" spans="1:42" s="4" customFormat="1" x14ac:dyDescent="0.25">
      <c r="A402" s="3">
        <v>4604739</v>
      </c>
      <c r="B402" s="28">
        <v>41929</v>
      </c>
      <c r="C402" s="3" t="s">
        <v>1278</v>
      </c>
      <c r="D402" s="3">
        <v>10004532</v>
      </c>
      <c r="E402" s="4">
        <v>4534090</v>
      </c>
      <c r="F402" s="3" t="s">
        <v>49</v>
      </c>
      <c r="G402" s="4" t="s">
        <v>1689</v>
      </c>
      <c r="H402" s="4" t="s">
        <v>1690</v>
      </c>
      <c r="I402" s="5">
        <v>1402.86</v>
      </c>
      <c r="J402" s="3" t="s">
        <v>1568</v>
      </c>
      <c r="K402" s="3" t="s">
        <v>77</v>
      </c>
      <c r="L402" s="3" t="s">
        <v>119</v>
      </c>
      <c r="M402" s="4" t="s">
        <v>1690</v>
      </c>
      <c r="N402" s="3" t="s">
        <v>56</v>
      </c>
      <c r="O402" s="3"/>
      <c r="Q402" s="3"/>
      <c r="R402" s="3"/>
      <c r="Y402" s="4" t="s">
        <v>1056</v>
      </c>
      <c r="Z402" s="4" t="s">
        <v>1056</v>
      </c>
      <c r="AA402" s="4" t="s">
        <v>1474</v>
      </c>
      <c r="AB402" s="3" t="s">
        <v>1474</v>
      </c>
      <c r="AC402" s="3" t="s">
        <v>1476</v>
      </c>
      <c r="AD402" s="3" t="s">
        <v>351</v>
      </c>
      <c r="AE402" s="3">
        <v>1000</v>
      </c>
      <c r="AI402" s="4" t="s">
        <v>1058</v>
      </c>
      <c r="AJ402" s="4" t="s">
        <v>1058</v>
      </c>
      <c r="AK402" s="3"/>
      <c r="AL402" s="4">
        <v>46669</v>
      </c>
      <c r="AM402" s="5">
        <v>1402.86</v>
      </c>
      <c r="AN402" s="4" t="s">
        <v>124</v>
      </c>
      <c r="AO402" s="4">
        <v>99</v>
      </c>
      <c r="AP402" s="4">
        <v>43211507</v>
      </c>
    </row>
    <row r="403" spans="1:42" s="4" customFormat="1" x14ac:dyDescent="0.25">
      <c r="A403" s="3">
        <v>4604740</v>
      </c>
      <c r="B403" s="28">
        <v>41926</v>
      </c>
      <c r="C403" s="3" t="s">
        <v>1278</v>
      </c>
      <c r="D403" s="3">
        <v>10004537</v>
      </c>
      <c r="E403" s="4">
        <v>4534091</v>
      </c>
      <c r="F403" s="3" t="s">
        <v>49</v>
      </c>
      <c r="G403" s="4" t="s">
        <v>1588</v>
      </c>
      <c r="I403" s="5">
        <v>4773.1400000000003</v>
      </c>
      <c r="J403" s="3" t="s">
        <v>1691</v>
      </c>
      <c r="K403" s="3" t="s">
        <v>77</v>
      </c>
      <c r="L403" s="3" t="s">
        <v>119</v>
      </c>
      <c r="M403" s="4" t="s">
        <v>1692</v>
      </c>
      <c r="N403" s="3" t="s">
        <v>56</v>
      </c>
      <c r="O403" s="3"/>
      <c r="Q403" s="3"/>
      <c r="R403" s="3"/>
      <c r="Y403" s="4" t="s">
        <v>178</v>
      </c>
      <c r="Z403" s="4" t="s">
        <v>178</v>
      </c>
      <c r="AB403" s="3"/>
      <c r="AC403" s="3"/>
      <c r="AD403" s="3" t="s">
        <v>391</v>
      </c>
      <c r="AE403" s="3">
        <v>1000</v>
      </c>
      <c r="AI403" s="4" t="s">
        <v>181</v>
      </c>
      <c r="AJ403" s="4" t="s">
        <v>181</v>
      </c>
      <c r="AK403" s="3"/>
      <c r="AL403" s="4">
        <v>41005</v>
      </c>
      <c r="AM403" s="5">
        <v>4773.1400000000003</v>
      </c>
      <c r="AN403" s="4" t="s">
        <v>124</v>
      </c>
    </row>
    <row r="404" spans="1:42" s="4" customFormat="1" x14ac:dyDescent="0.25">
      <c r="A404" s="3">
        <v>4604741</v>
      </c>
      <c r="B404" s="28">
        <v>42055</v>
      </c>
      <c r="C404" s="3" t="s">
        <v>1278</v>
      </c>
      <c r="D404" s="3">
        <v>10004539</v>
      </c>
      <c r="E404" s="4">
        <v>4534092</v>
      </c>
      <c r="F404" s="3" t="s">
        <v>49</v>
      </c>
      <c r="G404" s="4" t="s">
        <v>1164</v>
      </c>
      <c r="H404" s="4" t="s">
        <v>1165</v>
      </c>
      <c r="I404" s="5">
        <v>693000</v>
      </c>
      <c r="J404" s="3" t="s">
        <v>1568</v>
      </c>
      <c r="K404" s="3" t="s">
        <v>1693</v>
      </c>
      <c r="L404" s="3" t="s">
        <v>119</v>
      </c>
      <c r="M404" s="4" t="s">
        <v>1694</v>
      </c>
      <c r="N404" s="3" t="s">
        <v>25</v>
      </c>
      <c r="O404" s="3"/>
      <c r="Q404" s="3"/>
      <c r="R404" s="3"/>
      <c r="Y404" s="4" t="s">
        <v>1056</v>
      </c>
      <c r="Z404" s="4" t="s">
        <v>1056</v>
      </c>
      <c r="AA404" s="4" t="s">
        <v>1695</v>
      </c>
      <c r="AB404" s="3"/>
      <c r="AC404" s="3"/>
      <c r="AD404" s="3" t="s">
        <v>1696</v>
      </c>
      <c r="AE404" s="3">
        <v>1000</v>
      </c>
      <c r="AI404" s="4" t="s">
        <v>1058</v>
      </c>
      <c r="AJ404" s="4" t="s">
        <v>1058</v>
      </c>
      <c r="AK404" s="3"/>
      <c r="AL404" s="4">
        <v>45277</v>
      </c>
      <c r="AM404" s="5">
        <v>693000</v>
      </c>
      <c r="AN404" s="4" t="s">
        <v>124</v>
      </c>
      <c r="AO404" s="4">
        <v>99</v>
      </c>
      <c r="AP404" s="4">
        <v>43190000</v>
      </c>
    </row>
    <row r="405" spans="1:42" s="4" customFormat="1" x14ac:dyDescent="0.25">
      <c r="A405" s="3">
        <v>4604742</v>
      </c>
      <c r="B405" s="28">
        <v>41936</v>
      </c>
      <c r="C405" s="3" t="s">
        <v>1278</v>
      </c>
      <c r="D405" s="3">
        <v>10004541</v>
      </c>
      <c r="E405" s="4">
        <v>4534093</v>
      </c>
      <c r="F405" s="3" t="s">
        <v>49</v>
      </c>
      <c r="G405" s="4" t="s">
        <v>1053</v>
      </c>
      <c r="I405" s="5">
        <v>4620</v>
      </c>
      <c r="J405" s="3" t="s">
        <v>1498</v>
      </c>
      <c r="K405" s="3" t="s">
        <v>324</v>
      </c>
      <c r="L405" s="3" t="s">
        <v>119</v>
      </c>
      <c r="M405" s="4" t="s">
        <v>1697</v>
      </c>
      <c r="N405" s="3" t="s">
        <v>56</v>
      </c>
      <c r="O405" s="3"/>
      <c r="Q405" s="3"/>
      <c r="R405" s="3"/>
      <c r="Y405" s="4" t="s">
        <v>1056</v>
      </c>
      <c r="Z405" s="4" t="s">
        <v>1056</v>
      </c>
      <c r="AB405" s="3"/>
      <c r="AC405" s="3"/>
      <c r="AD405" s="3" t="s">
        <v>399</v>
      </c>
      <c r="AE405" s="3">
        <v>1000</v>
      </c>
      <c r="AI405" s="4" t="s">
        <v>1058</v>
      </c>
      <c r="AJ405" s="4" t="s">
        <v>1058</v>
      </c>
      <c r="AK405" s="3"/>
      <c r="AL405" s="4">
        <v>140248</v>
      </c>
      <c r="AM405" s="5">
        <v>4620</v>
      </c>
      <c r="AN405" s="4" t="s">
        <v>124</v>
      </c>
    </row>
    <row r="406" spans="1:42" s="4" customFormat="1" x14ac:dyDescent="0.25">
      <c r="A406" s="3">
        <v>4604748</v>
      </c>
      <c r="B406" s="28">
        <v>41935</v>
      </c>
      <c r="C406" s="3" t="s">
        <v>1278</v>
      </c>
      <c r="D406" s="3">
        <v>10004543</v>
      </c>
      <c r="E406" s="4">
        <v>4534099</v>
      </c>
      <c r="F406" s="3" t="s">
        <v>49</v>
      </c>
      <c r="G406" s="4" t="s">
        <v>1353</v>
      </c>
      <c r="H406" s="4" t="s">
        <v>1698</v>
      </c>
      <c r="I406" s="5">
        <v>17820</v>
      </c>
      <c r="J406" s="3" t="s">
        <v>310</v>
      </c>
      <c r="K406" s="3" t="s">
        <v>395</v>
      </c>
      <c r="L406" s="3" t="s">
        <v>119</v>
      </c>
      <c r="M406" s="4" t="s">
        <v>1698</v>
      </c>
      <c r="N406" s="3" t="s">
        <v>56</v>
      </c>
      <c r="O406" s="3"/>
      <c r="Q406" s="3"/>
      <c r="R406" s="3"/>
      <c r="Y406" s="4" t="s">
        <v>1056</v>
      </c>
      <c r="Z406" s="4" t="s">
        <v>1056</v>
      </c>
      <c r="AA406" s="4" t="s">
        <v>1324</v>
      </c>
      <c r="AB406" s="3" t="s">
        <v>1355</v>
      </c>
      <c r="AC406" s="3" t="s">
        <v>1326</v>
      </c>
      <c r="AD406" s="3" t="s">
        <v>310</v>
      </c>
      <c r="AE406" s="3">
        <v>1000</v>
      </c>
      <c r="AI406" s="4" t="s">
        <v>1058</v>
      </c>
      <c r="AJ406" s="4" t="s">
        <v>1058</v>
      </c>
      <c r="AK406" s="3"/>
      <c r="AL406" s="4">
        <v>140449</v>
      </c>
      <c r="AM406" s="5">
        <v>17820</v>
      </c>
      <c r="AN406" s="4" t="s">
        <v>124</v>
      </c>
      <c r="AO406" s="4">
        <v>99</v>
      </c>
      <c r="AP406" s="4">
        <v>43230000</v>
      </c>
    </row>
    <row r="407" spans="1:42" s="4" customFormat="1" x14ac:dyDescent="0.25">
      <c r="A407" s="3">
        <v>4604751</v>
      </c>
      <c r="B407" s="28">
        <v>41912</v>
      </c>
      <c r="C407" s="3" t="s">
        <v>1278</v>
      </c>
      <c r="D407" s="3">
        <v>10004516</v>
      </c>
      <c r="E407" s="4">
        <v>4534102</v>
      </c>
      <c r="F407" s="3" t="s">
        <v>49</v>
      </c>
      <c r="G407" s="4" t="s">
        <v>410</v>
      </c>
      <c r="H407" s="4" t="s">
        <v>1699</v>
      </c>
      <c r="I407" s="5">
        <v>40480</v>
      </c>
      <c r="J407" s="3" t="s">
        <v>832</v>
      </c>
      <c r="K407" s="3" t="s">
        <v>395</v>
      </c>
      <c r="L407" s="3" t="s">
        <v>119</v>
      </c>
      <c r="M407" s="4" t="s">
        <v>1699</v>
      </c>
      <c r="N407" s="3" t="s">
        <v>56</v>
      </c>
      <c r="O407" s="3"/>
      <c r="Q407" s="3"/>
      <c r="R407" s="3"/>
      <c r="Y407" s="4" t="s">
        <v>1700</v>
      </c>
      <c r="Z407" s="4" t="s">
        <v>1700</v>
      </c>
      <c r="AA407" s="4" t="s">
        <v>412</v>
      </c>
      <c r="AB407" s="3" t="s">
        <v>413</v>
      </c>
      <c r="AC407" s="3" t="s">
        <v>414</v>
      </c>
      <c r="AD407" s="3" t="s">
        <v>320</v>
      </c>
      <c r="AE407" s="3">
        <v>1000</v>
      </c>
      <c r="AI407" s="4" t="s">
        <v>1701</v>
      </c>
      <c r="AJ407" s="4" t="s">
        <v>1701</v>
      </c>
      <c r="AK407" s="3"/>
      <c r="AL407" s="4">
        <v>141810</v>
      </c>
      <c r="AM407" s="5">
        <v>40480</v>
      </c>
      <c r="AN407" s="4" t="s">
        <v>124</v>
      </c>
      <c r="AO407" s="4">
        <v>99</v>
      </c>
      <c r="AP407" s="4">
        <v>80101507</v>
      </c>
    </row>
    <row r="408" spans="1:42" s="4" customFormat="1" x14ac:dyDescent="0.25">
      <c r="A408" s="3">
        <v>4604757</v>
      </c>
      <c r="B408" s="28">
        <v>41940</v>
      </c>
      <c r="C408" s="3" t="s">
        <v>1278</v>
      </c>
      <c r="D408" s="3">
        <v>10004553</v>
      </c>
      <c r="E408" s="4">
        <v>4534108</v>
      </c>
      <c r="F408" s="3" t="s">
        <v>49</v>
      </c>
      <c r="G408" s="4" t="s">
        <v>174</v>
      </c>
      <c r="I408" s="5">
        <v>2566.64</v>
      </c>
      <c r="J408" s="3" t="s">
        <v>1702</v>
      </c>
      <c r="K408" s="3" t="s">
        <v>77</v>
      </c>
      <c r="L408" s="3" t="s">
        <v>119</v>
      </c>
      <c r="M408" s="4" t="s">
        <v>1703</v>
      </c>
      <c r="N408" s="3" t="s">
        <v>56</v>
      </c>
      <c r="O408" s="3"/>
      <c r="Q408" s="3"/>
      <c r="R408" s="3"/>
      <c r="Y408" s="4" t="s">
        <v>178</v>
      </c>
      <c r="Z408" s="4" t="s">
        <v>178</v>
      </c>
      <c r="AB408" s="3"/>
      <c r="AC408" s="3"/>
      <c r="AD408" s="3" t="s">
        <v>1704</v>
      </c>
      <c r="AE408" s="3">
        <v>1000</v>
      </c>
      <c r="AI408" s="4" t="s">
        <v>181</v>
      </c>
      <c r="AJ408" s="4" t="s">
        <v>181</v>
      </c>
      <c r="AK408" s="3"/>
      <c r="AL408" s="4">
        <v>40476</v>
      </c>
      <c r="AM408" s="5">
        <v>2566.64</v>
      </c>
      <c r="AN408" s="4" t="s">
        <v>124</v>
      </c>
    </row>
    <row r="409" spans="1:42" s="4" customFormat="1" x14ac:dyDescent="0.25">
      <c r="A409" s="3">
        <v>4604765</v>
      </c>
      <c r="B409" s="28">
        <v>41933</v>
      </c>
      <c r="C409" s="3" t="s">
        <v>1278</v>
      </c>
      <c r="D409" s="3">
        <v>10004531</v>
      </c>
      <c r="E409" s="4">
        <v>4534116</v>
      </c>
      <c r="F409" s="3" t="s">
        <v>49</v>
      </c>
      <c r="G409" s="4" t="s">
        <v>1710</v>
      </c>
      <c r="H409" s="4" t="s">
        <v>1711</v>
      </c>
      <c r="I409" s="5">
        <v>139593.51999999999</v>
      </c>
      <c r="J409" s="3" t="s">
        <v>1570</v>
      </c>
      <c r="K409" s="3" t="s">
        <v>510</v>
      </c>
      <c r="L409" s="3" t="s">
        <v>119</v>
      </c>
      <c r="M409" s="4" t="s">
        <v>1711</v>
      </c>
      <c r="N409" s="3" t="s">
        <v>56</v>
      </c>
      <c r="O409" s="3"/>
      <c r="Q409" s="3"/>
      <c r="R409" s="3"/>
      <c r="Y409" s="4" t="s">
        <v>1309</v>
      </c>
      <c r="Z409" s="4" t="s">
        <v>1309</v>
      </c>
      <c r="AA409" s="4" t="s">
        <v>412</v>
      </c>
      <c r="AB409" s="3" t="s">
        <v>1712</v>
      </c>
      <c r="AC409" s="3" t="s">
        <v>414</v>
      </c>
      <c r="AD409" s="3" t="s">
        <v>369</v>
      </c>
      <c r="AE409" s="3">
        <v>1000</v>
      </c>
      <c r="AI409" s="4" t="s">
        <v>1313</v>
      </c>
      <c r="AJ409" s="4" t="s">
        <v>1313</v>
      </c>
      <c r="AK409" s="3"/>
      <c r="AL409" s="4">
        <v>47444</v>
      </c>
      <c r="AM409" s="5">
        <v>139593.51999999999</v>
      </c>
      <c r="AN409" s="4" t="s">
        <v>124</v>
      </c>
      <c r="AO409" s="4">
        <v>99</v>
      </c>
      <c r="AP409" s="4">
        <v>80101600</v>
      </c>
    </row>
    <row r="410" spans="1:42" s="4" customFormat="1" x14ac:dyDescent="0.25">
      <c r="A410" s="3">
        <v>4604766</v>
      </c>
      <c r="B410" s="28">
        <v>41947</v>
      </c>
      <c r="C410" s="3" t="s">
        <v>1278</v>
      </c>
      <c r="D410" s="3">
        <v>10004560</v>
      </c>
      <c r="E410" s="4">
        <v>4534117</v>
      </c>
      <c r="F410" s="3" t="s">
        <v>49</v>
      </c>
      <c r="G410" s="4" t="s">
        <v>174</v>
      </c>
      <c r="I410" s="5">
        <v>4399.83</v>
      </c>
      <c r="J410" s="3" t="s">
        <v>395</v>
      </c>
      <c r="K410" s="3" t="s">
        <v>1713</v>
      </c>
      <c r="L410" s="3" t="s">
        <v>119</v>
      </c>
      <c r="M410" s="4" t="s">
        <v>1692</v>
      </c>
      <c r="N410" s="3" t="s">
        <v>56</v>
      </c>
      <c r="O410" s="3"/>
      <c r="Q410" s="3"/>
      <c r="R410" s="3"/>
      <c r="Y410" s="4" t="s">
        <v>178</v>
      </c>
      <c r="Z410" s="4" t="s">
        <v>178</v>
      </c>
      <c r="AB410" s="3"/>
      <c r="AC410" s="3"/>
      <c r="AD410" s="3" t="s">
        <v>535</v>
      </c>
      <c r="AE410" s="3">
        <v>1000</v>
      </c>
      <c r="AI410" s="4" t="s">
        <v>181</v>
      </c>
      <c r="AJ410" s="4" t="s">
        <v>181</v>
      </c>
      <c r="AK410" s="3"/>
      <c r="AL410" s="4">
        <v>40476</v>
      </c>
      <c r="AM410" s="5">
        <v>4399.83</v>
      </c>
      <c r="AN410" s="4" t="s">
        <v>124</v>
      </c>
    </row>
    <row r="411" spans="1:42" s="4" customFormat="1" x14ac:dyDescent="0.25">
      <c r="A411" s="3">
        <v>4604770</v>
      </c>
      <c r="B411" s="28">
        <v>41932</v>
      </c>
      <c r="C411" s="3" t="s">
        <v>1278</v>
      </c>
      <c r="D411" s="3">
        <v>10004540</v>
      </c>
      <c r="E411" s="4">
        <v>4534121</v>
      </c>
      <c r="F411" s="3" t="s">
        <v>49</v>
      </c>
      <c r="G411" s="4" t="s">
        <v>1716</v>
      </c>
      <c r="H411" s="4" t="s">
        <v>1717</v>
      </c>
      <c r="I411" s="5">
        <v>35288</v>
      </c>
      <c r="J411" s="3" t="s">
        <v>1688</v>
      </c>
      <c r="K411" s="3" t="s">
        <v>292</v>
      </c>
      <c r="L411" s="3" t="s">
        <v>119</v>
      </c>
      <c r="M411" s="4" t="s">
        <v>1717</v>
      </c>
      <c r="N411" s="3" t="s">
        <v>56</v>
      </c>
      <c r="O411" s="3"/>
      <c r="Q411" s="3"/>
      <c r="R411" s="3"/>
      <c r="Y411" s="4" t="s">
        <v>1700</v>
      </c>
      <c r="Z411" s="4" t="s">
        <v>1700</v>
      </c>
      <c r="AA411" s="4">
        <v>20000194</v>
      </c>
      <c r="AB411" s="3" t="s">
        <v>1718</v>
      </c>
      <c r="AC411" s="3" t="s">
        <v>1719</v>
      </c>
      <c r="AD411" s="3" t="s">
        <v>1059</v>
      </c>
      <c r="AE411" s="3">
        <v>1000</v>
      </c>
      <c r="AI411" s="4" t="s">
        <v>1701</v>
      </c>
      <c r="AJ411" s="4" t="s">
        <v>1701</v>
      </c>
      <c r="AK411" s="3"/>
      <c r="AL411" s="4">
        <v>44468</v>
      </c>
      <c r="AM411" s="5">
        <v>35288</v>
      </c>
      <c r="AN411" s="4" t="s">
        <v>124</v>
      </c>
      <c r="AO411" s="4">
        <v>99</v>
      </c>
      <c r="AP411" s="4">
        <v>80101507</v>
      </c>
    </row>
    <row r="412" spans="1:42" s="4" customFormat="1" x14ac:dyDescent="0.25">
      <c r="A412" s="3">
        <v>4604773</v>
      </c>
      <c r="B412" s="28">
        <v>41953</v>
      </c>
      <c r="C412" s="3" t="s">
        <v>1278</v>
      </c>
      <c r="D412" s="3">
        <v>10004570</v>
      </c>
      <c r="E412" s="4">
        <v>4534124</v>
      </c>
      <c r="F412" s="3" t="s">
        <v>49</v>
      </c>
      <c r="G412" s="4" t="s">
        <v>174</v>
      </c>
      <c r="H412" s="4" t="s">
        <v>1721</v>
      </c>
      <c r="I412" s="5">
        <v>137000</v>
      </c>
      <c r="J412" s="3" t="s">
        <v>1720</v>
      </c>
      <c r="K412" s="3" t="s">
        <v>77</v>
      </c>
      <c r="L412" s="3" t="s">
        <v>119</v>
      </c>
      <c r="M412" s="4" t="s">
        <v>1721</v>
      </c>
      <c r="N412" s="3" t="s">
        <v>56</v>
      </c>
      <c r="O412" s="3"/>
      <c r="Q412" s="3"/>
      <c r="R412" s="3"/>
      <c r="Y412" s="4" t="s">
        <v>178</v>
      </c>
      <c r="Z412" s="4" t="s">
        <v>178</v>
      </c>
      <c r="AA412" s="4" t="s">
        <v>188</v>
      </c>
      <c r="AB412" s="3" t="s">
        <v>401</v>
      </c>
      <c r="AC412" s="3" t="s">
        <v>190</v>
      </c>
      <c r="AD412" s="3" t="s">
        <v>53</v>
      </c>
      <c r="AE412" s="3">
        <v>1000</v>
      </c>
      <c r="AI412" s="4" t="s">
        <v>181</v>
      </c>
      <c r="AJ412" s="4" t="s">
        <v>181</v>
      </c>
      <c r="AK412" s="3"/>
      <c r="AL412" s="4">
        <v>40476</v>
      </c>
      <c r="AM412" s="5">
        <v>137000</v>
      </c>
      <c r="AN412" s="4" t="s">
        <v>124</v>
      </c>
      <c r="AO412" s="4">
        <v>98</v>
      </c>
      <c r="AP412" s="4">
        <v>80111600</v>
      </c>
    </row>
    <row r="413" spans="1:42" s="4" customFormat="1" x14ac:dyDescent="0.25">
      <c r="A413" s="3">
        <v>4604779</v>
      </c>
      <c r="B413" s="28">
        <v>41960</v>
      </c>
      <c r="C413" s="3" t="s">
        <v>1278</v>
      </c>
      <c r="D413" s="3">
        <v>10004573</v>
      </c>
      <c r="E413" s="4">
        <v>4534130</v>
      </c>
      <c r="F413" s="3" t="s">
        <v>49</v>
      </c>
      <c r="G413" s="4" t="s">
        <v>410</v>
      </c>
      <c r="H413" s="4" t="s">
        <v>1725</v>
      </c>
      <c r="I413" s="5">
        <v>26400</v>
      </c>
      <c r="J413" s="3" t="s">
        <v>1134</v>
      </c>
      <c r="K413" s="3" t="s">
        <v>400</v>
      </c>
      <c r="L413" s="3" t="s">
        <v>119</v>
      </c>
      <c r="M413" s="4" t="s">
        <v>1725</v>
      </c>
      <c r="N413" s="3" t="s">
        <v>56</v>
      </c>
      <c r="O413" s="3"/>
      <c r="Q413" s="3"/>
      <c r="R413" s="3"/>
      <c r="Y413" s="4" t="s">
        <v>1700</v>
      </c>
      <c r="Z413" s="4" t="s">
        <v>1700</v>
      </c>
      <c r="AA413" s="4" t="s">
        <v>412</v>
      </c>
      <c r="AB413" s="3" t="s">
        <v>413</v>
      </c>
      <c r="AC413" s="3" t="s">
        <v>414</v>
      </c>
      <c r="AD413" s="3" t="s">
        <v>424</v>
      </c>
      <c r="AE413" s="3">
        <v>1000</v>
      </c>
      <c r="AI413" s="4" t="s">
        <v>1701</v>
      </c>
      <c r="AJ413" s="4" t="s">
        <v>1701</v>
      </c>
      <c r="AK413" s="3"/>
      <c r="AL413" s="4">
        <v>141810</v>
      </c>
      <c r="AM413" s="5">
        <v>26400</v>
      </c>
      <c r="AN413" s="4" t="s">
        <v>124</v>
      </c>
      <c r="AO413" s="4">
        <v>99</v>
      </c>
      <c r="AP413" s="4">
        <v>80101507</v>
      </c>
    </row>
    <row r="414" spans="1:42" s="4" customFormat="1" x14ac:dyDescent="0.25">
      <c r="A414" s="3">
        <v>4604780</v>
      </c>
      <c r="B414" s="28">
        <v>41961</v>
      </c>
      <c r="C414" s="3" t="s">
        <v>1278</v>
      </c>
      <c r="D414" s="3">
        <v>10004579</v>
      </c>
      <c r="E414" s="4">
        <v>4534131</v>
      </c>
      <c r="F414" s="3" t="s">
        <v>49</v>
      </c>
      <c r="G414" s="4" t="s">
        <v>318</v>
      </c>
      <c r="H414" s="4" t="s">
        <v>1726</v>
      </c>
      <c r="I414" s="5">
        <v>13835.24</v>
      </c>
      <c r="J414" s="3" t="s">
        <v>1134</v>
      </c>
      <c r="K414" s="3" t="s">
        <v>1727</v>
      </c>
      <c r="L414" s="3" t="s">
        <v>119</v>
      </c>
      <c r="M414" s="4" t="s">
        <v>1726</v>
      </c>
      <c r="N414" s="3" t="s">
        <v>56</v>
      </c>
      <c r="O414" s="3"/>
      <c r="Q414" s="3"/>
      <c r="R414" s="3"/>
      <c r="Y414" s="4" t="s">
        <v>178</v>
      </c>
      <c r="Z414" s="4" t="s">
        <v>178</v>
      </c>
      <c r="AA414" s="4" t="s">
        <v>188</v>
      </c>
      <c r="AB414" s="3" t="s">
        <v>1320</v>
      </c>
      <c r="AC414" s="3" t="s">
        <v>190</v>
      </c>
      <c r="AD414" s="3" t="s">
        <v>529</v>
      </c>
      <c r="AE414" s="3">
        <v>1000</v>
      </c>
      <c r="AI414" s="4" t="s">
        <v>181</v>
      </c>
      <c r="AJ414" s="4" t="s">
        <v>181</v>
      </c>
      <c r="AK414" s="3"/>
      <c r="AL414" s="4">
        <v>141551</v>
      </c>
      <c r="AM414" s="5">
        <v>13835.24</v>
      </c>
      <c r="AN414" s="4" t="s">
        <v>124</v>
      </c>
      <c r="AO414" s="4">
        <v>99</v>
      </c>
      <c r="AP414" s="4">
        <v>80111600</v>
      </c>
    </row>
    <row r="415" spans="1:42" s="4" customFormat="1" x14ac:dyDescent="0.25">
      <c r="A415" s="3">
        <v>4604783</v>
      </c>
      <c r="B415" s="28">
        <v>41968</v>
      </c>
      <c r="C415" s="3" t="s">
        <v>1278</v>
      </c>
      <c r="D415" s="3">
        <v>10004582</v>
      </c>
      <c r="E415" s="4">
        <v>4534134</v>
      </c>
      <c r="F415" s="3" t="s">
        <v>49</v>
      </c>
      <c r="G415" s="4" t="s">
        <v>311</v>
      </c>
      <c r="H415" s="4" t="s">
        <v>1729</v>
      </c>
      <c r="I415" s="5">
        <v>71000</v>
      </c>
      <c r="J415" s="3" t="s">
        <v>1040</v>
      </c>
      <c r="K415" s="3" t="s">
        <v>77</v>
      </c>
      <c r="L415" s="3" t="s">
        <v>119</v>
      </c>
      <c r="M415" s="4" t="s">
        <v>1729</v>
      </c>
      <c r="N415" s="3" t="s">
        <v>56</v>
      </c>
      <c r="O415" s="3"/>
      <c r="Q415" s="3"/>
      <c r="R415" s="3"/>
      <c r="Y415" s="4" t="s">
        <v>178</v>
      </c>
      <c r="Z415" s="4" t="s">
        <v>178</v>
      </c>
      <c r="AA415" s="4" t="s">
        <v>188</v>
      </c>
      <c r="AB415" s="3" t="s">
        <v>1730</v>
      </c>
      <c r="AC415" s="3" t="s">
        <v>190</v>
      </c>
      <c r="AD415" s="3" t="s">
        <v>444</v>
      </c>
      <c r="AE415" s="3">
        <v>1000</v>
      </c>
      <c r="AI415" s="4" t="s">
        <v>181</v>
      </c>
      <c r="AJ415" s="4" t="s">
        <v>181</v>
      </c>
      <c r="AK415" s="3"/>
      <c r="AL415" s="4">
        <v>141807</v>
      </c>
      <c r="AM415" s="5">
        <v>71000</v>
      </c>
      <c r="AN415" s="4" t="s">
        <v>124</v>
      </c>
      <c r="AO415" s="4">
        <v>98</v>
      </c>
      <c r="AP415" s="4">
        <v>80111600</v>
      </c>
    </row>
    <row r="416" spans="1:42" s="4" customFormat="1" x14ac:dyDescent="0.25">
      <c r="A416" s="3">
        <v>4604789</v>
      </c>
      <c r="B416" s="28">
        <v>41946</v>
      </c>
      <c r="C416" s="3" t="s">
        <v>1278</v>
      </c>
      <c r="D416" s="3">
        <v>10004534</v>
      </c>
      <c r="E416" s="4">
        <v>4534140</v>
      </c>
      <c r="F416" s="3" t="s">
        <v>49</v>
      </c>
      <c r="G416" s="4" t="s">
        <v>1738</v>
      </c>
      <c r="H416" s="4" t="s">
        <v>1739</v>
      </c>
      <c r="I416" s="5">
        <v>46310</v>
      </c>
      <c r="J416" s="3" t="s">
        <v>1691</v>
      </c>
      <c r="K416" s="3" t="s">
        <v>324</v>
      </c>
      <c r="L416" s="3" t="s">
        <v>119</v>
      </c>
      <c r="M416" s="4" t="s">
        <v>1739</v>
      </c>
      <c r="N416" s="3" t="s">
        <v>56</v>
      </c>
      <c r="O416" s="3"/>
      <c r="Q416" s="3"/>
      <c r="R416" s="3"/>
      <c r="Y416" s="4" t="s">
        <v>1539</v>
      </c>
      <c r="Z416" s="4" t="s">
        <v>1539</v>
      </c>
      <c r="AA416" s="4" t="s">
        <v>1740</v>
      </c>
      <c r="AB416" s="3" t="s">
        <v>1741</v>
      </c>
      <c r="AC416" s="3" t="s">
        <v>1742</v>
      </c>
      <c r="AD416" s="3" t="s">
        <v>951</v>
      </c>
      <c r="AE416" s="3">
        <v>1000</v>
      </c>
      <c r="AI416" s="4" t="s">
        <v>1540</v>
      </c>
      <c r="AJ416" s="4" t="s">
        <v>1540</v>
      </c>
      <c r="AK416" s="3"/>
      <c r="AL416" s="4">
        <v>141822</v>
      </c>
      <c r="AM416" s="5">
        <v>46310</v>
      </c>
      <c r="AN416" s="4" t="s">
        <v>124</v>
      </c>
      <c r="AO416" s="4">
        <v>99</v>
      </c>
      <c r="AP416" s="4">
        <v>80101507</v>
      </c>
    </row>
    <row r="417" spans="1:42" s="4" customFormat="1" x14ac:dyDescent="0.25">
      <c r="A417" s="3">
        <v>4604792</v>
      </c>
      <c r="B417" s="28">
        <v>41964</v>
      </c>
      <c r="C417" s="3" t="s">
        <v>1278</v>
      </c>
      <c r="D417" s="3">
        <v>10004575</v>
      </c>
      <c r="E417" s="4">
        <v>4534143</v>
      </c>
      <c r="F417" s="3" t="s">
        <v>49</v>
      </c>
      <c r="G417" s="4" t="s">
        <v>1471</v>
      </c>
      <c r="H417" s="4" t="s">
        <v>1690</v>
      </c>
      <c r="I417" s="5">
        <v>409938.32</v>
      </c>
      <c r="J417" s="3" t="s">
        <v>1724</v>
      </c>
      <c r="K417" s="3" t="s">
        <v>137</v>
      </c>
      <c r="L417" s="3" t="s">
        <v>119</v>
      </c>
      <c r="M417" s="4" t="s">
        <v>1746</v>
      </c>
      <c r="N417" s="3" t="s">
        <v>56</v>
      </c>
      <c r="O417" s="3"/>
      <c r="Q417" s="3"/>
      <c r="R417" s="3"/>
      <c r="Y417" s="4" t="s">
        <v>1056</v>
      </c>
      <c r="Z417" s="4" t="s">
        <v>1056</v>
      </c>
      <c r="AA417" s="4" t="s">
        <v>1474</v>
      </c>
      <c r="AB417" s="3" t="s">
        <v>1475</v>
      </c>
      <c r="AC417" s="3" t="s">
        <v>1476</v>
      </c>
      <c r="AD417" s="3" t="s">
        <v>1747</v>
      </c>
      <c r="AE417" s="3">
        <v>1000</v>
      </c>
      <c r="AI417" s="4" t="s">
        <v>1058</v>
      </c>
      <c r="AJ417" s="4" t="s">
        <v>1058</v>
      </c>
      <c r="AK417" s="3"/>
      <c r="AL417" s="4">
        <v>48891</v>
      </c>
      <c r="AM417" s="5">
        <v>409938.32</v>
      </c>
      <c r="AN417" s="4" t="s">
        <v>124</v>
      </c>
      <c r="AO417" s="4">
        <v>99</v>
      </c>
      <c r="AP417" s="4">
        <v>43211503</v>
      </c>
    </row>
    <row r="418" spans="1:42" s="4" customFormat="1" x14ac:dyDescent="0.25">
      <c r="A418" s="3">
        <v>4604795</v>
      </c>
      <c r="B418" s="28">
        <v>41975</v>
      </c>
      <c r="C418" s="3" t="s">
        <v>1278</v>
      </c>
      <c r="D418" s="3">
        <v>10004587</v>
      </c>
      <c r="E418" s="4">
        <v>4534146</v>
      </c>
      <c r="F418" s="3" t="s">
        <v>49</v>
      </c>
      <c r="G418" s="4" t="s">
        <v>410</v>
      </c>
      <c r="H418" s="4" t="s">
        <v>1748</v>
      </c>
      <c r="I418" s="5">
        <v>84128</v>
      </c>
      <c r="J418" s="3" t="s">
        <v>1743</v>
      </c>
      <c r="K418" s="3" t="s">
        <v>321</v>
      </c>
      <c r="L418" s="3" t="s">
        <v>119</v>
      </c>
      <c r="M418" s="4" t="s">
        <v>1748</v>
      </c>
      <c r="N418" s="3" t="s">
        <v>56</v>
      </c>
      <c r="O418" s="3"/>
      <c r="Q418" s="3"/>
      <c r="R418" s="3"/>
      <c r="Y418" s="4" t="s">
        <v>1700</v>
      </c>
      <c r="Z418" s="4" t="s">
        <v>1700</v>
      </c>
      <c r="AA418" s="4" t="s">
        <v>1284</v>
      </c>
      <c r="AB418" s="3" t="s">
        <v>1749</v>
      </c>
      <c r="AC418" s="3" t="s">
        <v>1286</v>
      </c>
      <c r="AD418" s="3" t="s">
        <v>486</v>
      </c>
      <c r="AE418" s="3">
        <v>1000</v>
      </c>
      <c r="AI418" s="4" t="s">
        <v>1701</v>
      </c>
      <c r="AJ418" s="4" t="s">
        <v>1701</v>
      </c>
      <c r="AK418" s="3"/>
      <c r="AL418" s="4">
        <v>141810</v>
      </c>
      <c r="AM418" s="5">
        <v>84128</v>
      </c>
      <c r="AN418" s="4" t="s">
        <v>124</v>
      </c>
      <c r="AO418" s="4">
        <v>99</v>
      </c>
      <c r="AP418" s="4">
        <v>80101507</v>
      </c>
    </row>
    <row r="419" spans="1:42" s="4" customFormat="1" x14ac:dyDescent="0.25">
      <c r="A419" s="3">
        <v>4604804</v>
      </c>
      <c r="B419" s="28">
        <v>41988</v>
      </c>
      <c r="C419" s="3" t="s">
        <v>1278</v>
      </c>
      <c r="D419" s="3">
        <v>10004607</v>
      </c>
      <c r="E419" s="4">
        <v>4534155</v>
      </c>
      <c r="F419" s="3" t="s">
        <v>49</v>
      </c>
      <c r="G419" s="4" t="s">
        <v>1357</v>
      </c>
      <c r="H419" s="4" t="s">
        <v>1754</v>
      </c>
      <c r="I419" s="5">
        <v>27500</v>
      </c>
      <c r="J419" s="3" t="s">
        <v>1753</v>
      </c>
      <c r="K419" s="3" t="s">
        <v>77</v>
      </c>
      <c r="L419" s="3" t="s">
        <v>119</v>
      </c>
      <c r="M419" s="4" t="s">
        <v>1754</v>
      </c>
      <c r="N419" s="3" t="s">
        <v>56</v>
      </c>
      <c r="O419" s="3"/>
      <c r="Q419" s="3"/>
      <c r="R419" s="3"/>
      <c r="Y419" s="4" t="s">
        <v>1309</v>
      </c>
      <c r="Z419" s="4" t="s">
        <v>1309</v>
      </c>
      <c r="AA419" s="4" t="s">
        <v>1324</v>
      </c>
      <c r="AB419" s="3" t="s">
        <v>1359</v>
      </c>
      <c r="AC419" s="3" t="s">
        <v>1326</v>
      </c>
      <c r="AD419" s="3" t="s">
        <v>1755</v>
      </c>
      <c r="AE419" s="3">
        <v>1000</v>
      </c>
      <c r="AI419" s="4" t="s">
        <v>1313</v>
      </c>
      <c r="AJ419" s="4" t="s">
        <v>1313</v>
      </c>
      <c r="AK419" s="3"/>
      <c r="AL419" s="4">
        <v>49941</v>
      </c>
      <c r="AM419" s="5">
        <v>27500</v>
      </c>
      <c r="AN419" s="4" t="s">
        <v>124</v>
      </c>
      <c r="AO419" s="4">
        <v>99</v>
      </c>
      <c r="AP419" s="4">
        <v>80101507</v>
      </c>
    </row>
    <row r="420" spans="1:42" s="4" customFormat="1" x14ac:dyDescent="0.25">
      <c r="A420" s="3">
        <v>4604808</v>
      </c>
      <c r="B420" s="28">
        <v>41977</v>
      </c>
      <c r="C420" s="3" t="s">
        <v>1278</v>
      </c>
      <c r="D420" s="3">
        <v>10004589</v>
      </c>
      <c r="E420" s="4">
        <v>4534159</v>
      </c>
      <c r="F420" s="3" t="s">
        <v>49</v>
      </c>
      <c r="G420" s="4" t="s">
        <v>1759</v>
      </c>
      <c r="H420" s="4" t="s">
        <v>1760</v>
      </c>
      <c r="I420" s="5">
        <v>183361.2</v>
      </c>
      <c r="J420" s="3" t="s">
        <v>1758</v>
      </c>
      <c r="K420" s="3" t="s">
        <v>77</v>
      </c>
      <c r="L420" s="3" t="s">
        <v>119</v>
      </c>
      <c r="M420" s="4" t="s">
        <v>1760</v>
      </c>
      <c r="N420" s="3" t="s">
        <v>56</v>
      </c>
      <c r="O420" s="3"/>
      <c r="Q420" s="3"/>
      <c r="R420" s="3"/>
      <c r="Y420" s="4" t="s">
        <v>1309</v>
      </c>
      <c r="Z420" s="4" t="s">
        <v>1309</v>
      </c>
      <c r="AA420" s="4">
        <v>20000194</v>
      </c>
      <c r="AB420" s="3" t="s">
        <v>1761</v>
      </c>
      <c r="AC420" s="3" t="s">
        <v>1719</v>
      </c>
      <c r="AD420" s="3" t="s">
        <v>422</v>
      </c>
      <c r="AE420" s="3">
        <v>1000</v>
      </c>
      <c r="AI420" s="4" t="s">
        <v>1313</v>
      </c>
      <c r="AJ420" s="4" t="s">
        <v>1313</v>
      </c>
      <c r="AK420" s="3"/>
      <c r="AL420" s="4">
        <v>141842</v>
      </c>
      <c r="AM420" s="5">
        <v>183361.2</v>
      </c>
      <c r="AN420" s="4" t="s">
        <v>124</v>
      </c>
      <c r="AO420" s="4">
        <v>98</v>
      </c>
      <c r="AP420" s="4">
        <v>80101507</v>
      </c>
    </row>
    <row r="421" spans="1:42" s="4" customFormat="1" x14ac:dyDescent="0.25">
      <c r="A421" s="3">
        <v>4604810</v>
      </c>
      <c r="B421" s="28">
        <v>42013</v>
      </c>
      <c r="C421" s="3" t="s">
        <v>1278</v>
      </c>
      <c r="D421" s="3">
        <v>10004612</v>
      </c>
      <c r="E421" s="4">
        <v>4534161</v>
      </c>
      <c r="F421" s="3" t="s">
        <v>49</v>
      </c>
      <c r="G421" s="4" t="s">
        <v>1357</v>
      </c>
      <c r="H421" s="4" t="s">
        <v>1763</v>
      </c>
      <c r="I421" s="5">
        <v>748717.13</v>
      </c>
      <c r="J421" s="3" t="s">
        <v>1762</v>
      </c>
      <c r="K421" s="3" t="s">
        <v>77</v>
      </c>
      <c r="L421" s="3" t="s">
        <v>119</v>
      </c>
      <c r="M421" s="4" t="s">
        <v>1763</v>
      </c>
      <c r="N421" s="3" t="s">
        <v>56</v>
      </c>
      <c r="O421" s="3"/>
      <c r="Q421" s="3"/>
      <c r="R421" s="3"/>
      <c r="Y421" s="4" t="s">
        <v>1309</v>
      </c>
      <c r="Z421" s="4" t="s">
        <v>1309</v>
      </c>
      <c r="AA421" s="4" t="s">
        <v>1324</v>
      </c>
      <c r="AB421" s="3" t="s">
        <v>1359</v>
      </c>
      <c r="AC421" s="3" t="s">
        <v>1326</v>
      </c>
      <c r="AD421" s="3" t="s">
        <v>77</v>
      </c>
      <c r="AE421" s="3">
        <v>1000</v>
      </c>
      <c r="AI421" s="4" t="s">
        <v>1313</v>
      </c>
      <c r="AJ421" s="4" t="s">
        <v>1313</v>
      </c>
      <c r="AK421" s="3"/>
      <c r="AL421" s="4">
        <v>49941</v>
      </c>
      <c r="AM421" s="5">
        <v>748717.13</v>
      </c>
      <c r="AN421" s="4" t="s">
        <v>124</v>
      </c>
      <c r="AO421" s="4">
        <v>97</v>
      </c>
      <c r="AP421" s="4">
        <v>80101507</v>
      </c>
    </row>
    <row r="422" spans="1:42" s="4" customFormat="1" x14ac:dyDescent="0.25">
      <c r="A422" s="3">
        <v>4604812</v>
      </c>
      <c r="B422" s="28">
        <v>41990</v>
      </c>
      <c r="C422" s="3" t="s">
        <v>1278</v>
      </c>
      <c r="D422" s="3">
        <v>10004611</v>
      </c>
      <c r="E422" s="4">
        <v>4534163</v>
      </c>
      <c r="F422" s="3" t="s">
        <v>49</v>
      </c>
      <c r="G422" s="4" t="s">
        <v>1053</v>
      </c>
      <c r="I422" s="5">
        <v>9100</v>
      </c>
      <c r="J422" s="3" t="s">
        <v>404</v>
      </c>
      <c r="K422" s="3" t="s">
        <v>901</v>
      </c>
      <c r="L422" s="3" t="s">
        <v>119</v>
      </c>
      <c r="M422" s="4" t="s">
        <v>1766</v>
      </c>
      <c r="N422" s="3" t="s">
        <v>56</v>
      </c>
      <c r="O422" s="3"/>
      <c r="Q422" s="3"/>
      <c r="R422" s="3"/>
      <c r="Y422" s="4" t="s">
        <v>1056</v>
      </c>
      <c r="Z422" s="4" t="s">
        <v>1056</v>
      </c>
      <c r="AB422" s="3"/>
      <c r="AC422" s="3"/>
      <c r="AD422" s="3" t="s">
        <v>1240</v>
      </c>
      <c r="AE422" s="3">
        <v>1000</v>
      </c>
      <c r="AI422" s="4" t="s">
        <v>1058</v>
      </c>
      <c r="AJ422" s="4" t="s">
        <v>1058</v>
      </c>
      <c r="AK422" s="3"/>
      <c r="AL422" s="4">
        <v>140248</v>
      </c>
      <c r="AM422" s="5">
        <v>9100</v>
      </c>
      <c r="AN422" s="4" t="s">
        <v>124</v>
      </c>
    </row>
    <row r="423" spans="1:42" s="4" customFormat="1" x14ac:dyDescent="0.25">
      <c r="A423" s="3">
        <v>4604813</v>
      </c>
      <c r="B423" s="28">
        <v>41989</v>
      </c>
      <c r="C423" s="3" t="s">
        <v>1278</v>
      </c>
      <c r="D423" s="3">
        <v>10004602</v>
      </c>
      <c r="E423" s="4">
        <v>4534164</v>
      </c>
      <c r="F423" s="3" t="s">
        <v>49</v>
      </c>
      <c r="G423" s="4" t="s">
        <v>1053</v>
      </c>
      <c r="H423" s="4" t="s">
        <v>1767</v>
      </c>
      <c r="I423" s="5">
        <v>98230</v>
      </c>
      <c r="J423" s="3" t="s">
        <v>437</v>
      </c>
      <c r="K423" s="3" t="s">
        <v>498</v>
      </c>
      <c r="L423" s="3" t="s">
        <v>119</v>
      </c>
      <c r="M423" s="4" t="s">
        <v>1768</v>
      </c>
      <c r="N423" s="3" t="s">
        <v>56</v>
      </c>
      <c r="O423" s="3"/>
      <c r="Q423" s="3"/>
      <c r="R423" s="3"/>
      <c r="Y423" s="4" t="s">
        <v>1056</v>
      </c>
      <c r="Z423" s="4" t="s">
        <v>1056</v>
      </c>
      <c r="AA423" s="4" t="s">
        <v>1057</v>
      </c>
      <c r="AB423" s="3" t="s">
        <v>1057</v>
      </c>
      <c r="AC423" s="3" t="s">
        <v>1340</v>
      </c>
      <c r="AD423" s="3" t="s">
        <v>369</v>
      </c>
      <c r="AE423" s="3">
        <v>1000</v>
      </c>
      <c r="AI423" s="4" t="s">
        <v>1058</v>
      </c>
      <c r="AJ423" s="4" t="s">
        <v>1058</v>
      </c>
      <c r="AK423" s="3"/>
      <c r="AL423" s="4">
        <v>140248</v>
      </c>
      <c r="AM423" s="5">
        <v>98230</v>
      </c>
      <c r="AN423" s="4" t="s">
        <v>124</v>
      </c>
      <c r="AO423" s="4">
        <v>99</v>
      </c>
      <c r="AP423" s="4">
        <v>43210000</v>
      </c>
    </row>
    <row r="424" spans="1:42" s="4" customFormat="1" x14ac:dyDescent="0.25">
      <c r="A424" s="3">
        <v>4604816</v>
      </c>
      <c r="B424" s="28">
        <v>41996</v>
      </c>
      <c r="C424" s="3" t="s">
        <v>1278</v>
      </c>
      <c r="D424" s="3">
        <v>10004615</v>
      </c>
      <c r="E424" s="4">
        <v>4534167</v>
      </c>
      <c r="F424" s="3" t="s">
        <v>49</v>
      </c>
      <c r="G424" s="4" t="s">
        <v>347</v>
      </c>
      <c r="H424" s="4" t="s">
        <v>1769</v>
      </c>
      <c r="I424" s="5">
        <v>23000</v>
      </c>
      <c r="J424" s="3" t="s">
        <v>442</v>
      </c>
      <c r="K424" s="3" t="s">
        <v>1770</v>
      </c>
      <c r="L424" s="3" t="s">
        <v>119</v>
      </c>
      <c r="M424" s="4" t="s">
        <v>1769</v>
      </c>
      <c r="N424" s="3" t="s">
        <v>56</v>
      </c>
      <c r="O424" s="3"/>
      <c r="Q424" s="3"/>
      <c r="R424" s="3"/>
      <c r="Y424" s="4" t="s">
        <v>1309</v>
      </c>
      <c r="Z424" s="4" t="s">
        <v>1309</v>
      </c>
      <c r="AA424" s="4" t="s">
        <v>1310</v>
      </c>
      <c r="AB424" s="3" t="s">
        <v>1311</v>
      </c>
      <c r="AC424" s="3" t="s">
        <v>1312</v>
      </c>
      <c r="AD424" s="3" t="s">
        <v>1771</v>
      </c>
      <c r="AE424" s="3">
        <v>1000</v>
      </c>
      <c r="AI424" s="4" t="s">
        <v>1313</v>
      </c>
      <c r="AJ424" s="4" t="s">
        <v>1313</v>
      </c>
      <c r="AK424" s="3"/>
      <c r="AL424" s="4">
        <v>40471</v>
      </c>
      <c r="AM424" s="5">
        <v>23000</v>
      </c>
      <c r="AN424" s="4" t="s">
        <v>124</v>
      </c>
      <c r="AO424" s="4">
        <v>99</v>
      </c>
      <c r="AP424" s="4">
        <v>82111900</v>
      </c>
    </row>
    <row r="425" spans="1:42" s="4" customFormat="1" x14ac:dyDescent="0.25">
      <c r="A425" s="3">
        <v>4604820</v>
      </c>
      <c r="B425" s="28">
        <v>41991</v>
      </c>
      <c r="C425" s="3" t="s">
        <v>1278</v>
      </c>
      <c r="D425" s="3">
        <v>10004614</v>
      </c>
      <c r="E425" s="4">
        <v>4534171</v>
      </c>
      <c r="F425" s="3" t="s">
        <v>49</v>
      </c>
      <c r="G425" s="4" t="s">
        <v>1321</v>
      </c>
      <c r="H425" s="4" t="s">
        <v>1776</v>
      </c>
      <c r="I425" s="5">
        <v>25100</v>
      </c>
      <c r="J425" s="3" t="s">
        <v>1240</v>
      </c>
      <c r="K425" s="3" t="s">
        <v>1037</v>
      </c>
      <c r="L425" s="3" t="s">
        <v>119</v>
      </c>
      <c r="M425" s="4" t="s">
        <v>1776</v>
      </c>
      <c r="N425" s="3" t="s">
        <v>56</v>
      </c>
      <c r="O425" s="3"/>
      <c r="Q425" s="3"/>
      <c r="R425" s="3"/>
      <c r="Y425" s="4" t="s">
        <v>1309</v>
      </c>
      <c r="Z425" s="4" t="s">
        <v>1309</v>
      </c>
      <c r="AA425" s="4" t="s">
        <v>1324</v>
      </c>
      <c r="AB425" s="3" t="s">
        <v>1325</v>
      </c>
      <c r="AC425" s="3" t="s">
        <v>1326</v>
      </c>
      <c r="AD425" s="3" t="s">
        <v>447</v>
      </c>
      <c r="AE425" s="3">
        <v>1000</v>
      </c>
      <c r="AI425" s="4" t="s">
        <v>1313</v>
      </c>
      <c r="AJ425" s="4" t="s">
        <v>1313</v>
      </c>
      <c r="AK425" s="3"/>
      <c r="AL425" s="4">
        <v>140474</v>
      </c>
      <c r="AM425" s="5">
        <v>25100</v>
      </c>
      <c r="AN425" s="4" t="s">
        <v>124</v>
      </c>
      <c r="AO425" s="4">
        <v>99</v>
      </c>
      <c r="AP425" s="4">
        <v>80101507</v>
      </c>
    </row>
    <row r="426" spans="1:42" s="4" customFormat="1" x14ac:dyDescent="0.25">
      <c r="A426" s="3">
        <v>4604824</v>
      </c>
      <c r="B426" s="28">
        <v>42016</v>
      </c>
      <c r="C426" s="3" t="s">
        <v>1278</v>
      </c>
      <c r="D426" s="3">
        <v>10004622</v>
      </c>
      <c r="E426" s="4">
        <v>4534175</v>
      </c>
      <c r="F426" s="3" t="s">
        <v>49</v>
      </c>
      <c r="G426" s="4" t="s">
        <v>1454</v>
      </c>
      <c r="H426" s="4" t="s">
        <v>1784</v>
      </c>
      <c r="I426" s="5">
        <v>33594</v>
      </c>
      <c r="J426" s="3" t="s">
        <v>335</v>
      </c>
      <c r="K426" s="3" t="s">
        <v>480</v>
      </c>
      <c r="L426" s="3" t="s">
        <v>119</v>
      </c>
      <c r="M426" s="4" t="s">
        <v>1784</v>
      </c>
      <c r="N426" s="3" t="s">
        <v>25</v>
      </c>
      <c r="O426" s="3"/>
      <c r="Q426" s="3"/>
      <c r="R426" s="3"/>
      <c r="Y426" s="4" t="s">
        <v>1785</v>
      </c>
      <c r="Z426" s="4" t="s">
        <v>1785</v>
      </c>
      <c r="AA426" s="4" t="s">
        <v>1786</v>
      </c>
      <c r="AB426" s="3"/>
      <c r="AC426" s="3"/>
      <c r="AD426" s="3" t="s">
        <v>335</v>
      </c>
      <c r="AE426" s="3">
        <v>1000</v>
      </c>
      <c r="AI426" s="4" t="s">
        <v>1787</v>
      </c>
      <c r="AJ426" s="4" t="s">
        <v>1787</v>
      </c>
      <c r="AK426" s="3"/>
      <c r="AL426" s="4">
        <v>141769</v>
      </c>
      <c r="AM426" s="5">
        <v>33594</v>
      </c>
      <c r="AN426" s="4" t="s">
        <v>124</v>
      </c>
      <c r="AO426" s="4">
        <v>99</v>
      </c>
      <c r="AP426" s="4">
        <v>72100000</v>
      </c>
    </row>
    <row r="427" spans="1:42" s="4" customFormat="1" x14ac:dyDescent="0.25">
      <c r="A427" s="3">
        <v>4604828</v>
      </c>
      <c r="B427" s="28">
        <v>42018</v>
      </c>
      <c r="C427" s="3" t="s">
        <v>1278</v>
      </c>
      <c r="D427" s="3">
        <v>10004623</v>
      </c>
      <c r="E427" s="4">
        <v>4534179</v>
      </c>
      <c r="F427" s="3" t="s">
        <v>49</v>
      </c>
      <c r="G427" s="4" t="s">
        <v>1053</v>
      </c>
      <c r="H427" s="4" t="s">
        <v>1767</v>
      </c>
      <c r="I427" s="5">
        <v>126500</v>
      </c>
      <c r="J427" s="3" t="s">
        <v>335</v>
      </c>
      <c r="K427" s="3" t="s">
        <v>1037</v>
      </c>
      <c r="L427" s="3" t="s">
        <v>119</v>
      </c>
      <c r="M427" s="4" t="s">
        <v>1791</v>
      </c>
      <c r="N427" s="3" t="s">
        <v>56</v>
      </c>
      <c r="O427" s="3"/>
      <c r="Q427" s="3"/>
      <c r="R427" s="3"/>
      <c r="Y427" s="4" t="s">
        <v>1056</v>
      </c>
      <c r="Z427" s="4" t="s">
        <v>1056</v>
      </c>
      <c r="AA427" s="4" t="s">
        <v>1057</v>
      </c>
      <c r="AB427" s="3" t="s">
        <v>1057</v>
      </c>
      <c r="AC427" s="3" t="s">
        <v>1340</v>
      </c>
      <c r="AD427" s="3" t="s">
        <v>340</v>
      </c>
      <c r="AE427" s="3">
        <v>1000</v>
      </c>
      <c r="AI427" s="4" t="s">
        <v>1058</v>
      </c>
      <c r="AJ427" s="4" t="s">
        <v>1058</v>
      </c>
      <c r="AK427" s="3"/>
      <c r="AL427" s="4">
        <v>140248</v>
      </c>
      <c r="AM427" s="5">
        <v>126500</v>
      </c>
      <c r="AN427" s="4" t="s">
        <v>124</v>
      </c>
      <c r="AO427" s="4">
        <v>99</v>
      </c>
      <c r="AP427" s="4">
        <v>43210000</v>
      </c>
    </row>
    <row r="428" spans="1:42" s="4" customFormat="1" x14ac:dyDescent="0.25">
      <c r="A428" s="3">
        <v>4604830</v>
      </c>
      <c r="B428" s="28">
        <v>42020</v>
      </c>
      <c r="C428" s="3" t="s">
        <v>1278</v>
      </c>
      <c r="D428" s="3">
        <v>10004630</v>
      </c>
      <c r="E428" s="4">
        <v>4534181</v>
      </c>
      <c r="F428" s="3" t="s">
        <v>49</v>
      </c>
      <c r="G428" s="4" t="s">
        <v>1053</v>
      </c>
      <c r="H428" s="4" t="s">
        <v>1792</v>
      </c>
      <c r="I428" s="5">
        <v>199724.79999999999</v>
      </c>
      <c r="J428" s="3" t="s">
        <v>1770</v>
      </c>
      <c r="K428" s="3" t="s">
        <v>498</v>
      </c>
      <c r="L428" s="3" t="s">
        <v>119</v>
      </c>
      <c r="M428" s="4" t="s">
        <v>1793</v>
      </c>
      <c r="N428" s="3" t="s">
        <v>56</v>
      </c>
      <c r="O428" s="3"/>
      <c r="Q428" s="3"/>
      <c r="R428" s="3"/>
      <c r="Y428" s="4" t="s">
        <v>1056</v>
      </c>
      <c r="Z428" s="4" t="s">
        <v>1056</v>
      </c>
      <c r="AA428" s="4" t="s">
        <v>1057</v>
      </c>
      <c r="AB428" s="3" t="s">
        <v>1057</v>
      </c>
      <c r="AC428" s="3" t="s">
        <v>1340</v>
      </c>
      <c r="AD428" s="3" t="s">
        <v>485</v>
      </c>
      <c r="AE428" s="3">
        <v>1000</v>
      </c>
      <c r="AI428" s="4" t="s">
        <v>1058</v>
      </c>
      <c r="AJ428" s="4" t="s">
        <v>1058</v>
      </c>
      <c r="AK428" s="3"/>
      <c r="AL428" s="4">
        <v>140248</v>
      </c>
      <c r="AM428" s="5">
        <v>199724.79999999999</v>
      </c>
      <c r="AN428" s="4" t="s">
        <v>124</v>
      </c>
      <c r="AO428" s="4">
        <v>98</v>
      </c>
      <c r="AP428" s="4">
        <v>43222800</v>
      </c>
    </row>
    <row r="429" spans="1:42" s="4" customFormat="1" x14ac:dyDescent="0.25">
      <c r="A429" s="3">
        <v>4604836</v>
      </c>
      <c r="B429" s="28">
        <v>42065</v>
      </c>
      <c r="C429" s="3" t="s">
        <v>1278</v>
      </c>
      <c r="D429" s="3">
        <v>10004631</v>
      </c>
      <c r="E429" s="4">
        <v>4534187</v>
      </c>
      <c r="F429" s="3" t="s">
        <v>49</v>
      </c>
      <c r="G429" s="4" t="s">
        <v>1454</v>
      </c>
      <c r="H429" s="4" t="s">
        <v>1798</v>
      </c>
      <c r="I429" s="5">
        <v>35000</v>
      </c>
      <c r="J429" s="3" t="s">
        <v>1770</v>
      </c>
      <c r="K429" s="3" t="s">
        <v>1159</v>
      </c>
      <c r="L429" s="3" t="s">
        <v>119</v>
      </c>
      <c r="M429" s="4" t="s">
        <v>1799</v>
      </c>
      <c r="N429" s="3" t="s">
        <v>25</v>
      </c>
      <c r="O429" s="3"/>
      <c r="Q429" s="3"/>
      <c r="R429" s="3"/>
      <c r="Y429" s="4" t="s">
        <v>1141</v>
      </c>
      <c r="Z429" s="4" t="s">
        <v>1141</v>
      </c>
      <c r="AA429" s="4" t="s">
        <v>1645</v>
      </c>
      <c r="AB429" s="3"/>
      <c r="AC429" s="3"/>
      <c r="AD429" s="3" t="s">
        <v>475</v>
      </c>
      <c r="AE429" s="3">
        <v>1000</v>
      </c>
      <c r="AI429" s="4" t="s">
        <v>1144</v>
      </c>
      <c r="AJ429" s="4" t="s">
        <v>1144</v>
      </c>
      <c r="AK429" s="3"/>
      <c r="AL429" s="4">
        <v>141769</v>
      </c>
      <c r="AM429" s="5">
        <v>35000</v>
      </c>
      <c r="AN429" s="4" t="s">
        <v>124</v>
      </c>
      <c r="AO429" s="4">
        <v>99</v>
      </c>
      <c r="AP429" s="4">
        <v>72101500</v>
      </c>
    </row>
    <row r="430" spans="1:42" s="4" customFormat="1" x14ac:dyDescent="0.25">
      <c r="A430" s="3">
        <v>4604843</v>
      </c>
      <c r="B430" s="28">
        <v>42035</v>
      </c>
      <c r="C430" s="3" t="s">
        <v>1278</v>
      </c>
      <c r="D430" s="3">
        <v>10004641</v>
      </c>
      <c r="E430" s="4">
        <v>4534194</v>
      </c>
      <c r="F430" s="3" t="s">
        <v>49</v>
      </c>
      <c r="G430" s="4" t="s">
        <v>1303</v>
      </c>
      <c r="H430" s="4" t="s">
        <v>1801</v>
      </c>
      <c r="I430" s="5">
        <v>136125</v>
      </c>
      <c r="J430" s="3" t="s">
        <v>137</v>
      </c>
      <c r="K430" s="3" t="s">
        <v>294</v>
      </c>
      <c r="L430" s="3" t="s">
        <v>119</v>
      </c>
      <c r="M430" s="4" t="s">
        <v>1801</v>
      </c>
      <c r="N430" s="3" t="s">
        <v>25</v>
      </c>
      <c r="O430" s="3"/>
      <c r="Q430" s="3"/>
      <c r="R430" s="3"/>
      <c r="Y430" s="4" t="s">
        <v>1309</v>
      </c>
      <c r="Z430" s="4" t="s">
        <v>1309</v>
      </c>
      <c r="AA430" s="4" t="s">
        <v>1802</v>
      </c>
      <c r="AB430" s="3"/>
      <c r="AC430" s="3"/>
      <c r="AD430" s="3" t="s">
        <v>122</v>
      </c>
      <c r="AE430" s="3">
        <v>1000</v>
      </c>
      <c r="AI430" s="4" t="s">
        <v>1313</v>
      </c>
      <c r="AJ430" s="4" t="s">
        <v>1313</v>
      </c>
      <c r="AK430" s="3"/>
      <c r="AL430" s="4">
        <v>141677</v>
      </c>
      <c r="AM430" s="5">
        <v>136125</v>
      </c>
      <c r="AN430" s="4" t="s">
        <v>124</v>
      </c>
      <c r="AO430" s="4">
        <v>99</v>
      </c>
      <c r="AP430" s="4">
        <v>43230000</v>
      </c>
    </row>
    <row r="431" spans="1:42" s="4" customFormat="1" x14ac:dyDescent="0.25">
      <c r="A431" s="3">
        <v>4604856</v>
      </c>
      <c r="B431" s="28">
        <v>42061</v>
      </c>
      <c r="C431" s="3" t="s">
        <v>1278</v>
      </c>
      <c r="D431" s="3">
        <v>10004661</v>
      </c>
      <c r="E431" s="4">
        <v>4534207</v>
      </c>
      <c r="F431" s="3" t="s">
        <v>49</v>
      </c>
      <c r="G431" s="4" t="s">
        <v>1818</v>
      </c>
      <c r="H431" s="4" t="s">
        <v>1819</v>
      </c>
      <c r="I431" s="5">
        <v>450000</v>
      </c>
      <c r="J431" s="3" t="s">
        <v>1269</v>
      </c>
      <c r="K431" s="3" t="s">
        <v>422</v>
      </c>
      <c r="L431" s="3" t="s">
        <v>119</v>
      </c>
      <c r="M431" s="4" t="s">
        <v>1820</v>
      </c>
      <c r="N431" s="3" t="s">
        <v>56</v>
      </c>
      <c r="O431" s="3"/>
      <c r="Q431" s="3"/>
      <c r="R431" s="3"/>
      <c r="Y431" s="4" t="s">
        <v>1056</v>
      </c>
      <c r="Z431" s="4" t="s">
        <v>1056</v>
      </c>
      <c r="AA431" s="4">
        <v>20000194</v>
      </c>
      <c r="AB431" s="3" t="s">
        <v>1821</v>
      </c>
      <c r="AC431" s="3" t="s">
        <v>1719</v>
      </c>
      <c r="AD431" s="3" t="s">
        <v>1269</v>
      </c>
      <c r="AE431" s="3">
        <v>1000</v>
      </c>
      <c r="AI431" s="4" t="s">
        <v>1058</v>
      </c>
      <c r="AJ431" s="4" t="s">
        <v>1058</v>
      </c>
      <c r="AK431" s="3"/>
      <c r="AL431" s="4">
        <v>44100</v>
      </c>
      <c r="AM431" s="5">
        <v>450000</v>
      </c>
      <c r="AN431" s="4" t="s">
        <v>124</v>
      </c>
      <c r="AO431" s="4">
        <v>99</v>
      </c>
      <c r="AP431" s="4">
        <v>81111900</v>
      </c>
    </row>
    <row r="432" spans="1:42" s="4" customFormat="1" x14ac:dyDescent="0.25">
      <c r="A432" s="3">
        <v>4604862</v>
      </c>
      <c r="B432" s="28">
        <v>42066</v>
      </c>
      <c r="C432" s="3" t="s">
        <v>1278</v>
      </c>
      <c r="D432" s="3">
        <v>10004675</v>
      </c>
      <c r="E432" s="4">
        <v>4534213</v>
      </c>
      <c r="F432" s="3" t="s">
        <v>49</v>
      </c>
      <c r="G432" s="4" t="s">
        <v>1174</v>
      </c>
      <c r="H432" s="4" t="s">
        <v>1832</v>
      </c>
      <c r="I432" s="5">
        <v>18810</v>
      </c>
      <c r="J432" s="3" t="s">
        <v>1833</v>
      </c>
      <c r="K432" s="3" t="s">
        <v>901</v>
      </c>
      <c r="L432" s="3" t="s">
        <v>119</v>
      </c>
      <c r="M432" s="4" t="s">
        <v>1832</v>
      </c>
      <c r="N432" s="3" t="s">
        <v>56</v>
      </c>
      <c r="O432" s="3" t="s">
        <v>139</v>
      </c>
      <c r="P432" s="4" t="s">
        <v>140</v>
      </c>
      <c r="Q432" s="3"/>
      <c r="R432" s="3"/>
      <c r="Y432" s="4" t="s">
        <v>540</v>
      </c>
      <c r="Z432" s="4" t="s">
        <v>1090</v>
      </c>
      <c r="AA432" s="4" t="s">
        <v>1284</v>
      </c>
      <c r="AB432" s="3" t="s">
        <v>1285</v>
      </c>
      <c r="AC432" s="3" t="s">
        <v>1286</v>
      </c>
      <c r="AD432" s="3" t="s">
        <v>484</v>
      </c>
      <c r="AE432" s="3">
        <v>1000</v>
      </c>
      <c r="AI432" s="4" t="s">
        <v>542</v>
      </c>
      <c r="AJ432" s="4" t="s">
        <v>1091</v>
      </c>
      <c r="AK432" s="3" t="s">
        <v>143</v>
      </c>
      <c r="AL432" s="4">
        <v>42811</v>
      </c>
      <c r="AM432" s="5">
        <v>18810</v>
      </c>
      <c r="AN432" s="4" t="s">
        <v>124</v>
      </c>
      <c r="AO432" s="4">
        <v>99</v>
      </c>
      <c r="AP432" s="4">
        <v>84111600</v>
      </c>
    </row>
    <row r="433" spans="1:42" s="4" customFormat="1" x14ac:dyDescent="0.25">
      <c r="A433" s="3">
        <v>4604863</v>
      </c>
      <c r="B433" s="28">
        <v>42038</v>
      </c>
      <c r="C433" s="3" t="s">
        <v>1278</v>
      </c>
      <c r="D433" s="3">
        <v>10004676</v>
      </c>
      <c r="E433" s="4">
        <v>4534214</v>
      </c>
      <c r="F433" s="3" t="s">
        <v>49</v>
      </c>
      <c r="G433" s="4" t="s">
        <v>174</v>
      </c>
      <c r="H433" s="4" t="s">
        <v>1834</v>
      </c>
      <c r="I433" s="5">
        <v>42526</v>
      </c>
      <c r="J433" s="3" t="s">
        <v>484</v>
      </c>
      <c r="K433" s="3" t="s">
        <v>1227</v>
      </c>
      <c r="L433" s="3" t="s">
        <v>119</v>
      </c>
      <c r="M433" s="4" t="s">
        <v>1834</v>
      </c>
      <c r="N433" s="3" t="s">
        <v>56</v>
      </c>
      <c r="O433" s="3"/>
      <c r="Q433" s="3"/>
      <c r="R433" s="3"/>
      <c r="Y433" s="4" t="s">
        <v>1700</v>
      </c>
      <c r="Z433" s="4" t="s">
        <v>1700</v>
      </c>
      <c r="AA433" s="4" t="s">
        <v>188</v>
      </c>
      <c r="AB433" s="3" t="s">
        <v>401</v>
      </c>
      <c r="AC433" s="3" t="s">
        <v>190</v>
      </c>
      <c r="AD433" s="3" t="s">
        <v>1227</v>
      </c>
      <c r="AE433" s="3">
        <v>1000</v>
      </c>
      <c r="AI433" s="4" t="s">
        <v>1701</v>
      </c>
      <c r="AJ433" s="4" t="s">
        <v>1701</v>
      </c>
      <c r="AK433" s="3"/>
      <c r="AL433" s="4">
        <v>40476</v>
      </c>
      <c r="AM433" s="5">
        <v>42526</v>
      </c>
      <c r="AN433" s="4" t="s">
        <v>124</v>
      </c>
      <c r="AO433" s="4">
        <v>99</v>
      </c>
      <c r="AP433" s="4">
        <v>80111600</v>
      </c>
    </row>
    <row r="434" spans="1:42" s="4" customFormat="1" x14ac:dyDescent="0.25">
      <c r="A434" s="3">
        <v>4604864</v>
      </c>
      <c r="B434" s="28">
        <v>42069</v>
      </c>
      <c r="C434" s="3" t="s">
        <v>1278</v>
      </c>
      <c r="D434" s="3">
        <v>10004679</v>
      </c>
      <c r="E434" s="4">
        <v>4534215</v>
      </c>
      <c r="F434" s="3" t="s">
        <v>49</v>
      </c>
      <c r="G434" s="4" t="s">
        <v>1321</v>
      </c>
      <c r="H434" s="4" t="s">
        <v>1760</v>
      </c>
      <c r="I434" s="5">
        <v>60000</v>
      </c>
      <c r="J434" s="3" t="s">
        <v>1591</v>
      </c>
      <c r="K434" s="3" t="s">
        <v>1037</v>
      </c>
      <c r="L434" s="3" t="s">
        <v>119</v>
      </c>
      <c r="M434" s="4" t="s">
        <v>1760</v>
      </c>
      <c r="N434" s="3" t="s">
        <v>56</v>
      </c>
      <c r="O434" s="3"/>
      <c r="Q434" s="3"/>
      <c r="R434" s="3"/>
      <c r="Y434" s="4" t="s">
        <v>1309</v>
      </c>
      <c r="Z434" s="4" t="s">
        <v>1309</v>
      </c>
      <c r="AA434" s="4" t="s">
        <v>1324</v>
      </c>
      <c r="AB434" s="3" t="s">
        <v>1325</v>
      </c>
      <c r="AC434" s="3" t="s">
        <v>1326</v>
      </c>
      <c r="AD434" s="3" t="s">
        <v>483</v>
      </c>
      <c r="AE434" s="3">
        <v>1000</v>
      </c>
      <c r="AI434" s="4" t="s">
        <v>1313</v>
      </c>
      <c r="AJ434" s="4" t="s">
        <v>1313</v>
      </c>
      <c r="AK434" s="3"/>
      <c r="AL434" s="4">
        <v>140474</v>
      </c>
      <c r="AM434" s="5">
        <v>60000</v>
      </c>
      <c r="AN434" s="4" t="s">
        <v>124</v>
      </c>
      <c r="AO434" s="4">
        <v>99</v>
      </c>
      <c r="AP434" s="4">
        <v>80101507</v>
      </c>
    </row>
    <row r="435" spans="1:42" s="4" customFormat="1" x14ac:dyDescent="0.25">
      <c r="A435" s="3">
        <v>4604865</v>
      </c>
      <c r="B435" s="28">
        <v>42065</v>
      </c>
      <c r="C435" s="3" t="s">
        <v>1278</v>
      </c>
      <c r="D435" s="3">
        <v>10004665</v>
      </c>
      <c r="E435" s="4">
        <v>4534216</v>
      </c>
      <c r="F435" s="3" t="s">
        <v>49</v>
      </c>
      <c r="G435" s="4" t="s">
        <v>1471</v>
      </c>
      <c r="H435" s="4" t="s">
        <v>1836</v>
      </c>
      <c r="I435" s="5">
        <v>59735.5</v>
      </c>
      <c r="J435" s="3" t="s">
        <v>480</v>
      </c>
      <c r="K435" s="3" t="s">
        <v>472</v>
      </c>
      <c r="L435" s="3" t="s">
        <v>119</v>
      </c>
      <c r="M435" s="4" t="s">
        <v>1837</v>
      </c>
      <c r="N435" s="3" t="s">
        <v>56</v>
      </c>
      <c r="O435" s="3"/>
      <c r="Q435" s="3"/>
      <c r="R435" s="3"/>
      <c r="Y435" s="4" t="s">
        <v>1056</v>
      </c>
      <c r="Z435" s="4" t="s">
        <v>1056</v>
      </c>
      <c r="AA435" s="4" t="s">
        <v>1474</v>
      </c>
      <c r="AB435" s="3" t="s">
        <v>1475</v>
      </c>
      <c r="AC435" s="3" t="s">
        <v>1476</v>
      </c>
      <c r="AD435" s="3" t="s">
        <v>472</v>
      </c>
      <c r="AE435" s="3">
        <v>1000</v>
      </c>
      <c r="AI435" s="4" t="s">
        <v>1058</v>
      </c>
      <c r="AJ435" s="4" t="s">
        <v>1058</v>
      </c>
      <c r="AK435" s="3"/>
      <c r="AL435" s="4">
        <v>48891</v>
      </c>
      <c r="AM435" s="5">
        <v>59735.5</v>
      </c>
      <c r="AN435" s="4" t="s">
        <v>124</v>
      </c>
      <c r="AO435" s="4">
        <v>99</v>
      </c>
      <c r="AP435" s="4">
        <v>43211503</v>
      </c>
    </row>
    <row r="436" spans="1:42" s="4" customFormat="1" x14ac:dyDescent="0.25">
      <c r="A436" s="3">
        <v>4604868</v>
      </c>
      <c r="B436" s="28">
        <v>42069</v>
      </c>
      <c r="C436" s="3" t="s">
        <v>1278</v>
      </c>
      <c r="D436" s="3">
        <v>10004684</v>
      </c>
      <c r="E436" s="4">
        <v>4534219</v>
      </c>
      <c r="F436" s="3" t="s">
        <v>49</v>
      </c>
      <c r="G436" s="4" t="s">
        <v>1174</v>
      </c>
      <c r="I436" s="5">
        <v>8897</v>
      </c>
      <c r="J436" s="3" t="s">
        <v>1734</v>
      </c>
      <c r="K436" s="3" t="s">
        <v>817</v>
      </c>
      <c r="L436" s="3" t="s">
        <v>119</v>
      </c>
      <c r="M436" s="4" t="s">
        <v>1283</v>
      </c>
      <c r="N436" s="3" t="s">
        <v>56</v>
      </c>
      <c r="O436" s="3" t="s">
        <v>139</v>
      </c>
      <c r="P436" s="4" t="s">
        <v>140</v>
      </c>
      <c r="Q436" s="3"/>
      <c r="R436" s="3"/>
      <c r="Y436" s="4" t="s">
        <v>1079</v>
      </c>
      <c r="Z436" s="4" t="s">
        <v>1090</v>
      </c>
      <c r="AB436" s="3"/>
      <c r="AC436" s="3"/>
      <c r="AD436" s="3" t="s">
        <v>1835</v>
      </c>
      <c r="AE436" s="3">
        <v>1000</v>
      </c>
      <c r="AI436" s="4" t="s">
        <v>1083</v>
      </c>
      <c r="AJ436" s="4" t="s">
        <v>1091</v>
      </c>
      <c r="AK436" s="3" t="s">
        <v>143</v>
      </c>
      <c r="AL436" s="4">
        <v>42811</v>
      </c>
      <c r="AM436" s="5">
        <v>8897</v>
      </c>
      <c r="AN436" s="4" t="s">
        <v>124</v>
      </c>
    </row>
    <row r="437" spans="1:42" s="4" customFormat="1" x14ac:dyDescent="0.25">
      <c r="A437" s="3">
        <v>4604873</v>
      </c>
      <c r="B437" s="28">
        <v>42185</v>
      </c>
      <c r="C437" s="3" t="s">
        <v>1278</v>
      </c>
      <c r="D437" s="3">
        <v>10004687</v>
      </c>
      <c r="E437" s="4">
        <v>4534224</v>
      </c>
      <c r="F437" s="3" t="s">
        <v>49</v>
      </c>
      <c r="G437" s="4" t="s">
        <v>1454</v>
      </c>
      <c r="H437" s="4" t="s">
        <v>1843</v>
      </c>
      <c r="I437" s="5">
        <v>53181.59</v>
      </c>
      <c r="J437" s="3" t="s">
        <v>486</v>
      </c>
      <c r="K437" s="3" t="s">
        <v>77</v>
      </c>
      <c r="L437" s="3" t="s">
        <v>119</v>
      </c>
      <c r="M437" s="4" t="s">
        <v>1843</v>
      </c>
      <c r="N437" s="3" t="s">
        <v>25</v>
      </c>
      <c r="O437" s="3"/>
      <c r="Q437" s="3"/>
      <c r="R437" s="3"/>
      <c r="Y437" s="4" t="s">
        <v>1141</v>
      </c>
      <c r="Z437" s="4" t="s">
        <v>1141</v>
      </c>
      <c r="AA437" s="4" t="s">
        <v>1645</v>
      </c>
      <c r="AB437" s="3"/>
      <c r="AC437" s="3"/>
      <c r="AD437" s="3" t="s">
        <v>77</v>
      </c>
      <c r="AE437" s="3">
        <v>1000</v>
      </c>
      <c r="AI437" s="4" t="s">
        <v>1144</v>
      </c>
      <c r="AJ437" s="4" t="s">
        <v>1144</v>
      </c>
      <c r="AK437" s="3"/>
      <c r="AL437" s="4">
        <v>141769</v>
      </c>
      <c r="AM437" s="5">
        <v>53181.59</v>
      </c>
      <c r="AN437" s="4" t="s">
        <v>124</v>
      </c>
      <c r="AO437" s="4">
        <v>99</v>
      </c>
      <c r="AP437" s="4">
        <v>72101500</v>
      </c>
    </row>
    <row r="438" spans="1:42" s="4" customFormat="1" x14ac:dyDescent="0.25">
      <c r="A438" s="3">
        <v>4604879</v>
      </c>
      <c r="B438" s="28">
        <v>42079</v>
      </c>
      <c r="C438" s="3" t="s">
        <v>1278</v>
      </c>
      <c r="D438" s="3">
        <v>10004694</v>
      </c>
      <c r="E438" s="4">
        <v>4534230</v>
      </c>
      <c r="F438" s="3" t="s">
        <v>49</v>
      </c>
      <c r="G438" s="4" t="s">
        <v>134</v>
      </c>
      <c r="H438" s="4" t="s">
        <v>1849</v>
      </c>
      <c r="I438" s="5">
        <v>38395.5</v>
      </c>
      <c r="J438" s="3" t="s">
        <v>477</v>
      </c>
      <c r="K438" s="3" t="s">
        <v>172</v>
      </c>
      <c r="L438" s="3" t="s">
        <v>119</v>
      </c>
      <c r="M438" s="4" t="s">
        <v>1849</v>
      </c>
      <c r="N438" s="3" t="s">
        <v>56</v>
      </c>
      <c r="O438" s="3"/>
      <c r="Q438" s="3"/>
      <c r="R438" s="3"/>
      <c r="Y438" s="4" t="s">
        <v>1344</v>
      </c>
      <c r="Z438" s="4" t="s">
        <v>1344</v>
      </c>
      <c r="AA438" s="4" t="s">
        <v>1850</v>
      </c>
      <c r="AB438" s="3" t="s">
        <v>1851</v>
      </c>
      <c r="AC438" s="3" t="s">
        <v>1852</v>
      </c>
      <c r="AD438" s="3" t="s">
        <v>407</v>
      </c>
      <c r="AE438" s="3">
        <v>1000</v>
      </c>
      <c r="AI438" s="4" t="s">
        <v>1346</v>
      </c>
      <c r="AJ438" s="4" t="s">
        <v>1346</v>
      </c>
      <c r="AK438" s="3"/>
      <c r="AL438" s="4">
        <v>41275</v>
      </c>
      <c r="AM438" s="5">
        <v>38395.5</v>
      </c>
      <c r="AN438" s="4" t="s">
        <v>124</v>
      </c>
      <c r="AO438" s="4">
        <v>99</v>
      </c>
      <c r="AP438" s="4">
        <v>81111500</v>
      </c>
    </row>
    <row r="439" spans="1:42" s="4" customFormat="1" x14ac:dyDescent="0.25">
      <c r="A439" s="3">
        <v>4604880</v>
      </c>
      <c r="B439" s="28">
        <v>42076</v>
      </c>
      <c r="C439" s="3" t="s">
        <v>1278</v>
      </c>
      <c r="D439" s="3">
        <v>10004674</v>
      </c>
      <c r="E439" s="4">
        <v>4534231</v>
      </c>
      <c r="F439" s="3" t="s">
        <v>49</v>
      </c>
      <c r="G439" s="4" t="s">
        <v>1853</v>
      </c>
      <c r="H439" s="4" t="s">
        <v>1854</v>
      </c>
      <c r="I439" s="5">
        <v>55000</v>
      </c>
      <c r="J439" s="3" t="s">
        <v>1635</v>
      </c>
      <c r="K439" s="3" t="s">
        <v>77</v>
      </c>
      <c r="L439" s="3" t="s">
        <v>119</v>
      </c>
      <c r="M439" s="4" t="s">
        <v>1854</v>
      </c>
      <c r="N439" s="3" t="s">
        <v>56</v>
      </c>
      <c r="O439" s="3"/>
      <c r="Q439" s="3"/>
      <c r="R439" s="3"/>
      <c r="Y439" s="4" t="s">
        <v>267</v>
      </c>
      <c r="Z439" s="4" t="s">
        <v>267</v>
      </c>
      <c r="AA439" s="4" t="s">
        <v>188</v>
      </c>
      <c r="AB439" s="3" t="s">
        <v>1855</v>
      </c>
      <c r="AC439" s="3" t="s">
        <v>190</v>
      </c>
      <c r="AD439" s="3" t="s">
        <v>287</v>
      </c>
      <c r="AE439" s="3">
        <v>1000</v>
      </c>
      <c r="AI439" s="4" t="s">
        <v>270</v>
      </c>
      <c r="AJ439" s="4" t="s">
        <v>270</v>
      </c>
      <c r="AK439" s="3"/>
      <c r="AL439" s="4">
        <v>49845</v>
      </c>
      <c r="AM439" s="5">
        <v>55000</v>
      </c>
      <c r="AN439" s="4" t="s">
        <v>124</v>
      </c>
      <c r="AO439" s="4">
        <v>98</v>
      </c>
      <c r="AP439" s="4">
        <v>80111600</v>
      </c>
    </row>
    <row r="440" spans="1:42" s="4" customFormat="1" x14ac:dyDescent="0.25">
      <c r="A440" s="3">
        <v>4604885</v>
      </c>
      <c r="B440" s="28">
        <v>42164</v>
      </c>
      <c r="C440" s="3" t="s">
        <v>1278</v>
      </c>
      <c r="D440" s="3">
        <v>10004698</v>
      </c>
      <c r="E440" s="4">
        <v>4534236</v>
      </c>
      <c r="F440" s="3" t="s">
        <v>49</v>
      </c>
      <c r="G440" s="4" t="s">
        <v>1865</v>
      </c>
      <c r="H440" s="4" t="s">
        <v>1866</v>
      </c>
      <c r="I440" s="5">
        <v>36100</v>
      </c>
      <c r="J440" s="3" t="s">
        <v>477</v>
      </c>
      <c r="K440" s="3" t="s">
        <v>77</v>
      </c>
      <c r="L440" s="3" t="s">
        <v>119</v>
      </c>
      <c r="M440" s="4" t="s">
        <v>1866</v>
      </c>
      <c r="N440" s="3" t="s">
        <v>56</v>
      </c>
      <c r="O440" s="3"/>
      <c r="Q440" s="3"/>
      <c r="R440" s="3"/>
      <c r="Y440" s="4" t="s">
        <v>1068</v>
      </c>
      <c r="Z440" s="4" t="s">
        <v>1090</v>
      </c>
      <c r="AA440" s="4" t="s">
        <v>1867</v>
      </c>
      <c r="AB440" s="3" t="s">
        <v>1868</v>
      </c>
      <c r="AC440" s="3" t="s">
        <v>1869</v>
      </c>
      <c r="AD440" s="3" t="s">
        <v>474</v>
      </c>
      <c r="AE440" s="3">
        <v>1000</v>
      </c>
      <c r="AI440" s="4" t="s">
        <v>1071</v>
      </c>
      <c r="AJ440" s="4" t="s">
        <v>1091</v>
      </c>
      <c r="AK440" s="3"/>
      <c r="AL440" s="4">
        <v>44725</v>
      </c>
      <c r="AM440" s="5">
        <v>36100</v>
      </c>
      <c r="AN440" s="4" t="s">
        <v>124</v>
      </c>
      <c r="AO440" s="4">
        <v>99</v>
      </c>
      <c r="AP440" s="4">
        <v>14111509</v>
      </c>
    </row>
    <row r="441" spans="1:42" s="4" customFormat="1" x14ac:dyDescent="0.25">
      <c r="A441" s="3">
        <v>4604886</v>
      </c>
      <c r="B441" s="28">
        <v>42086</v>
      </c>
      <c r="C441" s="3" t="s">
        <v>1278</v>
      </c>
      <c r="D441" s="3">
        <v>10004700</v>
      </c>
      <c r="E441" s="4">
        <v>4534237</v>
      </c>
      <c r="F441" s="3" t="s">
        <v>49</v>
      </c>
      <c r="G441" s="4" t="s">
        <v>1871</v>
      </c>
      <c r="I441" s="5">
        <v>8162</v>
      </c>
      <c r="J441" s="3" t="s">
        <v>1870</v>
      </c>
      <c r="K441" s="3" t="s">
        <v>1872</v>
      </c>
      <c r="L441" s="3" t="s">
        <v>119</v>
      </c>
      <c r="M441" s="4" t="s">
        <v>1873</v>
      </c>
      <c r="N441" s="3" t="s">
        <v>56</v>
      </c>
      <c r="O441" s="3"/>
      <c r="Q441" s="3"/>
      <c r="R441" s="3"/>
      <c r="Y441" s="4" t="s">
        <v>1344</v>
      </c>
      <c r="Z441" s="4" t="s">
        <v>1344</v>
      </c>
      <c r="AB441" s="3"/>
      <c r="AC441" s="3"/>
      <c r="AD441" s="3" t="s">
        <v>882</v>
      </c>
      <c r="AE441" s="3">
        <v>1000</v>
      </c>
      <c r="AI441" s="4" t="s">
        <v>1346</v>
      </c>
      <c r="AJ441" s="4" t="s">
        <v>1346</v>
      </c>
      <c r="AK441" s="3"/>
      <c r="AL441" s="4">
        <v>140797</v>
      </c>
      <c r="AM441" s="5">
        <v>8162</v>
      </c>
      <c r="AN441" s="4" t="s">
        <v>124</v>
      </c>
    </row>
    <row r="442" spans="1:42" s="4" customFormat="1" x14ac:dyDescent="0.25">
      <c r="A442" s="3">
        <v>4604887</v>
      </c>
      <c r="B442" s="28">
        <v>42074</v>
      </c>
      <c r="C442" s="3" t="s">
        <v>1278</v>
      </c>
      <c r="D442" s="3">
        <v>10004699</v>
      </c>
      <c r="E442" s="4">
        <v>4534238</v>
      </c>
      <c r="F442" s="3" t="s">
        <v>49</v>
      </c>
      <c r="G442" s="4" t="s">
        <v>1053</v>
      </c>
      <c r="H442" s="4" t="s">
        <v>1874</v>
      </c>
      <c r="I442" s="5">
        <v>317018.39</v>
      </c>
      <c r="J442" s="3" t="s">
        <v>882</v>
      </c>
      <c r="K442" s="3" t="s">
        <v>1037</v>
      </c>
      <c r="L442" s="3" t="s">
        <v>119</v>
      </c>
      <c r="M442" s="4" t="s">
        <v>1875</v>
      </c>
      <c r="N442" s="3" t="s">
        <v>56</v>
      </c>
      <c r="O442" s="3"/>
      <c r="Q442" s="3"/>
      <c r="R442" s="3"/>
      <c r="Y442" s="4" t="s">
        <v>1056</v>
      </c>
      <c r="Z442" s="4" t="s">
        <v>1056</v>
      </c>
      <c r="AA442" s="4" t="s">
        <v>1057</v>
      </c>
      <c r="AB442" s="3" t="s">
        <v>1057</v>
      </c>
      <c r="AC442" s="3" t="s">
        <v>1340</v>
      </c>
      <c r="AD442" s="3" t="s">
        <v>1179</v>
      </c>
      <c r="AE442" s="3">
        <v>1000</v>
      </c>
      <c r="AI442" s="4" t="s">
        <v>1058</v>
      </c>
      <c r="AJ442" s="4" t="s">
        <v>1058</v>
      </c>
      <c r="AK442" s="3"/>
      <c r="AL442" s="4">
        <v>140248</v>
      </c>
      <c r="AM442" s="5">
        <v>317018.39</v>
      </c>
      <c r="AN442" s="4" t="s">
        <v>124</v>
      </c>
      <c r="AO442" s="4">
        <v>99</v>
      </c>
      <c r="AP442" s="4">
        <v>43230000</v>
      </c>
    </row>
    <row r="443" spans="1:42" s="4" customFormat="1" x14ac:dyDescent="0.25">
      <c r="A443" s="3">
        <v>4604888</v>
      </c>
      <c r="B443" s="28">
        <v>42185</v>
      </c>
      <c r="C443" s="3" t="s">
        <v>1278</v>
      </c>
      <c r="D443" s="3">
        <v>10004701</v>
      </c>
      <c r="E443" s="4">
        <v>4534239</v>
      </c>
      <c r="F443" s="3" t="s">
        <v>49</v>
      </c>
      <c r="G443" s="4" t="s">
        <v>1454</v>
      </c>
      <c r="H443" s="4" t="s">
        <v>1876</v>
      </c>
      <c r="I443" s="5">
        <v>33386.1</v>
      </c>
      <c r="J443" s="3" t="s">
        <v>1877</v>
      </c>
      <c r="K443" s="3" t="s">
        <v>77</v>
      </c>
      <c r="L443" s="3" t="s">
        <v>119</v>
      </c>
      <c r="M443" s="4" t="s">
        <v>1876</v>
      </c>
      <c r="N443" s="3" t="s">
        <v>25</v>
      </c>
      <c r="O443" s="3"/>
      <c r="Q443" s="3"/>
      <c r="R443" s="3"/>
      <c r="Y443" s="4" t="s">
        <v>1141</v>
      </c>
      <c r="Z443" s="4" t="s">
        <v>1141</v>
      </c>
      <c r="AA443" s="4" t="s">
        <v>1645</v>
      </c>
      <c r="AB443" s="3"/>
      <c r="AC443" s="3"/>
      <c r="AD443" s="3" t="s">
        <v>77</v>
      </c>
      <c r="AE443" s="3">
        <v>1000</v>
      </c>
      <c r="AI443" s="4" t="s">
        <v>1144</v>
      </c>
      <c r="AJ443" s="4" t="s">
        <v>1144</v>
      </c>
      <c r="AK443" s="3"/>
      <c r="AL443" s="4">
        <v>141769</v>
      </c>
      <c r="AM443" s="5">
        <v>33386.1</v>
      </c>
      <c r="AN443" s="4" t="s">
        <v>124</v>
      </c>
      <c r="AO443" s="4">
        <v>99</v>
      </c>
      <c r="AP443" s="4">
        <v>72101500</v>
      </c>
    </row>
    <row r="444" spans="1:42" s="4" customFormat="1" x14ac:dyDescent="0.25">
      <c r="A444" s="3">
        <v>4604889</v>
      </c>
      <c r="B444" s="28">
        <v>42037</v>
      </c>
      <c r="C444" s="3" t="s">
        <v>1278</v>
      </c>
      <c r="D444" s="3">
        <v>10004702</v>
      </c>
      <c r="E444" s="4">
        <v>4534240</v>
      </c>
      <c r="F444" s="3" t="s">
        <v>49</v>
      </c>
      <c r="G444" s="4" t="s">
        <v>174</v>
      </c>
      <c r="H444" s="4" t="s">
        <v>1878</v>
      </c>
      <c r="I444" s="5">
        <v>20700.900000000001</v>
      </c>
      <c r="J444" s="3" t="s">
        <v>959</v>
      </c>
      <c r="K444" s="3" t="s">
        <v>1879</v>
      </c>
      <c r="L444" s="3" t="s">
        <v>119</v>
      </c>
      <c r="M444" s="4" t="s">
        <v>1878</v>
      </c>
      <c r="N444" s="3" t="s">
        <v>56</v>
      </c>
      <c r="O444" s="3"/>
      <c r="Q444" s="3"/>
      <c r="R444" s="3"/>
      <c r="Y444" s="4" t="s">
        <v>1344</v>
      </c>
      <c r="Z444" s="4" t="s">
        <v>1344</v>
      </c>
      <c r="AA444" s="4" t="s">
        <v>188</v>
      </c>
      <c r="AB444" s="3" t="s">
        <v>401</v>
      </c>
      <c r="AC444" s="3" t="s">
        <v>190</v>
      </c>
      <c r="AD444" s="3" t="s">
        <v>1879</v>
      </c>
      <c r="AE444" s="3">
        <v>1000</v>
      </c>
      <c r="AI444" s="4" t="s">
        <v>1346</v>
      </c>
      <c r="AJ444" s="4" t="s">
        <v>1346</v>
      </c>
      <c r="AK444" s="3"/>
      <c r="AL444" s="4">
        <v>40476</v>
      </c>
      <c r="AM444" s="5">
        <v>20700.900000000001</v>
      </c>
      <c r="AN444" s="4" t="s">
        <v>124</v>
      </c>
      <c r="AO444" s="4">
        <v>99</v>
      </c>
      <c r="AP444" s="4">
        <v>80111600</v>
      </c>
    </row>
    <row r="445" spans="1:42" s="4" customFormat="1" x14ac:dyDescent="0.25">
      <c r="A445" s="3">
        <v>4604893</v>
      </c>
      <c r="B445" s="28">
        <v>42086</v>
      </c>
      <c r="C445" s="3" t="s">
        <v>1278</v>
      </c>
      <c r="D445" s="3">
        <v>10004706</v>
      </c>
      <c r="E445" s="4">
        <v>4534244</v>
      </c>
      <c r="F445" s="3" t="s">
        <v>49</v>
      </c>
      <c r="G445" s="4" t="s">
        <v>1502</v>
      </c>
      <c r="H445" s="4" t="s">
        <v>1881</v>
      </c>
      <c r="I445" s="5">
        <v>128700</v>
      </c>
      <c r="J445" s="3" t="s">
        <v>502</v>
      </c>
      <c r="K445" s="3" t="s">
        <v>1481</v>
      </c>
      <c r="L445" s="3" t="s">
        <v>119</v>
      </c>
      <c r="M445" s="4" t="s">
        <v>1881</v>
      </c>
      <c r="N445" s="3" t="s">
        <v>56</v>
      </c>
      <c r="O445" s="3"/>
      <c r="Q445" s="3"/>
      <c r="R445" s="3"/>
      <c r="Y445" s="4" t="s">
        <v>1882</v>
      </c>
      <c r="Z445" s="4" t="s">
        <v>260</v>
      </c>
      <c r="AA445" s="4" t="s">
        <v>412</v>
      </c>
      <c r="AB445" s="3" t="s">
        <v>1504</v>
      </c>
      <c r="AC445" s="3" t="s">
        <v>414</v>
      </c>
      <c r="AD445" s="3" t="s">
        <v>1159</v>
      </c>
      <c r="AE445" s="3">
        <v>1000</v>
      </c>
      <c r="AI445" s="4" t="s">
        <v>1883</v>
      </c>
      <c r="AJ445" s="4" t="s">
        <v>261</v>
      </c>
      <c r="AK445" s="3"/>
      <c r="AL445" s="4">
        <v>49955</v>
      </c>
      <c r="AM445" s="5">
        <v>128700</v>
      </c>
      <c r="AN445" s="4" t="s">
        <v>124</v>
      </c>
      <c r="AO445" s="4">
        <v>99</v>
      </c>
      <c r="AP445" s="4">
        <v>81112200</v>
      </c>
    </row>
    <row r="446" spans="1:42" s="4" customFormat="1" x14ac:dyDescent="0.25">
      <c r="A446" s="3">
        <v>4604895</v>
      </c>
      <c r="B446" s="28">
        <v>42062</v>
      </c>
      <c r="C446" s="3" t="s">
        <v>1278</v>
      </c>
      <c r="D446" s="3">
        <v>10004671</v>
      </c>
      <c r="E446" s="4">
        <v>4534246</v>
      </c>
      <c r="F446" s="3" t="s">
        <v>49</v>
      </c>
      <c r="G446" s="4" t="s">
        <v>1884</v>
      </c>
      <c r="H446" s="4" t="s">
        <v>1885</v>
      </c>
      <c r="I446" s="5">
        <v>90200</v>
      </c>
      <c r="J446" s="3" t="s">
        <v>480</v>
      </c>
      <c r="K446" s="3" t="s">
        <v>498</v>
      </c>
      <c r="L446" s="3" t="s">
        <v>119</v>
      </c>
      <c r="M446" s="4" t="s">
        <v>1885</v>
      </c>
      <c r="N446" s="3" t="s">
        <v>56</v>
      </c>
      <c r="O446" s="3"/>
      <c r="Q446" s="3"/>
      <c r="R446" s="3"/>
      <c r="Y446" s="4" t="s">
        <v>1539</v>
      </c>
      <c r="Z446" s="4" t="s">
        <v>1886</v>
      </c>
      <c r="AA446" s="4" t="s">
        <v>412</v>
      </c>
      <c r="AB446" s="3" t="s">
        <v>412</v>
      </c>
      <c r="AC446" s="3" t="s">
        <v>414</v>
      </c>
      <c r="AD446" s="3" t="s">
        <v>1887</v>
      </c>
      <c r="AE446" s="3">
        <v>1000</v>
      </c>
      <c r="AI446" s="4" t="s">
        <v>1540</v>
      </c>
      <c r="AJ446" s="4" t="s">
        <v>1888</v>
      </c>
      <c r="AK446" s="3"/>
      <c r="AL446" s="4">
        <v>141801</v>
      </c>
      <c r="AM446" s="5">
        <v>90200</v>
      </c>
      <c r="AN446" s="4" t="s">
        <v>124</v>
      </c>
      <c r="AO446" s="4">
        <v>99</v>
      </c>
      <c r="AP446" s="4">
        <v>80101507</v>
      </c>
    </row>
    <row r="447" spans="1:42" s="4" customFormat="1" x14ac:dyDescent="0.25">
      <c r="A447" s="3">
        <v>4604898</v>
      </c>
      <c r="B447" s="28">
        <v>42086</v>
      </c>
      <c r="C447" s="3" t="s">
        <v>1278</v>
      </c>
      <c r="D447" s="3">
        <v>10004703</v>
      </c>
      <c r="E447" s="4">
        <v>4534249</v>
      </c>
      <c r="F447" s="3" t="s">
        <v>49</v>
      </c>
      <c r="G447" s="4" t="s">
        <v>1053</v>
      </c>
      <c r="H447" s="4" t="s">
        <v>1889</v>
      </c>
      <c r="I447" s="5">
        <v>41250</v>
      </c>
      <c r="J447" s="3" t="s">
        <v>1877</v>
      </c>
      <c r="K447" s="3" t="s">
        <v>77</v>
      </c>
      <c r="L447" s="3" t="s">
        <v>119</v>
      </c>
      <c r="M447" s="4" t="s">
        <v>1890</v>
      </c>
      <c r="N447" s="3" t="s">
        <v>56</v>
      </c>
      <c r="O447" s="3"/>
      <c r="Q447" s="3"/>
      <c r="R447" s="3"/>
      <c r="Y447" s="4" t="s">
        <v>1056</v>
      </c>
      <c r="Z447" s="4" t="s">
        <v>1056</v>
      </c>
      <c r="AA447" s="4" t="s">
        <v>1057</v>
      </c>
      <c r="AB447" s="3" t="s">
        <v>1057</v>
      </c>
      <c r="AC447" s="3" t="s">
        <v>1340</v>
      </c>
      <c r="AD447" s="3" t="s">
        <v>479</v>
      </c>
      <c r="AE447" s="3">
        <v>1000</v>
      </c>
      <c r="AI447" s="4" t="s">
        <v>1058</v>
      </c>
      <c r="AJ447" s="4" t="s">
        <v>1058</v>
      </c>
      <c r="AK447" s="3"/>
      <c r="AL447" s="4">
        <v>140248</v>
      </c>
      <c r="AM447" s="5">
        <v>41250</v>
      </c>
      <c r="AN447" s="4" t="s">
        <v>124</v>
      </c>
      <c r="AO447" s="4">
        <v>99</v>
      </c>
      <c r="AP447" s="4">
        <v>81111500</v>
      </c>
    </row>
    <row r="448" spans="1:42" s="4" customFormat="1" x14ac:dyDescent="0.25">
      <c r="A448" s="3">
        <v>4604903</v>
      </c>
      <c r="B448" s="28">
        <v>42095</v>
      </c>
      <c r="C448" s="3" t="s">
        <v>1278</v>
      </c>
      <c r="D448" s="3">
        <v>10004721</v>
      </c>
      <c r="E448" s="4">
        <v>4534254</v>
      </c>
      <c r="F448" s="3" t="s">
        <v>49</v>
      </c>
      <c r="G448" s="4" t="s">
        <v>1053</v>
      </c>
      <c r="H448" s="4" t="s">
        <v>1891</v>
      </c>
      <c r="I448" s="5">
        <v>59866.080000000002</v>
      </c>
      <c r="J448" s="3" t="s">
        <v>502</v>
      </c>
      <c r="K448" s="3" t="s">
        <v>1892</v>
      </c>
      <c r="L448" s="3" t="s">
        <v>119</v>
      </c>
      <c r="M448" s="4" t="s">
        <v>1893</v>
      </c>
      <c r="N448" s="3" t="s">
        <v>56</v>
      </c>
      <c r="O448" s="3"/>
      <c r="Q448" s="3"/>
      <c r="R448" s="3"/>
      <c r="Y448" s="4" t="s">
        <v>1056</v>
      </c>
      <c r="Z448" s="4" t="s">
        <v>1056</v>
      </c>
      <c r="AA448" s="4" t="s">
        <v>1057</v>
      </c>
      <c r="AB448" s="3" t="s">
        <v>1057</v>
      </c>
      <c r="AC448" s="3" t="s">
        <v>1340</v>
      </c>
      <c r="AD448" s="3" t="s">
        <v>492</v>
      </c>
      <c r="AE448" s="3">
        <v>1000</v>
      </c>
      <c r="AI448" s="4" t="s">
        <v>1058</v>
      </c>
      <c r="AJ448" s="4" t="s">
        <v>1058</v>
      </c>
      <c r="AK448" s="3"/>
      <c r="AL448" s="4">
        <v>140248</v>
      </c>
      <c r="AM448" s="5">
        <v>59866.080000000002</v>
      </c>
      <c r="AN448" s="4" t="s">
        <v>124</v>
      </c>
      <c r="AO448" s="4">
        <v>99</v>
      </c>
      <c r="AP448" s="4">
        <v>43230000</v>
      </c>
    </row>
    <row r="449" spans="1:42" s="4" customFormat="1" x14ac:dyDescent="0.25">
      <c r="A449" s="3">
        <v>4604904</v>
      </c>
      <c r="B449" s="28">
        <v>42093</v>
      </c>
      <c r="C449" s="3" t="s">
        <v>1278</v>
      </c>
      <c r="D449" s="3">
        <v>10004620</v>
      </c>
      <c r="E449" s="4">
        <v>4534255</v>
      </c>
      <c r="F449" s="3" t="s">
        <v>49</v>
      </c>
      <c r="G449" s="4" t="s">
        <v>1894</v>
      </c>
      <c r="H449" s="4" t="s">
        <v>1798</v>
      </c>
      <c r="I449" s="5">
        <v>141075.82</v>
      </c>
      <c r="J449" s="3" t="s">
        <v>335</v>
      </c>
      <c r="K449" s="3" t="s">
        <v>901</v>
      </c>
      <c r="L449" s="3" t="s">
        <v>119</v>
      </c>
      <c r="M449" s="4" t="s">
        <v>1895</v>
      </c>
      <c r="N449" s="3" t="s">
        <v>25</v>
      </c>
      <c r="O449" s="3"/>
      <c r="Q449" s="3"/>
      <c r="R449" s="3"/>
      <c r="Y449" s="4" t="s">
        <v>1141</v>
      </c>
      <c r="Z449" s="4" t="s">
        <v>1090</v>
      </c>
      <c r="AA449" s="4" t="s">
        <v>1645</v>
      </c>
      <c r="AB449" s="3"/>
      <c r="AC449" s="3"/>
      <c r="AD449" s="3" t="s">
        <v>1136</v>
      </c>
      <c r="AE449" s="3">
        <v>1000</v>
      </c>
      <c r="AI449" s="4" t="s">
        <v>1144</v>
      </c>
      <c r="AJ449" s="4" t="s">
        <v>1091</v>
      </c>
      <c r="AK449" s="3"/>
      <c r="AL449" s="4">
        <v>141877</v>
      </c>
      <c r="AM449" s="5">
        <v>141075.82</v>
      </c>
      <c r="AN449" s="4" t="s">
        <v>124</v>
      </c>
      <c r="AO449" s="4">
        <v>99</v>
      </c>
      <c r="AP449" s="4">
        <v>72100000</v>
      </c>
    </row>
    <row r="450" spans="1:42" s="4" customFormat="1" x14ac:dyDescent="0.25">
      <c r="A450" s="3">
        <v>4604908</v>
      </c>
      <c r="B450" s="28">
        <v>42095</v>
      </c>
      <c r="C450" s="3" t="s">
        <v>1278</v>
      </c>
      <c r="D450" s="3">
        <v>10004723</v>
      </c>
      <c r="E450" s="4">
        <v>4534259</v>
      </c>
      <c r="F450" s="3" t="s">
        <v>49</v>
      </c>
      <c r="G450" s="4" t="s">
        <v>1053</v>
      </c>
      <c r="H450" s="4" t="s">
        <v>1896</v>
      </c>
      <c r="I450" s="5">
        <v>10698.6</v>
      </c>
      <c r="J450" s="3" t="s">
        <v>502</v>
      </c>
      <c r="K450" s="3" t="s">
        <v>498</v>
      </c>
      <c r="L450" s="3" t="s">
        <v>119</v>
      </c>
      <c r="M450" s="4" t="s">
        <v>1897</v>
      </c>
      <c r="N450" s="3" t="s">
        <v>56</v>
      </c>
      <c r="O450" s="3"/>
      <c r="Q450" s="3"/>
      <c r="R450" s="3"/>
      <c r="Y450" s="4" t="s">
        <v>1056</v>
      </c>
      <c r="Z450" s="4" t="s">
        <v>1056</v>
      </c>
      <c r="AA450" s="4" t="s">
        <v>1057</v>
      </c>
      <c r="AB450" s="3" t="s">
        <v>1057</v>
      </c>
      <c r="AC450" s="3" t="s">
        <v>1340</v>
      </c>
      <c r="AD450" s="3" t="s">
        <v>1898</v>
      </c>
      <c r="AE450" s="3">
        <v>1000</v>
      </c>
      <c r="AI450" s="4" t="s">
        <v>1058</v>
      </c>
      <c r="AJ450" s="4" t="s">
        <v>1058</v>
      </c>
      <c r="AK450" s="3"/>
      <c r="AL450" s="4">
        <v>140248</v>
      </c>
      <c r="AM450" s="5">
        <v>10698.6</v>
      </c>
      <c r="AN450" s="4" t="s">
        <v>124</v>
      </c>
      <c r="AO450" s="4">
        <v>99</v>
      </c>
      <c r="AP450" s="4">
        <v>81111812</v>
      </c>
    </row>
    <row r="451" spans="1:42" s="4" customFormat="1" x14ac:dyDescent="0.25">
      <c r="A451" s="3">
        <v>4604911</v>
      </c>
      <c r="B451" s="28">
        <v>42102</v>
      </c>
      <c r="C451" s="3" t="s">
        <v>1278</v>
      </c>
      <c r="D451" s="3">
        <v>10004726</v>
      </c>
      <c r="E451" s="4">
        <v>4534262</v>
      </c>
      <c r="F451" s="3" t="s">
        <v>49</v>
      </c>
      <c r="G451" s="4" t="s">
        <v>1471</v>
      </c>
      <c r="H451" s="4" t="s">
        <v>1899</v>
      </c>
      <c r="I451" s="5">
        <v>47762</v>
      </c>
      <c r="J451" s="3" t="s">
        <v>497</v>
      </c>
      <c r="K451" s="3" t="s">
        <v>422</v>
      </c>
      <c r="L451" s="3" t="s">
        <v>119</v>
      </c>
      <c r="M451" s="4" t="s">
        <v>1900</v>
      </c>
      <c r="N451" s="3" t="s">
        <v>56</v>
      </c>
      <c r="O451" s="3"/>
      <c r="Q451" s="3"/>
      <c r="R451" s="3"/>
      <c r="Y451" s="4" t="s">
        <v>1056</v>
      </c>
      <c r="Z451" s="4" t="s">
        <v>1056</v>
      </c>
      <c r="AA451" s="4" t="s">
        <v>1474</v>
      </c>
      <c r="AB451" s="3" t="s">
        <v>1475</v>
      </c>
      <c r="AC451" s="3" t="s">
        <v>1476</v>
      </c>
      <c r="AD451" s="3" t="s">
        <v>492</v>
      </c>
      <c r="AE451" s="3">
        <v>1000</v>
      </c>
      <c r="AI451" s="4" t="s">
        <v>1058</v>
      </c>
      <c r="AJ451" s="4" t="s">
        <v>1058</v>
      </c>
      <c r="AK451" s="3"/>
      <c r="AL451" s="4">
        <v>48891</v>
      </c>
      <c r="AM451" s="5">
        <v>47762</v>
      </c>
      <c r="AN451" s="4" t="s">
        <v>124</v>
      </c>
      <c r="AO451" s="4">
        <v>99</v>
      </c>
      <c r="AP451" s="4">
        <v>43211503</v>
      </c>
    </row>
    <row r="452" spans="1:42" s="4" customFormat="1" x14ac:dyDescent="0.25">
      <c r="A452" s="3">
        <v>4604915</v>
      </c>
      <c r="B452" s="28">
        <v>42103</v>
      </c>
      <c r="C452" s="3" t="s">
        <v>1278</v>
      </c>
      <c r="D452" s="3">
        <v>10004728</v>
      </c>
      <c r="E452" s="4">
        <v>4534266</v>
      </c>
      <c r="F452" s="3" t="s">
        <v>49</v>
      </c>
      <c r="G452" s="4" t="s">
        <v>1053</v>
      </c>
      <c r="H452" s="4" t="s">
        <v>1767</v>
      </c>
      <c r="I452" s="5">
        <v>32844.35</v>
      </c>
      <c r="J452" s="3" t="s">
        <v>492</v>
      </c>
      <c r="K452" s="3" t="s">
        <v>422</v>
      </c>
      <c r="L452" s="3" t="s">
        <v>119</v>
      </c>
      <c r="M452" s="4" t="s">
        <v>1904</v>
      </c>
      <c r="N452" s="3" t="s">
        <v>56</v>
      </c>
      <c r="O452" s="3"/>
      <c r="Q452" s="3"/>
      <c r="R452" s="3"/>
      <c r="Y452" s="4" t="s">
        <v>1056</v>
      </c>
      <c r="Z452" s="4" t="s">
        <v>1056</v>
      </c>
      <c r="AA452" s="4" t="s">
        <v>1057</v>
      </c>
      <c r="AB452" s="3" t="s">
        <v>1057</v>
      </c>
      <c r="AC452" s="3" t="s">
        <v>1340</v>
      </c>
      <c r="AD452" s="3" t="s">
        <v>492</v>
      </c>
      <c r="AE452" s="3">
        <v>1000</v>
      </c>
      <c r="AI452" s="4" t="s">
        <v>1058</v>
      </c>
      <c r="AJ452" s="4" t="s">
        <v>1058</v>
      </c>
      <c r="AK452" s="3"/>
      <c r="AL452" s="4">
        <v>140248</v>
      </c>
      <c r="AM452" s="5">
        <v>32844.35</v>
      </c>
      <c r="AN452" s="4" t="s">
        <v>124</v>
      </c>
      <c r="AO452" s="4">
        <v>99</v>
      </c>
      <c r="AP452" s="4">
        <v>81111800</v>
      </c>
    </row>
    <row r="453" spans="1:42" s="4" customFormat="1" x14ac:dyDescent="0.25">
      <c r="A453" s="3">
        <v>4604916</v>
      </c>
      <c r="B453" s="28">
        <v>42101</v>
      </c>
      <c r="C453" s="3" t="s">
        <v>1278</v>
      </c>
      <c r="D453" s="3">
        <v>10004735</v>
      </c>
      <c r="E453" s="4">
        <v>4534267</v>
      </c>
      <c r="F453" s="3" t="s">
        <v>49</v>
      </c>
      <c r="G453" s="4" t="s">
        <v>1053</v>
      </c>
      <c r="H453" s="4" t="s">
        <v>1896</v>
      </c>
      <c r="I453" s="5">
        <v>27808</v>
      </c>
      <c r="J453" s="3" t="s">
        <v>497</v>
      </c>
      <c r="K453" s="3" t="s">
        <v>492</v>
      </c>
      <c r="L453" s="3" t="s">
        <v>119</v>
      </c>
      <c r="M453" s="4" t="s">
        <v>1905</v>
      </c>
      <c r="N453" s="3" t="s">
        <v>56</v>
      </c>
      <c r="O453" s="3"/>
      <c r="Q453" s="3"/>
      <c r="R453" s="3"/>
      <c r="Y453" s="4" t="s">
        <v>1056</v>
      </c>
      <c r="Z453" s="4" t="s">
        <v>1056</v>
      </c>
      <c r="AA453" s="4" t="s">
        <v>1057</v>
      </c>
      <c r="AB453" s="3" t="s">
        <v>1057</v>
      </c>
      <c r="AC453" s="3" t="s">
        <v>1340</v>
      </c>
      <c r="AD453" s="3" t="s">
        <v>369</v>
      </c>
      <c r="AE453" s="3">
        <v>1000</v>
      </c>
      <c r="AI453" s="4" t="s">
        <v>1058</v>
      </c>
      <c r="AJ453" s="4" t="s">
        <v>1058</v>
      </c>
      <c r="AK453" s="3"/>
      <c r="AL453" s="4">
        <v>140248</v>
      </c>
      <c r="AM453" s="5">
        <v>27808</v>
      </c>
      <c r="AN453" s="4" t="s">
        <v>124</v>
      </c>
      <c r="AO453" s="4">
        <v>99</v>
      </c>
      <c r="AP453" s="4">
        <v>81111800</v>
      </c>
    </row>
    <row r="454" spans="1:42" s="4" customFormat="1" x14ac:dyDescent="0.25">
      <c r="A454" s="3">
        <v>4604918</v>
      </c>
      <c r="B454" s="28">
        <v>42107</v>
      </c>
      <c r="C454" s="3" t="s">
        <v>1278</v>
      </c>
      <c r="D454" s="3">
        <v>10004743</v>
      </c>
      <c r="E454" s="4">
        <v>4534269</v>
      </c>
      <c r="F454" s="3" t="s">
        <v>49</v>
      </c>
      <c r="G454" s="4" t="s">
        <v>1502</v>
      </c>
      <c r="H454" s="4" t="s">
        <v>1906</v>
      </c>
      <c r="I454" s="5">
        <v>33000</v>
      </c>
      <c r="J454" s="3" t="s">
        <v>500</v>
      </c>
      <c r="K454" s="3" t="s">
        <v>77</v>
      </c>
      <c r="L454" s="3" t="s">
        <v>119</v>
      </c>
      <c r="M454" s="4" t="s">
        <v>1906</v>
      </c>
      <c r="N454" s="3" t="s">
        <v>56</v>
      </c>
      <c r="O454" s="3"/>
      <c r="Q454" s="3"/>
      <c r="R454" s="3"/>
      <c r="Y454" s="4" t="s">
        <v>1344</v>
      </c>
      <c r="Z454" s="4" t="s">
        <v>1344</v>
      </c>
      <c r="AA454" s="4" t="s">
        <v>412</v>
      </c>
      <c r="AB454" s="3" t="s">
        <v>1504</v>
      </c>
      <c r="AC454" s="3" t="s">
        <v>414</v>
      </c>
      <c r="AD454" s="3" t="s">
        <v>492</v>
      </c>
      <c r="AE454" s="3">
        <v>1000</v>
      </c>
      <c r="AI454" s="4" t="s">
        <v>1346</v>
      </c>
      <c r="AJ454" s="4" t="s">
        <v>1346</v>
      </c>
      <c r="AK454" s="3"/>
      <c r="AL454" s="4">
        <v>49955</v>
      </c>
      <c r="AM454" s="5">
        <v>33000</v>
      </c>
      <c r="AN454" s="4" t="s">
        <v>124</v>
      </c>
      <c r="AO454" s="4">
        <v>99</v>
      </c>
      <c r="AP454" s="4">
        <v>81112200</v>
      </c>
    </row>
    <row r="455" spans="1:42" s="4" customFormat="1" x14ac:dyDescent="0.25">
      <c r="A455" s="3">
        <v>4604919</v>
      </c>
      <c r="B455" s="28">
        <v>42185</v>
      </c>
      <c r="C455" s="3" t="s">
        <v>1278</v>
      </c>
      <c r="D455" s="3">
        <v>10004744</v>
      </c>
      <c r="E455" s="4">
        <v>4534270</v>
      </c>
      <c r="F455" s="3" t="s">
        <v>49</v>
      </c>
      <c r="G455" s="4" t="s">
        <v>318</v>
      </c>
      <c r="I455" s="5">
        <v>2338.69</v>
      </c>
      <c r="J455" s="3" t="s">
        <v>441</v>
      </c>
      <c r="K455" s="3" t="s">
        <v>77</v>
      </c>
      <c r="L455" s="3" t="s">
        <v>119</v>
      </c>
      <c r="M455" s="4" t="s">
        <v>1907</v>
      </c>
      <c r="N455" s="3" t="s">
        <v>56</v>
      </c>
      <c r="O455" s="3"/>
      <c r="Q455" s="3"/>
      <c r="R455" s="3"/>
      <c r="Y455" s="4" t="s">
        <v>178</v>
      </c>
      <c r="Z455" s="4" t="s">
        <v>178</v>
      </c>
      <c r="AB455" s="3"/>
      <c r="AC455" s="3"/>
      <c r="AD455" s="3" t="s">
        <v>500</v>
      </c>
      <c r="AE455" s="3">
        <v>1000</v>
      </c>
      <c r="AI455" s="4" t="s">
        <v>181</v>
      </c>
      <c r="AJ455" s="4" t="s">
        <v>181</v>
      </c>
      <c r="AK455" s="3"/>
      <c r="AL455" s="4">
        <v>141551</v>
      </c>
      <c r="AM455" s="5">
        <v>2338.69</v>
      </c>
      <c r="AN455" s="4" t="s">
        <v>124</v>
      </c>
    </row>
    <row r="456" spans="1:42" s="4" customFormat="1" x14ac:dyDescent="0.25">
      <c r="A456" s="3">
        <v>4604944</v>
      </c>
      <c r="B456" s="28">
        <v>42108</v>
      </c>
      <c r="C456" s="3" t="s">
        <v>1278</v>
      </c>
      <c r="D456" s="3">
        <v>10004740</v>
      </c>
      <c r="E456" s="4">
        <v>4534295</v>
      </c>
      <c r="F456" s="3" t="s">
        <v>49</v>
      </c>
      <c r="G456" s="4" t="s">
        <v>1744</v>
      </c>
      <c r="H456" s="4" t="s">
        <v>1920</v>
      </c>
      <c r="I456" s="5">
        <v>85410.7</v>
      </c>
      <c r="J456" s="3" t="s">
        <v>500</v>
      </c>
      <c r="K456" s="3" t="s">
        <v>77</v>
      </c>
      <c r="L456" s="3" t="s">
        <v>119</v>
      </c>
      <c r="M456" s="4" t="s">
        <v>1920</v>
      </c>
      <c r="N456" s="3" t="s">
        <v>56</v>
      </c>
      <c r="O456" s="3" t="s">
        <v>139</v>
      </c>
      <c r="P456" s="4" t="s">
        <v>140</v>
      </c>
      <c r="Q456" s="3"/>
      <c r="R456" s="3"/>
      <c r="Y456" s="4" t="s">
        <v>405</v>
      </c>
      <c r="Z456" s="4" t="s">
        <v>405</v>
      </c>
      <c r="AA456" s="4" t="s">
        <v>1284</v>
      </c>
      <c r="AB456" s="3" t="s">
        <v>1921</v>
      </c>
      <c r="AC456" s="3" t="s">
        <v>1286</v>
      </c>
      <c r="AD456" s="3" t="s">
        <v>353</v>
      </c>
      <c r="AE456" s="3">
        <v>1000</v>
      </c>
      <c r="AI456" s="4" t="s">
        <v>408</v>
      </c>
      <c r="AJ456" s="4" t="s">
        <v>408</v>
      </c>
      <c r="AK456" s="3" t="s">
        <v>143</v>
      </c>
      <c r="AL456" s="4">
        <v>140381</v>
      </c>
      <c r="AM456" s="5">
        <v>85410.7</v>
      </c>
      <c r="AN456" s="4" t="s">
        <v>124</v>
      </c>
      <c r="AO456" s="4">
        <v>99</v>
      </c>
      <c r="AP456" s="4">
        <v>80101507</v>
      </c>
    </row>
    <row r="457" spans="1:42" s="4" customFormat="1" x14ac:dyDescent="0.25">
      <c r="A457" s="3">
        <v>4604945</v>
      </c>
      <c r="B457" s="28">
        <v>42177</v>
      </c>
      <c r="C457" s="3" t="s">
        <v>1278</v>
      </c>
      <c r="D457" s="3">
        <v>10004765</v>
      </c>
      <c r="E457" s="4">
        <v>4534296</v>
      </c>
      <c r="F457" s="3" t="s">
        <v>49</v>
      </c>
      <c r="G457" s="4" t="s">
        <v>1922</v>
      </c>
      <c r="H457" s="4" t="s">
        <v>1923</v>
      </c>
      <c r="I457" s="5">
        <v>559481.12</v>
      </c>
      <c r="J457" s="3" t="s">
        <v>1924</v>
      </c>
      <c r="K457" s="3" t="s">
        <v>1925</v>
      </c>
      <c r="L457" s="3" t="s">
        <v>119</v>
      </c>
      <c r="M457" s="4" t="s">
        <v>1923</v>
      </c>
      <c r="N457" s="3" t="s">
        <v>56</v>
      </c>
      <c r="O457" s="3"/>
      <c r="Q457" s="3"/>
      <c r="R457" s="3"/>
      <c r="Y457" s="4" t="s">
        <v>1926</v>
      </c>
      <c r="Z457" s="4" t="s">
        <v>1785</v>
      </c>
      <c r="AA457" s="4" t="s">
        <v>1284</v>
      </c>
      <c r="AB457" s="3" t="s">
        <v>1927</v>
      </c>
      <c r="AC457" s="3" t="s">
        <v>1286</v>
      </c>
      <c r="AD457" s="3" t="s">
        <v>1159</v>
      </c>
      <c r="AE457" s="3">
        <v>1000</v>
      </c>
      <c r="AI457" s="4" t="s">
        <v>1928</v>
      </c>
      <c r="AJ457" s="4" t="s">
        <v>1787</v>
      </c>
      <c r="AK457" s="3"/>
      <c r="AL457" s="4">
        <v>42423</v>
      </c>
      <c r="AM457" s="5">
        <v>559481.12</v>
      </c>
      <c r="AN457" s="4" t="s">
        <v>124</v>
      </c>
      <c r="AO457" s="4">
        <v>98</v>
      </c>
      <c r="AP457" s="4">
        <v>80101600</v>
      </c>
    </row>
    <row r="458" spans="1:42" s="4" customFormat="1" x14ac:dyDescent="0.25">
      <c r="A458" s="3">
        <v>4604947</v>
      </c>
      <c r="B458" s="28">
        <v>42122</v>
      </c>
      <c r="C458" s="3" t="s">
        <v>1278</v>
      </c>
      <c r="D458" s="3">
        <v>10004768</v>
      </c>
      <c r="E458" s="4">
        <v>4534298</v>
      </c>
      <c r="F458" s="3" t="s">
        <v>49</v>
      </c>
      <c r="G458" s="4" t="s">
        <v>174</v>
      </c>
      <c r="I458" s="5">
        <v>1443.76</v>
      </c>
      <c r="J458" s="3" t="s">
        <v>498</v>
      </c>
      <c r="K458" s="3" t="s">
        <v>77</v>
      </c>
      <c r="L458" s="3" t="s">
        <v>119</v>
      </c>
      <c r="M458" s="4" t="s">
        <v>1932</v>
      </c>
      <c r="N458" s="3" t="s">
        <v>56</v>
      </c>
      <c r="O458" s="3"/>
      <c r="Q458" s="3"/>
      <c r="R458" s="3"/>
      <c r="Y458" s="4" t="s">
        <v>178</v>
      </c>
      <c r="Z458" s="4" t="s">
        <v>178</v>
      </c>
      <c r="AB458" s="3"/>
      <c r="AC458" s="3"/>
      <c r="AD458" s="3" t="s">
        <v>1924</v>
      </c>
      <c r="AE458" s="3">
        <v>1000</v>
      </c>
      <c r="AI458" s="4" t="s">
        <v>181</v>
      </c>
      <c r="AJ458" s="4" t="s">
        <v>181</v>
      </c>
      <c r="AK458" s="3"/>
      <c r="AL458" s="4">
        <v>40476</v>
      </c>
      <c r="AM458" s="5">
        <v>1443.76</v>
      </c>
      <c r="AN458" s="4" t="s">
        <v>124</v>
      </c>
    </row>
    <row r="459" spans="1:42" s="4" customFormat="1" x14ac:dyDescent="0.25">
      <c r="A459" s="3">
        <v>4604951</v>
      </c>
      <c r="B459" s="28">
        <v>42125</v>
      </c>
      <c r="C459" s="3" t="s">
        <v>1278</v>
      </c>
      <c r="D459" s="3">
        <v>10004760</v>
      </c>
      <c r="E459" s="4">
        <v>4534302</v>
      </c>
      <c r="F459" s="3" t="s">
        <v>49</v>
      </c>
      <c r="G459" s="4" t="s">
        <v>1053</v>
      </c>
      <c r="H459" s="4" t="s">
        <v>1939</v>
      </c>
      <c r="I459" s="5">
        <v>44989.95</v>
      </c>
      <c r="J459" s="3" t="s">
        <v>53</v>
      </c>
      <c r="K459" s="3" t="s">
        <v>488</v>
      </c>
      <c r="L459" s="3" t="s">
        <v>119</v>
      </c>
      <c r="M459" s="4" t="s">
        <v>1940</v>
      </c>
      <c r="N459" s="3" t="s">
        <v>56</v>
      </c>
      <c r="O459" s="3"/>
      <c r="Q459" s="3"/>
      <c r="R459" s="3"/>
      <c r="Y459" s="4" t="s">
        <v>1056</v>
      </c>
      <c r="Z459" s="4" t="s">
        <v>1056</v>
      </c>
      <c r="AA459" s="4" t="s">
        <v>1057</v>
      </c>
      <c r="AB459" s="3" t="s">
        <v>1057</v>
      </c>
      <c r="AC459" s="3" t="s">
        <v>1340</v>
      </c>
      <c r="AD459" s="3" t="s">
        <v>53</v>
      </c>
      <c r="AE459" s="3">
        <v>1000</v>
      </c>
      <c r="AI459" s="4" t="s">
        <v>1058</v>
      </c>
      <c r="AJ459" s="4" t="s">
        <v>1058</v>
      </c>
      <c r="AK459" s="3"/>
      <c r="AL459" s="4">
        <v>140248</v>
      </c>
      <c r="AM459" s="5">
        <v>44989.95</v>
      </c>
      <c r="AN459" s="4" t="s">
        <v>124</v>
      </c>
      <c r="AO459" s="4">
        <v>99</v>
      </c>
      <c r="AP459" s="4">
        <v>43211501</v>
      </c>
    </row>
    <row r="460" spans="1:42" s="4" customFormat="1" x14ac:dyDescent="0.25">
      <c r="A460" s="3">
        <v>4604952</v>
      </c>
      <c r="B460" s="28">
        <v>42124</v>
      </c>
      <c r="C460" s="3" t="s">
        <v>1278</v>
      </c>
      <c r="D460" s="3">
        <v>10004771</v>
      </c>
      <c r="E460" s="4">
        <v>4534303</v>
      </c>
      <c r="F460" s="3" t="s">
        <v>49</v>
      </c>
      <c r="G460" s="4" t="s">
        <v>325</v>
      </c>
      <c r="I460" s="4">
        <v>746.15</v>
      </c>
      <c r="J460" s="3" t="s">
        <v>1266</v>
      </c>
      <c r="K460" s="3" t="s">
        <v>77</v>
      </c>
      <c r="L460" s="3" t="s">
        <v>119</v>
      </c>
      <c r="M460" s="4" t="s">
        <v>1941</v>
      </c>
      <c r="N460" s="3" t="s">
        <v>56</v>
      </c>
      <c r="O460" s="3"/>
      <c r="Q460" s="3"/>
      <c r="R460" s="3"/>
      <c r="Y460" s="4" t="s">
        <v>178</v>
      </c>
      <c r="Z460" s="4" t="s">
        <v>178</v>
      </c>
      <c r="AB460" s="3"/>
      <c r="AC460" s="3"/>
      <c r="AD460" s="3" t="s">
        <v>498</v>
      </c>
      <c r="AE460" s="3">
        <v>1000</v>
      </c>
      <c r="AI460" s="4" t="s">
        <v>181</v>
      </c>
      <c r="AJ460" s="4" t="s">
        <v>181</v>
      </c>
      <c r="AK460" s="3"/>
      <c r="AL460" s="4">
        <v>40391</v>
      </c>
      <c r="AM460" s="4">
        <v>746.15</v>
      </c>
      <c r="AN460" s="4" t="s">
        <v>124</v>
      </c>
    </row>
    <row r="461" spans="1:42" s="4" customFormat="1" x14ac:dyDescent="0.25">
      <c r="A461" s="3">
        <v>4604957</v>
      </c>
      <c r="B461" s="28">
        <v>42131</v>
      </c>
      <c r="C461" s="3" t="s">
        <v>1278</v>
      </c>
      <c r="D461" s="3">
        <v>10004774</v>
      </c>
      <c r="E461" s="4">
        <v>4534308</v>
      </c>
      <c r="F461" s="3" t="s">
        <v>49</v>
      </c>
      <c r="G461" s="4" t="s">
        <v>1405</v>
      </c>
      <c r="H461" s="4" t="s">
        <v>1294</v>
      </c>
      <c r="I461" s="5">
        <v>163206.47</v>
      </c>
      <c r="J461" s="3" t="s">
        <v>1944</v>
      </c>
      <c r="K461" s="3" t="s">
        <v>77</v>
      </c>
      <c r="L461" s="3" t="s">
        <v>119</v>
      </c>
      <c r="M461" s="4" t="s">
        <v>1945</v>
      </c>
      <c r="N461" s="3" t="s">
        <v>56</v>
      </c>
      <c r="O461" s="3"/>
      <c r="Q461" s="3"/>
      <c r="R461" s="3"/>
      <c r="Y461" s="4" t="s">
        <v>1056</v>
      </c>
      <c r="Z461" s="4" t="s">
        <v>1056</v>
      </c>
      <c r="AA461" s="4" t="s">
        <v>1474</v>
      </c>
      <c r="AB461" s="3" t="s">
        <v>1946</v>
      </c>
      <c r="AC461" s="3" t="s">
        <v>1476</v>
      </c>
      <c r="AD461" s="3" t="s">
        <v>711</v>
      </c>
      <c r="AE461" s="3">
        <v>1000</v>
      </c>
      <c r="AI461" s="4" t="s">
        <v>1058</v>
      </c>
      <c r="AJ461" s="4" t="s">
        <v>1058</v>
      </c>
      <c r="AK461" s="3"/>
      <c r="AL461" s="4">
        <v>48469</v>
      </c>
      <c r="AM461" s="5">
        <v>163206.47</v>
      </c>
      <c r="AN461" s="4" t="s">
        <v>124</v>
      </c>
      <c r="AO461" s="4">
        <v>99</v>
      </c>
      <c r="AP461" s="4">
        <v>43230000</v>
      </c>
    </row>
    <row r="462" spans="1:42" s="4" customFormat="1" x14ac:dyDescent="0.25">
      <c r="A462" s="3">
        <v>4604958</v>
      </c>
      <c r="B462" s="28">
        <v>42129</v>
      </c>
      <c r="C462" s="3" t="s">
        <v>1278</v>
      </c>
      <c r="D462" s="3">
        <v>10004777</v>
      </c>
      <c r="E462" s="4">
        <v>4534309</v>
      </c>
      <c r="F462" s="3" t="s">
        <v>49</v>
      </c>
      <c r="G462" s="4" t="s">
        <v>1261</v>
      </c>
      <c r="H462" s="4" t="s">
        <v>1947</v>
      </c>
      <c r="I462" s="5">
        <v>20000</v>
      </c>
      <c r="J462" s="3" t="s">
        <v>1943</v>
      </c>
      <c r="K462" s="3" t="s">
        <v>77</v>
      </c>
      <c r="L462" s="3" t="s">
        <v>119</v>
      </c>
      <c r="M462" s="4" t="s">
        <v>1947</v>
      </c>
      <c r="N462" s="3" t="s">
        <v>25</v>
      </c>
      <c r="O462" s="3"/>
      <c r="Q462" s="3"/>
      <c r="R462" s="3"/>
      <c r="Y462" s="4" t="s">
        <v>178</v>
      </c>
      <c r="Z462" s="4" t="s">
        <v>178</v>
      </c>
      <c r="AA462" s="4" t="s">
        <v>1265</v>
      </c>
      <c r="AB462" s="3"/>
      <c r="AC462" s="3"/>
      <c r="AD462" s="3" t="s">
        <v>1948</v>
      </c>
      <c r="AE462" s="3">
        <v>1000</v>
      </c>
      <c r="AI462" s="4" t="s">
        <v>181</v>
      </c>
      <c r="AJ462" s="4" t="s">
        <v>181</v>
      </c>
      <c r="AK462" s="3"/>
      <c r="AL462" s="4">
        <v>43889</v>
      </c>
      <c r="AM462" s="5">
        <v>20000</v>
      </c>
      <c r="AN462" s="4" t="s">
        <v>124</v>
      </c>
      <c r="AO462" s="4">
        <v>99</v>
      </c>
      <c r="AP462" s="4">
        <v>80111700</v>
      </c>
    </row>
    <row r="463" spans="1:42" s="4" customFormat="1" x14ac:dyDescent="0.25">
      <c r="A463" s="3">
        <v>4604960</v>
      </c>
      <c r="B463" s="28">
        <v>42135</v>
      </c>
      <c r="C463" s="3" t="s">
        <v>1278</v>
      </c>
      <c r="D463" s="3">
        <v>10004780</v>
      </c>
      <c r="E463" s="4">
        <v>4534311</v>
      </c>
      <c r="F463" s="3" t="s">
        <v>49</v>
      </c>
      <c r="G463" s="4" t="s">
        <v>1951</v>
      </c>
      <c r="H463" s="4" t="s">
        <v>1952</v>
      </c>
      <c r="I463" s="5">
        <v>38392.199999999997</v>
      </c>
      <c r="J463" s="3" t="s">
        <v>292</v>
      </c>
      <c r="K463" s="3" t="s">
        <v>302</v>
      </c>
      <c r="L463" s="3" t="s">
        <v>119</v>
      </c>
      <c r="M463" s="4" t="s">
        <v>1953</v>
      </c>
      <c r="N463" s="3" t="s">
        <v>56</v>
      </c>
      <c r="O463" s="3"/>
      <c r="Q463" s="3"/>
      <c r="R463" s="3"/>
      <c r="Y463" s="4" t="s">
        <v>1079</v>
      </c>
      <c r="Z463" s="4" t="s">
        <v>1090</v>
      </c>
      <c r="AA463" s="4" t="s">
        <v>1095</v>
      </c>
      <c r="AB463" s="3" t="s">
        <v>1954</v>
      </c>
      <c r="AC463" s="3" t="s">
        <v>1097</v>
      </c>
      <c r="AD463" s="3" t="s">
        <v>359</v>
      </c>
      <c r="AE463" s="3">
        <v>1000</v>
      </c>
      <c r="AI463" s="4" t="s">
        <v>1083</v>
      </c>
      <c r="AJ463" s="4" t="s">
        <v>1091</v>
      </c>
      <c r="AK463" s="3"/>
      <c r="AL463" s="4">
        <v>40413</v>
      </c>
      <c r="AM463" s="5">
        <v>38392.199999999997</v>
      </c>
      <c r="AN463" s="4" t="s">
        <v>124</v>
      </c>
      <c r="AO463" s="4">
        <v>99</v>
      </c>
      <c r="AP463" s="4">
        <v>44100000</v>
      </c>
    </row>
    <row r="464" spans="1:42" s="4" customFormat="1" x14ac:dyDescent="0.25">
      <c r="A464" s="3">
        <v>4604962</v>
      </c>
      <c r="B464" s="28">
        <v>42138</v>
      </c>
      <c r="C464" s="3" t="s">
        <v>1278</v>
      </c>
      <c r="D464" s="3">
        <v>10004783</v>
      </c>
      <c r="E464" s="4">
        <v>4534313</v>
      </c>
      <c r="F464" s="3" t="s">
        <v>49</v>
      </c>
      <c r="G464" s="4" t="s">
        <v>1053</v>
      </c>
      <c r="I464" s="5">
        <v>9500</v>
      </c>
      <c r="J464" s="3" t="s">
        <v>1117</v>
      </c>
      <c r="K464" s="3" t="s">
        <v>516</v>
      </c>
      <c r="L464" s="3" t="s">
        <v>119</v>
      </c>
      <c r="M464" s="4" t="s">
        <v>1958</v>
      </c>
      <c r="N464" s="3" t="s">
        <v>56</v>
      </c>
      <c r="O464" s="3"/>
      <c r="Q464" s="3"/>
      <c r="R464" s="3"/>
      <c r="Y464" s="4" t="s">
        <v>1056</v>
      </c>
      <c r="Z464" s="4" t="s">
        <v>1056</v>
      </c>
      <c r="AB464" s="3"/>
      <c r="AC464" s="3"/>
      <c r="AD464" s="3" t="s">
        <v>359</v>
      </c>
      <c r="AE464" s="3">
        <v>1000</v>
      </c>
      <c r="AI464" s="4" t="s">
        <v>1058</v>
      </c>
      <c r="AJ464" s="4" t="s">
        <v>1058</v>
      </c>
      <c r="AK464" s="3"/>
      <c r="AL464" s="4">
        <v>140248</v>
      </c>
      <c r="AM464" s="5">
        <v>9500</v>
      </c>
      <c r="AN464" s="4" t="s">
        <v>124</v>
      </c>
    </row>
    <row r="465" spans="1:42" s="4" customFormat="1" x14ac:dyDescent="0.25">
      <c r="A465" s="3">
        <v>4604965</v>
      </c>
      <c r="B465" s="28">
        <v>42138</v>
      </c>
      <c r="C465" s="3" t="s">
        <v>1278</v>
      </c>
      <c r="D465" s="3">
        <v>10004661</v>
      </c>
      <c r="E465" s="4">
        <v>4534316</v>
      </c>
      <c r="F465" s="3" t="s">
        <v>49</v>
      </c>
      <c r="G465" s="4" t="s">
        <v>1818</v>
      </c>
      <c r="H465" s="4" t="s">
        <v>1961</v>
      </c>
      <c r="I465" s="5">
        <v>56595</v>
      </c>
      <c r="J465" s="3" t="s">
        <v>1269</v>
      </c>
      <c r="K465" s="3" t="s">
        <v>422</v>
      </c>
      <c r="L465" s="3" t="s">
        <v>119</v>
      </c>
      <c r="M465" s="4" t="s">
        <v>1962</v>
      </c>
      <c r="N465" s="3" t="s">
        <v>56</v>
      </c>
      <c r="O465" s="3"/>
      <c r="Q465" s="3"/>
      <c r="R465" s="3"/>
      <c r="Y465" s="4" t="s">
        <v>1056</v>
      </c>
      <c r="Z465" s="4" t="s">
        <v>1056</v>
      </c>
      <c r="AA465" s="4">
        <v>20000194</v>
      </c>
      <c r="AB465" s="3" t="s">
        <v>1821</v>
      </c>
      <c r="AC465" s="3" t="s">
        <v>1719</v>
      </c>
      <c r="AD465" s="3" t="s">
        <v>1117</v>
      </c>
      <c r="AE465" s="3">
        <v>1000</v>
      </c>
      <c r="AI465" s="4" t="s">
        <v>1058</v>
      </c>
      <c r="AJ465" s="4" t="s">
        <v>1058</v>
      </c>
      <c r="AK465" s="3"/>
      <c r="AL465" s="4">
        <v>44100</v>
      </c>
      <c r="AM465" s="5">
        <v>56595</v>
      </c>
      <c r="AN465" s="4" t="s">
        <v>124</v>
      </c>
      <c r="AO465" s="4">
        <v>99</v>
      </c>
      <c r="AP465" s="4">
        <v>81111900</v>
      </c>
    </row>
    <row r="466" spans="1:42" s="4" customFormat="1" x14ac:dyDescent="0.25">
      <c r="A466" s="3">
        <v>4604966</v>
      </c>
      <c r="B466" s="28">
        <v>42142</v>
      </c>
      <c r="C466" s="3" t="s">
        <v>1278</v>
      </c>
      <c r="D466" s="3">
        <v>10004797</v>
      </c>
      <c r="E466" s="4">
        <v>4534317</v>
      </c>
      <c r="F466" s="3" t="s">
        <v>49</v>
      </c>
      <c r="G466" s="4" t="s">
        <v>271</v>
      </c>
      <c r="I466" s="5">
        <v>5060</v>
      </c>
      <c r="J466" s="3" t="s">
        <v>419</v>
      </c>
      <c r="K466" s="3" t="s">
        <v>504</v>
      </c>
      <c r="L466" s="3" t="s">
        <v>119</v>
      </c>
      <c r="M466" s="4" t="s">
        <v>1963</v>
      </c>
      <c r="N466" s="3" t="s">
        <v>25</v>
      </c>
      <c r="O466" s="3"/>
      <c r="Q466" s="3"/>
      <c r="R466" s="3"/>
      <c r="Y466" s="4" t="s">
        <v>178</v>
      </c>
      <c r="Z466" s="4" t="s">
        <v>178</v>
      </c>
      <c r="AB466" s="3"/>
      <c r="AC466" s="3"/>
      <c r="AD466" s="3" t="s">
        <v>439</v>
      </c>
      <c r="AE466" s="3">
        <v>1000</v>
      </c>
      <c r="AI466" s="4" t="s">
        <v>181</v>
      </c>
      <c r="AJ466" s="4" t="s">
        <v>181</v>
      </c>
      <c r="AK466" s="3"/>
      <c r="AL466" s="4">
        <v>46721</v>
      </c>
      <c r="AM466" s="5">
        <v>5060</v>
      </c>
      <c r="AN466" s="4" t="s">
        <v>124</v>
      </c>
    </row>
    <row r="467" spans="1:42" s="4" customFormat="1" x14ac:dyDescent="0.25">
      <c r="A467" s="3">
        <v>4604971</v>
      </c>
      <c r="B467" s="28">
        <v>42145</v>
      </c>
      <c r="C467" s="3" t="s">
        <v>1278</v>
      </c>
      <c r="D467" s="3">
        <v>10004805</v>
      </c>
      <c r="E467" s="4">
        <v>4534322</v>
      </c>
      <c r="F467" s="3" t="s">
        <v>49</v>
      </c>
      <c r="G467" s="4" t="s">
        <v>174</v>
      </c>
      <c r="I467" s="4">
        <v>733.34</v>
      </c>
      <c r="J467" s="3" t="s">
        <v>360</v>
      </c>
      <c r="K467" s="3" t="s">
        <v>77</v>
      </c>
      <c r="L467" s="3" t="s">
        <v>119</v>
      </c>
      <c r="M467" s="4" t="s">
        <v>1969</v>
      </c>
      <c r="N467" s="3" t="s">
        <v>56</v>
      </c>
      <c r="O467" s="3"/>
      <c r="Q467" s="3"/>
      <c r="R467" s="3"/>
      <c r="Y467" s="4" t="s">
        <v>178</v>
      </c>
      <c r="Z467" s="4" t="s">
        <v>178</v>
      </c>
      <c r="AB467" s="3"/>
      <c r="AC467" s="3"/>
      <c r="AD467" s="3" t="s">
        <v>360</v>
      </c>
      <c r="AE467" s="3">
        <v>1000</v>
      </c>
      <c r="AI467" s="4" t="s">
        <v>181</v>
      </c>
      <c r="AJ467" s="4" t="s">
        <v>181</v>
      </c>
      <c r="AK467" s="3"/>
      <c r="AL467" s="4">
        <v>40476</v>
      </c>
      <c r="AM467" s="4">
        <v>733.34</v>
      </c>
      <c r="AN467" s="4" t="s">
        <v>124</v>
      </c>
    </row>
    <row r="468" spans="1:42" s="4" customFormat="1" x14ac:dyDescent="0.25">
      <c r="A468" s="3">
        <v>4604974</v>
      </c>
      <c r="B468" s="28">
        <v>42144</v>
      </c>
      <c r="C468" s="3" t="s">
        <v>1278</v>
      </c>
      <c r="D468" s="3">
        <v>10004791</v>
      </c>
      <c r="E468" s="4">
        <v>4534325</v>
      </c>
      <c r="F468" s="3" t="s">
        <v>49</v>
      </c>
      <c r="G468" s="4" t="s">
        <v>347</v>
      </c>
      <c r="H468" s="4" t="s">
        <v>1974</v>
      </c>
      <c r="I468" s="5">
        <v>531630</v>
      </c>
      <c r="J468" s="3" t="s">
        <v>419</v>
      </c>
      <c r="K468" s="3" t="s">
        <v>575</v>
      </c>
      <c r="L468" s="3" t="s">
        <v>119</v>
      </c>
      <c r="M468" s="4" t="s">
        <v>1974</v>
      </c>
      <c r="N468" s="3" t="s">
        <v>56</v>
      </c>
      <c r="O468" s="3"/>
      <c r="Q468" s="3"/>
      <c r="R468" s="3"/>
      <c r="Y468" s="4" t="s">
        <v>1975</v>
      </c>
      <c r="Z468" s="4" t="s">
        <v>1309</v>
      </c>
      <c r="AA468" s="4" t="s">
        <v>1976</v>
      </c>
      <c r="AB468" s="3"/>
      <c r="AC468" s="3" t="s">
        <v>1977</v>
      </c>
      <c r="AD468" s="3" t="s">
        <v>360</v>
      </c>
      <c r="AE468" s="3">
        <v>1000</v>
      </c>
      <c r="AI468" s="4" t="s">
        <v>1978</v>
      </c>
      <c r="AJ468" s="4" t="s">
        <v>1313</v>
      </c>
      <c r="AK468" s="3"/>
      <c r="AL468" s="4">
        <v>40471</v>
      </c>
      <c r="AM468" s="5">
        <v>531630</v>
      </c>
      <c r="AN468" s="4" t="s">
        <v>124</v>
      </c>
      <c r="AO468" s="4">
        <v>99</v>
      </c>
      <c r="AP468" s="4">
        <v>82111900</v>
      </c>
    </row>
    <row r="469" spans="1:42" s="4" customFormat="1" x14ac:dyDescent="0.25">
      <c r="A469" s="3">
        <v>4604982</v>
      </c>
      <c r="B469" s="28">
        <v>42151</v>
      </c>
      <c r="C469" s="3" t="s">
        <v>1278</v>
      </c>
      <c r="D469" s="3">
        <v>10004811</v>
      </c>
      <c r="E469" s="4">
        <v>4534333</v>
      </c>
      <c r="F469" s="3" t="s">
        <v>49</v>
      </c>
      <c r="G469" s="4" t="s">
        <v>184</v>
      </c>
      <c r="I469" s="5">
        <v>3934.43</v>
      </c>
      <c r="J469" s="3" t="s">
        <v>529</v>
      </c>
      <c r="K469" s="3" t="s">
        <v>1627</v>
      </c>
      <c r="L469" s="3" t="s">
        <v>119</v>
      </c>
      <c r="M469" s="4" t="s">
        <v>1907</v>
      </c>
      <c r="N469" s="3" t="s">
        <v>56</v>
      </c>
      <c r="O469" s="3"/>
      <c r="Q469" s="3"/>
      <c r="R469" s="3"/>
      <c r="Y469" s="4" t="s">
        <v>178</v>
      </c>
      <c r="Z469" s="4" t="s">
        <v>178</v>
      </c>
      <c r="AB469" s="3"/>
      <c r="AC469" s="3"/>
      <c r="AD469" s="3" t="s">
        <v>439</v>
      </c>
      <c r="AE469" s="3">
        <v>1000</v>
      </c>
      <c r="AI469" s="4" t="s">
        <v>181</v>
      </c>
      <c r="AJ469" s="4" t="s">
        <v>181</v>
      </c>
      <c r="AK469" s="3"/>
      <c r="AL469" s="4">
        <v>40619</v>
      </c>
      <c r="AM469" s="5">
        <v>3934.43</v>
      </c>
      <c r="AN469" s="4" t="s">
        <v>124</v>
      </c>
    </row>
    <row r="470" spans="1:42" s="4" customFormat="1" x14ac:dyDescent="0.25">
      <c r="A470" s="3">
        <v>4604984</v>
      </c>
      <c r="B470" s="28">
        <v>42149</v>
      </c>
      <c r="C470" s="3" t="s">
        <v>1278</v>
      </c>
      <c r="D470" s="3">
        <v>10004808</v>
      </c>
      <c r="E470" s="4">
        <v>4534335</v>
      </c>
      <c r="F470" s="3" t="s">
        <v>49</v>
      </c>
      <c r="G470" s="4" t="s">
        <v>1053</v>
      </c>
      <c r="H470" s="4" t="s">
        <v>1987</v>
      </c>
      <c r="I470" s="5">
        <v>215000</v>
      </c>
      <c r="J470" s="3" t="s">
        <v>360</v>
      </c>
      <c r="K470" s="3" t="s">
        <v>77</v>
      </c>
      <c r="L470" s="3" t="s">
        <v>119</v>
      </c>
      <c r="M470" s="4" t="s">
        <v>1988</v>
      </c>
      <c r="N470" s="3" t="s">
        <v>56</v>
      </c>
      <c r="O470" s="3"/>
      <c r="Q470" s="3"/>
      <c r="R470" s="3"/>
      <c r="Y470" s="4" t="s">
        <v>1056</v>
      </c>
      <c r="Z470" s="4" t="s">
        <v>1056</v>
      </c>
      <c r="AA470" s="4" t="s">
        <v>1057</v>
      </c>
      <c r="AB470" s="3" t="s">
        <v>1057</v>
      </c>
      <c r="AC470" s="3" t="s">
        <v>1340</v>
      </c>
      <c r="AD470" s="3" t="s">
        <v>529</v>
      </c>
      <c r="AE470" s="3">
        <v>1000</v>
      </c>
      <c r="AI470" s="4" t="s">
        <v>1058</v>
      </c>
      <c r="AJ470" s="4" t="s">
        <v>1058</v>
      </c>
      <c r="AK470" s="3"/>
      <c r="AL470" s="4">
        <v>140248</v>
      </c>
      <c r="AM470" s="5">
        <v>215000</v>
      </c>
      <c r="AN470" s="4" t="s">
        <v>124</v>
      </c>
      <c r="AO470" s="4">
        <v>99</v>
      </c>
      <c r="AP470" s="4">
        <v>81111800</v>
      </c>
    </row>
    <row r="471" spans="1:42" s="4" customFormat="1" x14ac:dyDescent="0.25">
      <c r="A471" s="3">
        <v>4604986</v>
      </c>
      <c r="B471" s="28">
        <v>42132</v>
      </c>
      <c r="C471" s="3" t="s">
        <v>1278</v>
      </c>
      <c r="D471" s="3">
        <v>10002087</v>
      </c>
      <c r="E471" s="4">
        <v>4534337</v>
      </c>
      <c r="F471" s="3" t="s">
        <v>49</v>
      </c>
      <c r="G471" s="4" t="s">
        <v>1085</v>
      </c>
      <c r="H471" s="4" t="s">
        <v>1989</v>
      </c>
      <c r="I471" s="5">
        <v>750000</v>
      </c>
      <c r="J471" s="3" t="s">
        <v>1990</v>
      </c>
      <c r="K471" s="3" t="s">
        <v>1991</v>
      </c>
      <c r="L471" s="3" t="s">
        <v>119</v>
      </c>
      <c r="M471" s="4" t="s">
        <v>1992</v>
      </c>
      <c r="N471" s="3" t="s">
        <v>56</v>
      </c>
      <c r="O471" s="3"/>
      <c r="Q471" s="3"/>
      <c r="R471" s="3"/>
      <c r="Y471" s="4" t="s">
        <v>1056</v>
      </c>
      <c r="Z471" s="4" t="s">
        <v>1056</v>
      </c>
      <c r="AB471" s="3"/>
      <c r="AC471" s="3"/>
      <c r="AD471" s="3" t="s">
        <v>529</v>
      </c>
      <c r="AE471" s="3">
        <v>1000</v>
      </c>
      <c r="AI471" s="4" t="s">
        <v>1058</v>
      </c>
      <c r="AJ471" s="4" t="s">
        <v>1058</v>
      </c>
      <c r="AK471" s="3"/>
      <c r="AL471" s="4">
        <v>30502</v>
      </c>
      <c r="AM471" s="5">
        <v>750000</v>
      </c>
      <c r="AN471" s="4" t="s">
        <v>124</v>
      </c>
      <c r="AO471" s="4">
        <v>99</v>
      </c>
    </row>
    <row r="472" spans="1:42" s="4" customFormat="1" x14ac:dyDescent="0.25">
      <c r="A472" s="3">
        <v>4604988</v>
      </c>
      <c r="B472" s="28">
        <v>42153</v>
      </c>
      <c r="C472" s="3" t="s">
        <v>1278</v>
      </c>
      <c r="D472" s="3">
        <v>10004815</v>
      </c>
      <c r="E472" s="4">
        <v>4534339</v>
      </c>
      <c r="F472" s="3" t="s">
        <v>49</v>
      </c>
      <c r="G472" s="4" t="s">
        <v>1993</v>
      </c>
      <c r="H472" s="4" t="s">
        <v>1994</v>
      </c>
      <c r="I472" s="5">
        <v>26180</v>
      </c>
      <c r="J472" s="3" t="s">
        <v>377</v>
      </c>
      <c r="K472" s="3" t="s">
        <v>374</v>
      </c>
      <c r="L472" s="3" t="s">
        <v>119</v>
      </c>
      <c r="M472" s="4" t="s">
        <v>1994</v>
      </c>
      <c r="N472" s="3" t="s">
        <v>56</v>
      </c>
      <c r="O472" s="3"/>
      <c r="Q472" s="3" t="s">
        <v>139</v>
      </c>
      <c r="R472" s="3" t="s">
        <v>427</v>
      </c>
      <c r="S472" s="4" t="s">
        <v>428</v>
      </c>
      <c r="U472" s="4" t="s">
        <v>139</v>
      </c>
      <c r="V472" s="4" t="s">
        <v>427</v>
      </c>
      <c r="W472" s="4" t="s">
        <v>428</v>
      </c>
      <c r="Y472" s="4" t="s">
        <v>1510</v>
      </c>
      <c r="Z472" s="4" t="s">
        <v>1995</v>
      </c>
      <c r="AA472" s="4" t="s">
        <v>1996</v>
      </c>
      <c r="AB472" s="3" t="s">
        <v>1997</v>
      </c>
      <c r="AC472" s="3" t="s">
        <v>1998</v>
      </c>
      <c r="AD472" s="3" t="s">
        <v>1491</v>
      </c>
      <c r="AE472" s="3">
        <v>1000</v>
      </c>
      <c r="AI472" s="4" t="s">
        <v>1512</v>
      </c>
      <c r="AJ472" s="4" t="s">
        <v>1999</v>
      </c>
      <c r="AK472" s="3"/>
      <c r="AL472" s="4">
        <v>141701</v>
      </c>
      <c r="AM472" s="5">
        <v>26180</v>
      </c>
      <c r="AN472" s="4" t="s">
        <v>124</v>
      </c>
      <c r="AO472" s="4">
        <v>99</v>
      </c>
      <c r="AP472" s="4">
        <v>81111508</v>
      </c>
    </row>
    <row r="473" spans="1:42" s="4" customFormat="1" x14ac:dyDescent="0.25">
      <c r="A473" s="3">
        <v>4604993</v>
      </c>
      <c r="B473" s="28">
        <v>42159</v>
      </c>
      <c r="C473" s="3" t="s">
        <v>1278</v>
      </c>
      <c r="D473" s="3">
        <v>10004828</v>
      </c>
      <c r="E473" s="4">
        <v>4534344</v>
      </c>
      <c r="F473" s="3" t="s">
        <v>49</v>
      </c>
      <c r="G473" s="4" t="s">
        <v>1710</v>
      </c>
      <c r="I473" s="5">
        <v>1682.78</v>
      </c>
      <c r="J473" s="3" t="s">
        <v>376</v>
      </c>
      <c r="K473" s="3" t="s">
        <v>77</v>
      </c>
      <c r="L473" s="3" t="s">
        <v>119</v>
      </c>
      <c r="M473" s="4" t="s">
        <v>2003</v>
      </c>
      <c r="N473" s="3" t="s">
        <v>56</v>
      </c>
      <c r="O473" s="3"/>
      <c r="Q473" s="3"/>
      <c r="R473" s="3"/>
      <c r="Y473" s="4" t="s">
        <v>178</v>
      </c>
      <c r="Z473" s="4" t="s">
        <v>178</v>
      </c>
      <c r="AB473" s="3"/>
      <c r="AC473" s="3"/>
      <c r="AD473" s="3" t="s">
        <v>1491</v>
      </c>
      <c r="AE473" s="3">
        <v>1000</v>
      </c>
      <c r="AI473" s="4" t="s">
        <v>181</v>
      </c>
      <c r="AJ473" s="4" t="s">
        <v>181</v>
      </c>
      <c r="AK473" s="3"/>
      <c r="AL473" s="4">
        <v>47444</v>
      </c>
      <c r="AM473" s="5">
        <v>1682.78</v>
      </c>
      <c r="AN473" s="4" t="s">
        <v>124</v>
      </c>
    </row>
    <row r="474" spans="1:42" s="4" customFormat="1" x14ac:dyDescent="0.25">
      <c r="A474" s="3">
        <v>4605006</v>
      </c>
      <c r="B474" s="28">
        <v>42166</v>
      </c>
      <c r="C474" s="3" t="s">
        <v>1278</v>
      </c>
      <c r="D474" s="3">
        <v>10004830</v>
      </c>
      <c r="E474" s="4">
        <v>4534357</v>
      </c>
      <c r="F474" s="3" t="s">
        <v>49</v>
      </c>
      <c r="G474" s="4" t="s">
        <v>1053</v>
      </c>
      <c r="H474" s="4" t="s">
        <v>2012</v>
      </c>
      <c r="I474" s="5">
        <v>13630.1</v>
      </c>
      <c r="J474" s="3" t="s">
        <v>529</v>
      </c>
      <c r="K474" s="3" t="s">
        <v>77</v>
      </c>
      <c r="L474" s="3" t="s">
        <v>119</v>
      </c>
      <c r="M474" s="4" t="s">
        <v>2013</v>
      </c>
      <c r="N474" s="3" t="s">
        <v>56</v>
      </c>
      <c r="O474" s="3"/>
      <c r="Q474" s="3"/>
      <c r="R474" s="3"/>
      <c r="Y474" s="4" t="s">
        <v>1056</v>
      </c>
      <c r="Z474" s="4" t="s">
        <v>1056</v>
      </c>
      <c r="AA474" s="4" t="s">
        <v>1057</v>
      </c>
      <c r="AB474" s="3" t="s">
        <v>1057</v>
      </c>
      <c r="AC474" s="3" t="s">
        <v>1340</v>
      </c>
      <c r="AD474" s="3" t="s">
        <v>474</v>
      </c>
      <c r="AE474" s="3">
        <v>1000</v>
      </c>
      <c r="AI474" s="4" t="s">
        <v>1058</v>
      </c>
      <c r="AJ474" s="4" t="s">
        <v>1058</v>
      </c>
      <c r="AK474" s="3"/>
      <c r="AL474" s="4">
        <v>140248</v>
      </c>
      <c r="AM474" s="5">
        <v>13630.1</v>
      </c>
      <c r="AN474" s="4" t="s">
        <v>124</v>
      </c>
      <c r="AO474" s="4">
        <v>99</v>
      </c>
      <c r="AP474" s="4">
        <v>43230000</v>
      </c>
    </row>
    <row r="475" spans="1:42" s="4" customFormat="1" x14ac:dyDescent="0.25">
      <c r="A475" s="3">
        <v>4605013</v>
      </c>
      <c r="B475" s="28">
        <v>42172</v>
      </c>
      <c r="C475" s="3" t="s">
        <v>1278</v>
      </c>
      <c r="D475" s="3">
        <v>10004840</v>
      </c>
      <c r="E475" s="4">
        <v>4534364</v>
      </c>
      <c r="F475" s="3" t="s">
        <v>49</v>
      </c>
      <c r="G475" s="4" t="s">
        <v>1053</v>
      </c>
      <c r="H475" s="4" t="s">
        <v>2017</v>
      </c>
      <c r="I475" s="5">
        <v>129607.7</v>
      </c>
      <c r="J475" s="3" t="s">
        <v>371</v>
      </c>
      <c r="K475" s="3" t="s">
        <v>77</v>
      </c>
      <c r="L475" s="3" t="s">
        <v>119</v>
      </c>
      <c r="M475" s="4" t="s">
        <v>2018</v>
      </c>
      <c r="N475" s="3" t="s">
        <v>56</v>
      </c>
      <c r="O475" s="3"/>
      <c r="Q475" s="3"/>
      <c r="R475" s="3"/>
      <c r="Y475" s="4" t="s">
        <v>1056</v>
      </c>
      <c r="Z475" s="4" t="s">
        <v>1056</v>
      </c>
      <c r="AA475" s="4" t="s">
        <v>1057</v>
      </c>
      <c r="AB475" s="3" t="s">
        <v>1057</v>
      </c>
      <c r="AC475" s="3" t="s">
        <v>1340</v>
      </c>
      <c r="AD475" s="3" t="s">
        <v>317</v>
      </c>
      <c r="AE475" s="3">
        <v>1000</v>
      </c>
      <c r="AI475" s="4" t="s">
        <v>1058</v>
      </c>
      <c r="AJ475" s="4" t="s">
        <v>1058</v>
      </c>
      <c r="AK475" s="3"/>
      <c r="AL475" s="4">
        <v>140248</v>
      </c>
      <c r="AM475" s="5">
        <v>129607.7</v>
      </c>
      <c r="AN475" s="4" t="s">
        <v>124</v>
      </c>
      <c r="AO475" s="4">
        <v>99</v>
      </c>
      <c r="AP475" s="4">
        <v>43230000</v>
      </c>
    </row>
    <row r="476" spans="1:42" s="4" customFormat="1" x14ac:dyDescent="0.25">
      <c r="A476" s="3">
        <v>4605025</v>
      </c>
      <c r="B476" s="28">
        <v>42173</v>
      </c>
      <c r="C476" s="3" t="s">
        <v>1278</v>
      </c>
      <c r="D476" s="3">
        <v>10004863</v>
      </c>
      <c r="E476" s="4">
        <v>4534376</v>
      </c>
      <c r="F476" s="3" t="s">
        <v>49</v>
      </c>
      <c r="G476" s="4" t="s">
        <v>1053</v>
      </c>
      <c r="H476" s="4" t="s">
        <v>2030</v>
      </c>
      <c r="I476" s="5">
        <v>32197.73</v>
      </c>
      <c r="J476" s="3" t="s">
        <v>77</v>
      </c>
      <c r="K476" s="3" t="s">
        <v>575</v>
      </c>
      <c r="L476" s="3" t="s">
        <v>119</v>
      </c>
      <c r="M476" s="4" t="s">
        <v>2031</v>
      </c>
      <c r="N476" s="3" t="s">
        <v>56</v>
      </c>
      <c r="O476" s="3"/>
      <c r="Q476" s="3"/>
      <c r="R476" s="3"/>
      <c r="Y476" s="4" t="s">
        <v>1056</v>
      </c>
      <c r="Z476" s="4" t="s">
        <v>1056</v>
      </c>
      <c r="AA476" s="4" t="s">
        <v>1057</v>
      </c>
      <c r="AB476" s="3" t="s">
        <v>1057</v>
      </c>
      <c r="AC476" s="3" t="s">
        <v>1340</v>
      </c>
      <c r="AD476" s="3" t="s">
        <v>385</v>
      </c>
      <c r="AE476" s="3">
        <v>1000</v>
      </c>
      <c r="AI476" s="4" t="s">
        <v>1058</v>
      </c>
      <c r="AJ476" s="4" t="s">
        <v>1058</v>
      </c>
      <c r="AK476" s="3"/>
      <c r="AL476" s="4">
        <v>140248</v>
      </c>
      <c r="AM476" s="5">
        <v>32197.73</v>
      </c>
      <c r="AN476" s="4" t="s">
        <v>124</v>
      </c>
      <c r="AO476" s="4">
        <v>99</v>
      </c>
      <c r="AP476" s="4">
        <v>43230000</v>
      </c>
    </row>
    <row r="477" spans="1:42" s="4" customFormat="1" x14ac:dyDescent="0.25">
      <c r="A477" s="3">
        <v>4605026</v>
      </c>
      <c r="B477" s="28">
        <v>42170</v>
      </c>
      <c r="C477" s="3" t="s">
        <v>1278</v>
      </c>
      <c r="D477" s="3">
        <v>10004826</v>
      </c>
      <c r="E477" s="4">
        <v>4534377</v>
      </c>
      <c r="F477" s="3" t="s">
        <v>49</v>
      </c>
      <c r="G477" s="4" t="s">
        <v>1053</v>
      </c>
      <c r="H477" s="4" t="s">
        <v>2032</v>
      </c>
      <c r="I477" s="5">
        <v>63171.9</v>
      </c>
      <c r="J477" s="3" t="s">
        <v>371</v>
      </c>
      <c r="K477" s="3" t="s">
        <v>374</v>
      </c>
      <c r="L477" s="3" t="s">
        <v>119</v>
      </c>
      <c r="M477" s="4" t="s">
        <v>2033</v>
      </c>
      <c r="N477" s="3" t="s">
        <v>56</v>
      </c>
      <c r="O477" s="3"/>
      <c r="Q477" s="3"/>
      <c r="R477" s="3"/>
      <c r="Y477" s="4" t="s">
        <v>1056</v>
      </c>
      <c r="Z477" s="4" t="s">
        <v>1056</v>
      </c>
      <c r="AA477" s="4" t="s">
        <v>1057</v>
      </c>
      <c r="AB477" s="3" t="s">
        <v>1057</v>
      </c>
      <c r="AC477" s="3" t="s">
        <v>1340</v>
      </c>
      <c r="AD477" s="3" t="s">
        <v>385</v>
      </c>
      <c r="AE477" s="3">
        <v>1000</v>
      </c>
      <c r="AI477" s="4" t="s">
        <v>1058</v>
      </c>
      <c r="AJ477" s="4" t="s">
        <v>1058</v>
      </c>
      <c r="AK477" s="3"/>
      <c r="AL477" s="4">
        <v>140248</v>
      </c>
      <c r="AM477" s="5">
        <v>63171.9</v>
      </c>
      <c r="AN477" s="4" t="s">
        <v>124</v>
      </c>
      <c r="AO477" s="4">
        <v>99</v>
      </c>
      <c r="AP477" s="4">
        <v>43222500</v>
      </c>
    </row>
    <row r="478" spans="1:42" s="4" customFormat="1" x14ac:dyDescent="0.25">
      <c r="A478" s="3">
        <v>4605034</v>
      </c>
      <c r="B478" s="28">
        <v>42178</v>
      </c>
      <c r="C478" s="3" t="s">
        <v>1278</v>
      </c>
      <c r="D478" s="3">
        <v>10004880</v>
      </c>
      <c r="E478" s="4">
        <v>4534385</v>
      </c>
      <c r="F478" s="3" t="s">
        <v>49</v>
      </c>
      <c r="G478" s="4" t="s">
        <v>393</v>
      </c>
      <c r="H478" s="4" t="s">
        <v>2044</v>
      </c>
      <c r="I478" s="5">
        <v>110687.5</v>
      </c>
      <c r="J478" s="3" t="s">
        <v>407</v>
      </c>
      <c r="K478" s="3" t="s">
        <v>575</v>
      </c>
      <c r="L478" s="3" t="s">
        <v>119</v>
      </c>
      <c r="M478" s="4" t="s">
        <v>2044</v>
      </c>
      <c r="N478" s="3" t="s">
        <v>56</v>
      </c>
      <c r="O478" s="3"/>
      <c r="Q478" s="3"/>
      <c r="R478" s="3"/>
      <c r="Y478" s="4" t="s">
        <v>179</v>
      </c>
      <c r="Z478" s="4" t="s">
        <v>179</v>
      </c>
      <c r="AA478" s="4" t="s">
        <v>2045</v>
      </c>
      <c r="AB478" s="3" t="s">
        <v>2046</v>
      </c>
      <c r="AC478" s="3" t="s">
        <v>2047</v>
      </c>
      <c r="AD478" s="3" t="s">
        <v>351</v>
      </c>
      <c r="AE478" s="3">
        <v>1000</v>
      </c>
      <c r="AI478" s="4" t="s">
        <v>182</v>
      </c>
      <c r="AJ478" s="4" t="s">
        <v>182</v>
      </c>
      <c r="AK478" s="3"/>
      <c r="AL478" s="4">
        <v>51455</v>
      </c>
      <c r="AM478" s="5">
        <v>110687.5</v>
      </c>
      <c r="AN478" s="4" t="s">
        <v>124</v>
      </c>
      <c r="AO478" s="4">
        <v>99</v>
      </c>
      <c r="AP478" s="4">
        <v>86000000</v>
      </c>
    </row>
    <row r="479" spans="1:42" s="4" customFormat="1" x14ac:dyDescent="0.25">
      <c r="A479" s="3">
        <v>4605039</v>
      </c>
      <c r="B479" s="28">
        <v>42179</v>
      </c>
      <c r="C479" s="3" t="s">
        <v>1278</v>
      </c>
      <c r="D479" s="3">
        <v>10004888</v>
      </c>
      <c r="E479" s="4">
        <v>4534390</v>
      </c>
      <c r="F479" s="3" t="s">
        <v>49</v>
      </c>
      <c r="G479" s="4" t="s">
        <v>1053</v>
      </c>
      <c r="H479" s="4" t="s">
        <v>2050</v>
      </c>
      <c r="I479" s="5">
        <v>13755.72</v>
      </c>
      <c r="J479" s="3" t="s">
        <v>369</v>
      </c>
      <c r="K479" s="3" t="s">
        <v>374</v>
      </c>
      <c r="L479" s="3" t="s">
        <v>119</v>
      </c>
      <c r="M479" s="4" t="s">
        <v>2051</v>
      </c>
      <c r="N479" s="3" t="s">
        <v>56</v>
      </c>
      <c r="O479" s="3"/>
      <c r="Q479" s="3"/>
      <c r="R479" s="3"/>
      <c r="Y479" s="4" t="s">
        <v>1056</v>
      </c>
      <c r="Z479" s="4" t="s">
        <v>1056</v>
      </c>
      <c r="AA479" s="4" t="s">
        <v>1057</v>
      </c>
      <c r="AB479" s="3" t="s">
        <v>1057</v>
      </c>
      <c r="AC479" s="3" t="s">
        <v>1340</v>
      </c>
      <c r="AD479" s="3" t="s">
        <v>369</v>
      </c>
      <c r="AE479" s="3">
        <v>1000</v>
      </c>
      <c r="AI479" s="4" t="s">
        <v>1058</v>
      </c>
      <c r="AJ479" s="4" t="s">
        <v>1058</v>
      </c>
      <c r="AK479" s="3"/>
      <c r="AL479" s="4">
        <v>140248</v>
      </c>
      <c r="AM479" s="5">
        <v>13755.72</v>
      </c>
      <c r="AN479" s="4" t="s">
        <v>124</v>
      </c>
      <c r="AO479" s="4">
        <v>99</v>
      </c>
      <c r="AP479" s="4">
        <v>43222500</v>
      </c>
    </row>
    <row r="480" spans="1:42" s="4" customFormat="1" x14ac:dyDescent="0.25">
      <c r="A480" s="3">
        <v>4605044</v>
      </c>
      <c r="B480" s="28">
        <v>42180</v>
      </c>
      <c r="C480" s="3" t="s">
        <v>1278</v>
      </c>
      <c r="D480" s="3">
        <v>10004894</v>
      </c>
      <c r="E480" s="4">
        <v>4534395</v>
      </c>
      <c r="F480" s="3" t="s">
        <v>49</v>
      </c>
      <c r="G480" s="4" t="s">
        <v>1360</v>
      </c>
      <c r="H480" s="4" t="s">
        <v>2053</v>
      </c>
      <c r="I480" s="5">
        <v>36300</v>
      </c>
      <c r="J480" s="3" t="s">
        <v>543</v>
      </c>
      <c r="K480" s="3" t="s">
        <v>77</v>
      </c>
      <c r="L480" s="3" t="s">
        <v>119</v>
      </c>
      <c r="M480" s="4" t="s">
        <v>2053</v>
      </c>
      <c r="N480" s="3" t="s">
        <v>56</v>
      </c>
      <c r="O480" s="3"/>
      <c r="Q480" s="3"/>
      <c r="R480" s="3"/>
      <c r="Y480" s="4" t="s">
        <v>1959</v>
      </c>
      <c r="Z480" s="4" t="s">
        <v>1959</v>
      </c>
      <c r="AA480" s="4" t="s">
        <v>1324</v>
      </c>
      <c r="AB480" s="3" t="s">
        <v>1363</v>
      </c>
      <c r="AC480" s="3" t="s">
        <v>1326</v>
      </c>
      <c r="AD480" s="3" t="s">
        <v>369</v>
      </c>
      <c r="AE480" s="3">
        <v>1000</v>
      </c>
      <c r="AI480" s="4" t="s">
        <v>1960</v>
      </c>
      <c r="AJ480" s="4" t="s">
        <v>1960</v>
      </c>
      <c r="AK480" s="3"/>
      <c r="AL480" s="4">
        <v>49879</v>
      </c>
      <c r="AM480" s="5">
        <v>36300</v>
      </c>
      <c r="AN480" s="4" t="s">
        <v>124</v>
      </c>
      <c r="AO480" s="4">
        <v>99</v>
      </c>
      <c r="AP480" s="4">
        <v>43230000</v>
      </c>
    </row>
    <row r="481" spans="1:42" s="4" customFormat="1" x14ac:dyDescent="0.25">
      <c r="A481" s="3">
        <v>4605070</v>
      </c>
      <c r="B481" s="28">
        <v>42185</v>
      </c>
      <c r="C481" s="3" t="s">
        <v>1278</v>
      </c>
      <c r="D481" s="3">
        <v>10004928</v>
      </c>
      <c r="E481" s="4">
        <v>4534421</v>
      </c>
      <c r="F481" s="3" t="s">
        <v>49</v>
      </c>
      <c r="G481" s="4" t="s">
        <v>336</v>
      </c>
      <c r="H481" s="4" t="s">
        <v>2067</v>
      </c>
      <c r="I481" s="5">
        <v>19834.87</v>
      </c>
      <c r="J481" s="3" t="s">
        <v>77</v>
      </c>
      <c r="K481" s="3" t="s">
        <v>77</v>
      </c>
      <c r="L481" s="3" t="s">
        <v>119</v>
      </c>
      <c r="M481" s="4" t="s">
        <v>2067</v>
      </c>
      <c r="N481" s="3" t="s">
        <v>56</v>
      </c>
      <c r="O481" s="3"/>
      <c r="Q481" s="3"/>
      <c r="R481" s="3"/>
      <c r="Y481" s="4" t="s">
        <v>267</v>
      </c>
      <c r="Z481" s="4" t="s">
        <v>267</v>
      </c>
      <c r="AA481" s="4" t="s">
        <v>2068</v>
      </c>
      <c r="AB481" s="3" t="s">
        <v>2068</v>
      </c>
      <c r="AC481" s="3" t="s">
        <v>2069</v>
      </c>
      <c r="AD481" s="3" t="s">
        <v>77</v>
      </c>
      <c r="AE481" s="3">
        <v>1000</v>
      </c>
      <c r="AI481" s="4" t="s">
        <v>270</v>
      </c>
      <c r="AJ481" s="4" t="s">
        <v>270</v>
      </c>
      <c r="AK481" s="3"/>
      <c r="AL481" s="4">
        <v>141787</v>
      </c>
      <c r="AM481" s="5">
        <v>19834.87</v>
      </c>
      <c r="AN481" s="4" t="s">
        <v>124</v>
      </c>
      <c r="AO481" s="4">
        <v>99</v>
      </c>
      <c r="AP481" s="4">
        <v>82121505</v>
      </c>
    </row>
    <row r="482" spans="1:42" s="4" customFormat="1" x14ac:dyDescent="0.25">
      <c r="A482" s="3">
        <v>4605074</v>
      </c>
      <c r="B482" s="28">
        <v>42185</v>
      </c>
      <c r="C482" s="3" t="s">
        <v>1278</v>
      </c>
      <c r="D482" s="3">
        <v>10004913</v>
      </c>
      <c r="E482" s="4">
        <v>4534425</v>
      </c>
      <c r="F482" s="3" t="s">
        <v>49</v>
      </c>
      <c r="G482" s="4" t="s">
        <v>1471</v>
      </c>
      <c r="H482" s="4" t="s">
        <v>1899</v>
      </c>
      <c r="I482" s="5">
        <v>55927.3</v>
      </c>
      <c r="J482" s="3" t="s">
        <v>287</v>
      </c>
      <c r="K482" s="3" t="s">
        <v>1775</v>
      </c>
      <c r="L482" s="3" t="s">
        <v>119</v>
      </c>
      <c r="M482" s="4" t="s">
        <v>2071</v>
      </c>
      <c r="N482" s="3" t="s">
        <v>56</v>
      </c>
      <c r="O482" s="3"/>
      <c r="Q482" s="3"/>
      <c r="R482" s="3"/>
      <c r="Y482" s="4" t="s">
        <v>1056</v>
      </c>
      <c r="Z482" s="4" t="s">
        <v>1056</v>
      </c>
      <c r="AA482" s="4" t="s">
        <v>1474</v>
      </c>
      <c r="AB482" s="3" t="s">
        <v>1475</v>
      </c>
      <c r="AC482" s="3" t="s">
        <v>1476</v>
      </c>
      <c r="AD482" s="3" t="s">
        <v>2072</v>
      </c>
      <c r="AE482" s="3">
        <v>1000</v>
      </c>
      <c r="AI482" s="4" t="s">
        <v>1058</v>
      </c>
      <c r="AJ482" s="4" t="s">
        <v>1058</v>
      </c>
      <c r="AK482" s="3"/>
      <c r="AL482" s="4">
        <v>48891</v>
      </c>
      <c r="AM482" s="5">
        <v>55927.3</v>
      </c>
      <c r="AN482" s="4" t="s">
        <v>124</v>
      </c>
      <c r="AO482" s="4">
        <v>99</v>
      </c>
      <c r="AP482" s="4">
        <v>43210000</v>
      </c>
    </row>
    <row r="483" spans="1:42" s="4" customFormat="1" x14ac:dyDescent="0.25">
      <c r="A483" s="3">
        <v>4604465</v>
      </c>
      <c r="B483" s="28">
        <v>41816</v>
      </c>
      <c r="C483" s="3" t="s">
        <v>2073</v>
      </c>
      <c r="D483" s="3">
        <v>10004258</v>
      </c>
      <c r="E483" s="4">
        <v>4533816</v>
      </c>
      <c r="F483" s="3" t="s">
        <v>49</v>
      </c>
      <c r="G483" s="4" t="s">
        <v>174</v>
      </c>
      <c r="H483" s="4" t="s">
        <v>1317</v>
      </c>
      <c r="I483" s="5">
        <v>86153.7</v>
      </c>
      <c r="J483" s="3" t="s">
        <v>2074</v>
      </c>
      <c r="K483" s="3" t="s">
        <v>187</v>
      </c>
      <c r="L483" s="3" t="s">
        <v>119</v>
      </c>
      <c r="M483" s="4" t="s">
        <v>2075</v>
      </c>
      <c r="N483" s="3" t="s">
        <v>56</v>
      </c>
      <c r="O483" s="3"/>
      <c r="Q483" s="3"/>
      <c r="R483" s="3"/>
      <c r="Y483" s="4" t="s">
        <v>178</v>
      </c>
      <c r="Z483" s="4" t="s">
        <v>179</v>
      </c>
      <c r="AA483" s="4" t="s">
        <v>188</v>
      </c>
      <c r="AB483" s="3" t="s">
        <v>401</v>
      </c>
      <c r="AC483" s="3" t="s">
        <v>190</v>
      </c>
      <c r="AD483" s="3" t="s">
        <v>400</v>
      </c>
      <c r="AE483" s="3">
        <v>5000</v>
      </c>
      <c r="AI483" s="4" t="s">
        <v>181</v>
      </c>
      <c r="AJ483" s="4" t="s">
        <v>182</v>
      </c>
      <c r="AK483" s="3"/>
      <c r="AL483" s="4">
        <v>40476</v>
      </c>
      <c r="AM483" s="5">
        <v>86153.7</v>
      </c>
      <c r="AN483" s="4" t="s">
        <v>31</v>
      </c>
      <c r="AO483" s="4">
        <v>97</v>
      </c>
      <c r="AP483" s="4">
        <v>80111600</v>
      </c>
    </row>
    <row r="484" spans="1:42" s="4" customFormat="1" x14ac:dyDescent="0.25">
      <c r="A484" s="3">
        <v>4604572</v>
      </c>
      <c r="B484" s="28">
        <v>41820</v>
      </c>
      <c r="C484" s="3" t="s">
        <v>2073</v>
      </c>
      <c r="D484" s="3">
        <v>10004353</v>
      </c>
      <c r="E484" s="4">
        <v>4533923</v>
      </c>
      <c r="F484" s="3" t="s">
        <v>49</v>
      </c>
      <c r="G484" s="4" t="s">
        <v>1353</v>
      </c>
      <c r="H484" s="4" t="s">
        <v>2076</v>
      </c>
      <c r="I484" s="5">
        <v>58873.72</v>
      </c>
      <c r="J484" s="3" t="s">
        <v>76</v>
      </c>
      <c r="K484" s="3" t="s">
        <v>77</v>
      </c>
      <c r="L484" s="3" t="s">
        <v>119</v>
      </c>
      <c r="M484" s="4" t="s">
        <v>2076</v>
      </c>
      <c r="N484" s="3" t="s">
        <v>56</v>
      </c>
      <c r="O484" s="3"/>
      <c r="Q484" s="3"/>
      <c r="R484" s="3"/>
      <c r="Y484" s="4" t="s">
        <v>368</v>
      </c>
      <c r="Z484" s="4" t="s">
        <v>368</v>
      </c>
      <c r="AA484" s="4" t="s">
        <v>1324</v>
      </c>
      <c r="AB484" s="3" t="s">
        <v>1355</v>
      </c>
      <c r="AC484" s="3" t="s">
        <v>1326</v>
      </c>
      <c r="AD484" s="3" t="s">
        <v>1098</v>
      </c>
      <c r="AE484" s="3">
        <v>1000</v>
      </c>
      <c r="AI484" s="4" t="s">
        <v>370</v>
      </c>
      <c r="AJ484" s="4" t="s">
        <v>370</v>
      </c>
      <c r="AK484" s="3"/>
      <c r="AL484" s="4">
        <v>140449</v>
      </c>
      <c r="AM484" s="5">
        <v>58873.72</v>
      </c>
      <c r="AN484" s="4" t="s">
        <v>124</v>
      </c>
      <c r="AO484" s="4">
        <v>99</v>
      </c>
      <c r="AP484" s="4">
        <v>81112100</v>
      </c>
    </row>
    <row r="485" spans="1:42" s="4" customFormat="1" x14ac:dyDescent="0.25">
      <c r="A485" s="3">
        <v>4604578</v>
      </c>
      <c r="B485" s="28">
        <v>42185</v>
      </c>
      <c r="C485" s="3" t="s">
        <v>2073</v>
      </c>
      <c r="D485" s="3">
        <v>10004358</v>
      </c>
      <c r="E485" s="4">
        <v>4533929</v>
      </c>
      <c r="F485" s="3" t="s">
        <v>49</v>
      </c>
      <c r="G485" s="4" t="s">
        <v>1353</v>
      </c>
      <c r="I485" s="5">
        <v>5544</v>
      </c>
      <c r="J485" s="3" t="s">
        <v>76</v>
      </c>
      <c r="K485" s="3" t="s">
        <v>77</v>
      </c>
      <c r="L485" s="3" t="s">
        <v>119</v>
      </c>
      <c r="M485" s="4" t="s">
        <v>2077</v>
      </c>
      <c r="N485" s="3" t="s">
        <v>56</v>
      </c>
      <c r="O485" s="3"/>
      <c r="Q485" s="3"/>
      <c r="R485" s="3"/>
      <c r="Y485" s="4" t="s">
        <v>368</v>
      </c>
      <c r="Z485" s="4" t="s">
        <v>368</v>
      </c>
      <c r="AB485" s="3"/>
      <c r="AC485" s="3"/>
      <c r="AD485" s="3" t="s">
        <v>200</v>
      </c>
      <c r="AE485" s="3">
        <v>1000</v>
      </c>
      <c r="AI485" s="4" t="s">
        <v>370</v>
      </c>
      <c r="AJ485" s="4" t="s">
        <v>370</v>
      </c>
      <c r="AK485" s="3"/>
      <c r="AL485" s="4">
        <v>140449</v>
      </c>
      <c r="AM485" s="5">
        <v>5544</v>
      </c>
      <c r="AN485" s="4" t="s">
        <v>124</v>
      </c>
    </row>
    <row r="486" spans="1:42" s="4" customFormat="1" x14ac:dyDescent="0.25">
      <c r="A486" s="3">
        <v>4604589</v>
      </c>
      <c r="B486" s="28">
        <v>41821</v>
      </c>
      <c r="C486" s="3" t="s">
        <v>2073</v>
      </c>
      <c r="D486" s="3">
        <v>10004369</v>
      </c>
      <c r="E486" s="4">
        <v>4533940</v>
      </c>
      <c r="F486" s="3" t="s">
        <v>49</v>
      </c>
      <c r="G486" s="4" t="s">
        <v>1353</v>
      </c>
      <c r="H486" s="4" t="s">
        <v>2078</v>
      </c>
      <c r="I486" s="5">
        <v>50073.5</v>
      </c>
      <c r="J486" s="3" t="s">
        <v>76</v>
      </c>
      <c r="K486" s="3" t="s">
        <v>77</v>
      </c>
      <c r="L486" s="3" t="s">
        <v>119</v>
      </c>
      <c r="M486" s="4" t="s">
        <v>2078</v>
      </c>
      <c r="N486" s="3" t="s">
        <v>56</v>
      </c>
      <c r="O486" s="3"/>
      <c r="Q486" s="3"/>
      <c r="R486" s="3"/>
      <c r="Y486" s="4" t="s">
        <v>368</v>
      </c>
      <c r="Z486" s="4" t="s">
        <v>368</v>
      </c>
      <c r="AA486" s="4" t="s">
        <v>1324</v>
      </c>
      <c r="AB486" s="3" t="s">
        <v>1355</v>
      </c>
      <c r="AC486" s="3" t="s">
        <v>1326</v>
      </c>
      <c r="AD486" s="3" t="s">
        <v>1452</v>
      </c>
      <c r="AE486" s="3">
        <v>1000</v>
      </c>
      <c r="AI486" s="4" t="s">
        <v>370</v>
      </c>
      <c r="AJ486" s="4" t="s">
        <v>370</v>
      </c>
      <c r="AK486" s="3"/>
      <c r="AL486" s="4">
        <v>140449</v>
      </c>
      <c r="AM486" s="5">
        <v>50073.5</v>
      </c>
      <c r="AN486" s="4" t="s">
        <v>124</v>
      </c>
      <c r="AO486" s="4">
        <v>99</v>
      </c>
      <c r="AP486" s="4">
        <v>81112100</v>
      </c>
    </row>
    <row r="487" spans="1:42" s="4" customFormat="1" x14ac:dyDescent="0.25">
      <c r="A487" s="3">
        <v>4604619</v>
      </c>
      <c r="B487" s="28">
        <v>41831</v>
      </c>
      <c r="C487" s="3" t="s">
        <v>2073</v>
      </c>
      <c r="D487" s="3">
        <v>10004363</v>
      </c>
      <c r="E487" s="4">
        <v>4533970</v>
      </c>
      <c r="F487" s="3" t="s">
        <v>49</v>
      </c>
      <c r="G487" s="4" t="s">
        <v>342</v>
      </c>
      <c r="H487" s="4" t="s">
        <v>2079</v>
      </c>
      <c r="I487" s="5">
        <v>32890</v>
      </c>
      <c r="J487" s="3" t="s">
        <v>76</v>
      </c>
      <c r="K487" s="3" t="s">
        <v>77</v>
      </c>
      <c r="L487" s="3" t="s">
        <v>119</v>
      </c>
      <c r="M487" s="4" t="s">
        <v>2080</v>
      </c>
      <c r="N487" s="3" t="s">
        <v>56</v>
      </c>
      <c r="O487" s="3"/>
      <c r="Q487" s="3"/>
      <c r="R487" s="3"/>
      <c r="Y487" s="4" t="s">
        <v>368</v>
      </c>
      <c r="Z487" s="4" t="s">
        <v>368</v>
      </c>
      <c r="AA487" s="4" t="s">
        <v>1324</v>
      </c>
      <c r="AB487" s="3" t="s">
        <v>2081</v>
      </c>
      <c r="AC487" s="3" t="s">
        <v>1326</v>
      </c>
      <c r="AD487" s="3" t="s">
        <v>223</v>
      </c>
      <c r="AE487" s="3">
        <v>5000</v>
      </c>
      <c r="AI487" s="4" t="s">
        <v>370</v>
      </c>
      <c r="AJ487" s="4" t="s">
        <v>370</v>
      </c>
      <c r="AK487" s="3"/>
      <c r="AL487" s="4">
        <v>140447</v>
      </c>
      <c r="AM487" s="5">
        <v>32890</v>
      </c>
      <c r="AN487" s="4" t="s">
        <v>31</v>
      </c>
      <c r="AO487" s="4">
        <v>99</v>
      </c>
      <c r="AP487" s="4">
        <v>81112200</v>
      </c>
    </row>
    <row r="488" spans="1:42" s="4" customFormat="1" x14ac:dyDescent="0.25">
      <c r="A488" s="3">
        <v>4604703</v>
      </c>
      <c r="B488" s="28">
        <v>41883</v>
      </c>
      <c r="C488" s="3" t="s">
        <v>2093</v>
      </c>
      <c r="D488" s="3">
        <v>10004493</v>
      </c>
      <c r="E488" s="4">
        <v>4534054</v>
      </c>
      <c r="F488" s="3" t="s">
        <v>49</v>
      </c>
      <c r="G488" s="4" t="s">
        <v>1884</v>
      </c>
      <c r="H488" s="4" t="s">
        <v>2094</v>
      </c>
      <c r="I488" s="5">
        <v>61600</v>
      </c>
      <c r="J488" s="3" t="s">
        <v>1039</v>
      </c>
      <c r="K488" s="3" t="s">
        <v>494</v>
      </c>
      <c r="L488" s="3" t="s">
        <v>119</v>
      </c>
      <c r="M488" s="4" t="s">
        <v>2094</v>
      </c>
      <c r="N488" s="3" t="s">
        <v>56</v>
      </c>
      <c r="O488" s="3"/>
      <c r="Q488" s="3"/>
      <c r="R488" s="3"/>
      <c r="Y488" s="4" t="s">
        <v>1616</v>
      </c>
      <c r="Z488" s="4" t="s">
        <v>1616</v>
      </c>
      <c r="AA488" s="4" t="s">
        <v>412</v>
      </c>
      <c r="AB488" s="3" t="s">
        <v>412</v>
      </c>
      <c r="AC488" s="3" t="s">
        <v>414</v>
      </c>
      <c r="AD488" s="3" t="s">
        <v>452</v>
      </c>
      <c r="AE488" s="3">
        <v>1000</v>
      </c>
      <c r="AI488" s="4" t="s">
        <v>1617</v>
      </c>
      <c r="AJ488" s="4" t="s">
        <v>1617</v>
      </c>
      <c r="AK488" s="3"/>
      <c r="AL488" s="4">
        <v>141801</v>
      </c>
      <c r="AM488" s="5">
        <v>61600</v>
      </c>
      <c r="AN488" s="4" t="s">
        <v>124</v>
      </c>
      <c r="AO488" s="4">
        <v>99</v>
      </c>
      <c r="AP488" s="4">
        <v>80101706</v>
      </c>
    </row>
    <row r="489" spans="1:42" s="4" customFormat="1" x14ac:dyDescent="0.25">
      <c r="A489" s="3">
        <v>4604708</v>
      </c>
      <c r="B489" s="28">
        <v>41906</v>
      </c>
      <c r="C489" s="3" t="s">
        <v>2093</v>
      </c>
      <c r="D489" s="3">
        <v>10004506</v>
      </c>
      <c r="E489" s="4">
        <v>4534059</v>
      </c>
      <c r="F489" s="3" t="s">
        <v>49</v>
      </c>
      <c r="G489" s="4" t="s">
        <v>318</v>
      </c>
      <c r="I489" s="5">
        <v>2572.56</v>
      </c>
      <c r="J489" s="3" t="s">
        <v>794</v>
      </c>
      <c r="K489" s="3" t="s">
        <v>829</v>
      </c>
      <c r="L489" s="3" t="s">
        <v>119</v>
      </c>
      <c r="M489" s="4" t="s">
        <v>2100</v>
      </c>
      <c r="N489" s="3" t="s">
        <v>56</v>
      </c>
      <c r="O489" s="3"/>
      <c r="Q489" s="3"/>
      <c r="R489" s="3"/>
      <c r="Y489" s="4" t="s">
        <v>178</v>
      </c>
      <c r="Z489" s="4" t="s">
        <v>178</v>
      </c>
      <c r="AB489" s="3"/>
      <c r="AC489" s="3"/>
      <c r="AD489" s="3" t="s">
        <v>1675</v>
      </c>
      <c r="AE489" s="3">
        <v>1000</v>
      </c>
      <c r="AI489" s="4" t="s">
        <v>181</v>
      </c>
      <c r="AJ489" s="4" t="s">
        <v>181</v>
      </c>
      <c r="AK489" s="3"/>
      <c r="AL489" s="4">
        <v>141551</v>
      </c>
      <c r="AM489" s="5">
        <v>2572.56</v>
      </c>
      <c r="AN489" s="4" t="s">
        <v>124</v>
      </c>
    </row>
    <row r="490" spans="1:42" s="4" customFormat="1" x14ac:dyDescent="0.25">
      <c r="A490" s="3">
        <v>4604771</v>
      </c>
      <c r="B490" s="28">
        <v>42185</v>
      </c>
      <c r="C490" s="3" t="s">
        <v>2093</v>
      </c>
      <c r="D490" s="3">
        <v>10004561</v>
      </c>
      <c r="E490" s="4">
        <v>4534122</v>
      </c>
      <c r="F490" s="3" t="s">
        <v>49</v>
      </c>
      <c r="G490" s="4" t="s">
        <v>2104</v>
      </c>
      <c r="H490" s="4" t="s">
        <v>2105</v>
      </c>
      <c r="I490" s="5">
        <v>23892</v>
      </c>
      <c r="J490" s="3" t="s">
        <v>1720</v>
      </c>
      <c r="K490" s="3" t="s">
        <v>77</v>
      </c>
      <c r="L490" s="3" t="s">
        <v>119</v>
      </c>
      <c r="M490" s="4" t="s">
        <v>2105</v>
      </c>
      <c r="N490" s="3" t="s">
        <v>56</v>
      </c>
      <c r="O490" s="3"/>
      <c r="Q490" s="3"/>
      <c r="R490" s="3"/>
      <c r="Y490" s="4" t="s">
        <v>1616</v>
      </c>
      <c r="Z490" s="4" t="s">
        <v>1616</v>
      </c>
      <c r="AA490" s="4" t="s">
        <v>1284</v>
      </c>
      <c r="AB490" s="3" t="s">
        <v>2106</v>
      </c>
      <c r="AC490" s="3" t="s">
        <v>1286</v>
      </c>
      <c r="AD490" s="3" t="s">
        <v>442</v>
      </c>
      <c r="AE490" s="3">
        <v>1000</v>
      </c>
      <c r="AI490" s="4" t="s">
        <v>1617</v>
      </c>
      <c r="AJ490" s="4" t="s">
        <v>1617</v>
      </c>
      <c r="AK490" s="3"/>
      <c r="AL490" s="4">
        <v>140131</v>
      </c>
      <c r="AM490" s="5">
        <v>23892</v>
      </c>
      <c r="AN490" s="4" t="s">
        <v>124</v>
      </c>
      <c r="AO490" s="4">
        <v>99</v>
      </c>
      <c r="AP490" s="4">
        <v>84111600</v>
      </c>
    </row>
    <row r="491" spans="1:42" s="4" customFormat="1" x14ac:dyDescent="0.25">
      <c r="A491" s="3">
        <v>4604849</v>
      </c>
      <c r="B491" s="28">
        <v>42041</v>
      </c>
      <c r="C491" s="3" t="s">
        <v>2093</v>
      </c>
      <c r="D491" s="3">
        <v>10004654</v>
      </c>
      <c r="E491" s="4">
        <v>4534200</v>
      </c>
      <c r="F491" s="3" t="s">
        <v>49</v>
      </c>
      <c r="G491" s="4" t="s">
        <v>174</v>
      </c>
      <c r="I491" s="5">
        <v>7331.35</v>
      </c>
      <c r="J491" s="3" t="s">
        <v>469</v>
      </c>
      <c r="K491" s="3" t="s">
        <v>504</v>
      </c>
      <c r="L491" s="3" t="s">
        <v>119</v>
      </c>
      <c r="M491" s="4" t="s">
        <v>2109</v>
      </c>
      <c r="N491" s="3" t="s">
        <v>56</v>
      </c>
      <c r="O491" s="3"/>
      <c r="Q491" s="3"/>
      <c r="R491" s="3"/>
      <c r="Y491" s="4" t="s">
        <v>178</v>
      </c>
      <c r="Z491" s="4" t="s">
        <v>178</v>
      </c>
      <c r="AB491" s="3"/>
      <c r="AC491" s="3"/>
      <c r="AD491" s="3" t="s">
        <v>351</v>
      </c>
      <c r="AE491" s="3">
        <v>1000</v>
      </c>
      <c r="AI491" s="4" t="s">
        <v>181</v>
      </c>
      <c r="AJ491" s="4" t="s">
        <v>181</v>
      </c>
      <c r="AK491" s="3"/>
      <c r="AL491" s="4">
        <v>40476</v>
      </c>
      <c r="AM491" s="5">
        <v>7331.35</v>
      </c>
      <c r="AN491" s="4" t="s">
        <v>124</v>
      </c>
    </row>
    <row r="492" spans="1:42" s="4" customFormat="1" x14ac:dyDescent="0.25">
      <c r="A492" s="3">
        <v>4604871</v>
      </c>
      <c r="B492" s="28">
        <v>42069</v>
      </c>
      <c r="C492" s="3" t="s">
        <v>2093</v>
      </c>
      <c r="D492" s="3">
        <v>10004685</v>
      </c>
      <c r="E492" s="4">
        <v>4534222</v>
      </c>
      <c r="F492" s="3" t="s">
        <v>49</v>
      </c>
      <c r="G492" s="4" t="s">
        <v>2110</v>
      </c>
      <c r="H492" s="4" t="s">
        <v>2111</v>
      </c>
      <c r="I492" s="5">
        <v>68640</v>
      </c>
      <c r="J492" s="3" t="s">
        <v>1835</v>
      </c>
      <c r="K492" s="3" t="s">
        <v>77</v>
      </c>
      <c r="L492" s="3" t="s">
        <v>119</v>
      </c>
      <c r="M492" s="4" t="s">
        <v>2112</v>
      </c>
      <c r="N492" s="3" t="s">
        <v>56</v>
      </c>
      <c r="O492" s="3"/>
      <c r="Q492" s="3"/>
      <c r="R492" s="3"/>
      <c r="Y492" s="4" t="s">
        <v>2113</v>
      </c>
      <c r="Z492" s="4" t="s">
        <v>2114</v>
      </c>
      <c r="AA492" s="4" t="s">
        <v>1740</v>
      </c>
      <c r="AB492" s="3" t="s">
        <v>2115</v>
      </c>
      <c r="AC492" s="3" t="s">
        <v>1742</v>
      </c>
      <c r="AD492" s="3" t="s">
        <v>486</v>
      </c>
      <c r="AE492" s="3">
        <v>1000</v>
      </c>
      <c r="AI492" s="4" t="s">
        <v>2116</v>
      </c>
      <c r="AJ492" s="4" t="s">
        <v>2117</v>
      </c>
      <c r="AK492" s="3"/>
      <c r="AL492" s="4">
        <v>47866</v>
      </c>
      <c r="AM492" s="5">
        <v>68640</v>
      </c>
      <c r="AN492" s="4" t="s">
        <v>124</v>
      </c>
      <c r="AO492" s="4">
        <v>99</v>
      </c>
      <c r="AP492" s="4">
        <v>80101507</v>
      </c>
    </row>
    <row r="493" spans="1:42" s="4" customFormat="1" x14ac:dyDescent="0.25">
      <c r="A493" s="3">
        <v>4604894</v>
      </c>
      <c r="B493" s="28">
        <v>42087</v>
      </c>
      <c r="C493" s="3" t="s">
        <v>2093</v>
      </c>
      <c r="D493" s="3">
        <v>10004709</v>
      </c>
      <c r="E493" s="4">
        <v>4534245</v>
      </c>
      <c r="F493" s="3" t="s">
        <v>49</v>
      </c>
      <c r="G493" s="4" t="s">
        <v>174</v>
      </c>
      <c r="I493" s="5">
        <v>5496</v>
      </c>
      <c r="J493" s="3" t="s">
        <v>1887</v>
      </c>
      <c r="K493" s="3" t="s">
        <v>504</v>
      </c>
      <c r="L493" s="3" t="s">
        <v>119</v>
      </c>
      <c r="M493" s="4" t="s">
        <v>2118</v>
      </c>
      <c r="N493" s="3" t="s">
        <v>56</v>
      </c>
      <c r="O493" s="3"/>
      <c r="Q493" s="3"/>
      <c r="R493" s="3"/>
      <c r="Y493" s="4" t="s">
        <v>178</v>
      </c>
      <c r="Z493" s="4" t="s">
        <v>178</v>
      </c>
      <c r="AB493" s="3"/>
      <c r="AC493" s="3"/>
      <c r="AD493" s="3" t="s">
        <v>351</v>
      </c>
      <c r="AE493" s="3">
        <v>1000</v>
      </c>
      <c r="AI493" s="4" t="s">
        <v>181</v>
      </c>
      <c r="AJ493" s="4" t="s">
        <v>181</v>
      </c>
      <c r="AK493" s="3"/>
      <c r="AL493" s="4">
        <v>40476</v>
      </c>
      <c r="AM493" s="5">
        <v>5496</v>
      </c>
      <c r="AN493" s="4" t="s">
        <v>124</v>
      </c>
    </row>
    <row r="494" spans="1:42" s="4" customFormat="1" x14ac:dyDescent="0.25">
      <c r="A494" s="3">
        <v>4604896</v>
      </c>
      <c r="B494" s="28">
        <v>42065</v>
      </c>
      <c r="C494" s="3" t="s">
        <v>2093</v>
      </c>
      <c r="D494" s="3">
        <v>10004680</v>
      </c>
      <c r="E494" s="4">
        <v>4534247</v>
      </c>
      <c r="F494" s="3" t="s">
        <v>49</v>
      </c>
      <c r="G494" s="4" t="s">
        <v>2119</v>
      </c>
      <c r="H494" s="4" t="s">
        <v>2120</v>
      </c>
      <c r="I494" s="5">
        <v>130680</v>
      </c>
      <c r="J494" s="3" t="s">
        <v>1479</v>
      </c>
      <c r="K494" s="3" t="s">
        <v>1227</v>
      </c>
      <c r="L494" s="3" t="s">
        <v>119</v>
      </c>
      <c r="M494" s="4" t="s">
        <v>2120</v>
      </c>
      <c r="N494" s="3" t="s">
        <v>56</v>
      </c>
      <c r="O494" s="3" t="s">
        <v>139</v>
      </c>
      <c r="P494" s="4" t="s">
        <v>282</v>
      </c>
      <c r="Q494" s="3"/>
      <c r="R494" s="3"/>
      <c r="Y494" s="4" t="s">
        <v>747</v>
      </c>
      <c r="Z494" s="4" t="s">
        <v>747</v>
      </c>
      <c r="AA494" s="4" t="s">
        <v>356</v>
      </c>
      <c r="AB494" s="3" t="s">
        <v>2121</v>
      </c>
      <c r="AC494" s="3" t="s">
        <v>358</v>
      </c>
      <c r="AD494" s="3" t="s">
        <v>371</v>
      </c>
      <c r="AE494" s="3">
        <v>1000</v>
      </c>
      <c r="AI494" s="4" t="s">
        <v>749</v>
      </c>
      <c r="AJ494" s="4" t="s">
        <v>749</v>
      </c>
      <c r="AK494" s="3" t="s">
        <v>286</v>
      </c>
      <c r="AL494" s="4">
        <v>46130</v>
      </c>
      <c r="AM494" s="5">
        <v>130680</v>
      </c>
      <c r="AN494" s="4" t="s">
        <v>124</v>
      </c>
      <c r="AO494" s="4">
        <v>99</v>
      </c>
      <c r="AP494" s="4">
        <v>80101507</v>
      </c>
    </row>
    <row r="495" spans="1:42" s="4" customFormat="1" x14ac:dyDescent="0.25">
      <c r="A495" s="3">
        <v>4604933</v>
      </c>
      <c r="B495" s="28">
        <v>42277</v>
      </c>
      <c r="C495" s="3" t="s">
        <v>2093</v>
      </c>
      <c r="D495" s="3">
        <v>10004733</v>
      </c>
      <c r="E495" s="4">
        <v>4534284</v>
      </c>
      <c r="F495" s="3" t="s">
        <v>49</v>
      </c>
      <c r="G495" s="4" t="s">
        <v>2122</v>
      </c>
      <c r="H495" s="4" t="s">
        <v>2123</v>
      </c>
      <c r="I495" s="5">
        <v>130792.74</v>
      </c>
      <c r="J495" s="3" t="s">
        <v>502</v>
      </c>
      <c r="K495" s="3" t="s">
        <v>504</v>
      </c>
      <c r="L495" s="3" t="s">
        <v>119</v>
      </c>
      <c r="M495" s="4" t="s">
        <v>2123</v>
      </c>
      <c r="N495" s="3" t="s">
        <v>25</v>
      </c>
      <c r="O495" s="3"/>
      <c r="Q495" s="3"/>
      <c r="R495" s="3"/>
      <c r="Y495" s="4" t="s">
        <v>1616</v>
      </c>
      <c r="Z495" s="4" t="s">
        <v>1616</v>
      </c>
      <c r="AA495" s="4" t="s">
        <v>2124</v>
      </c>
      <c r="AB495" s="3"/>
      <c r="AC495" s="3"/>
      <c r="AD495" s="3" t="s">
        <v>351</v>
      </c>
      <c r="AE495" s="3">
        <v>1000</v>
      </c>
      <c r="AI495" s="4" t="s">
        <v>1617</v>
      </c>
      <c r="AJ495" s="4" t="s">
        <v>1617</v>
      </c>
      <c r="AK495" s="3"/>
      <c r="AL495" s="4">
        <v>141886</v>
      </c>
      <c r="AM495" s="5">
        <v>130792.74</v>
      </c>
      <c r="AN495" s="4" t="s">
        <v>124</v>
      </c>
      <c r="AO495" s="4">
        <v>99</v>
      </c>
      <c r="AP495" s="4">
        <v>80101706</v>
      </c>
    </row>
    <row r="496" spans="1:42" s="4" customFormat="1" x14ac:dyDescent="0.25">
      <c r="A496" s="3">
        <v>4604319</v>
      </c>
      <c r="B496" s="28">
        <v>41831</v>
      </c>
      <c r="C496" s="3" t="s">
        <v>2158</v>
      </c>
      <c r="D496" s="3">
        <v>10004087</v>
      </c>
      <c r="E496" s="4">
        <v>4533670</v>
      </c>
      <c r="F496" s="3" t="s">
        <v>49</v>
      </c>
      <c r="G496" s="4" t="s">
        <v>2159</v>
      </c>
      <c r="H496" s="4" t="s">
        <v>2160</v>
      </c>
      <c r="I496" s="5">
        <v>5800000</v>
      </c>
      <c r="J496" s="3" t="s">
        <v>1282</v>
      </c>
      <c r="K496" s="3" t="s">
        <v>374</v>
      </c>
      <c r="L496" s="3" t="s">
        <v>119</v>
      </c>
      <c r="M496" s="4" t="s">
        <v>2161</v>
      </c>
      <c r="N496" s="3" t="s">
        <v>25</v>
      </c>
      <c r="O496" s="3" t="s">
        <v>139</v>
      </c>
      <c r="P496" s="4" t="s">
        <v>282</v>
      </c>
      <c r="Q496" s="3"/>
      <c r="R496" s="3"/>
      <c r="U496" s="4" t="s">
        <v>139</v>
      </c>
      <c r="V496" s="4" t="s">
        <v>119</v>
      </c>
      <c r="W496" s="4" t="s">
        <v>217</v>
      </c>
      <c r="X496" s="4" t="s">
        <v>2162</v>
      </c>
      <c r="Y496" s="4" t="s">
        <v>2163</v>
      </c>
      <c r="Z496" s="4" t="s">
        <v>2164</v>
      </c>
      <c r="AA496" s="4" t="s">
        <v>2165</v>
      </c>
      <c r="AB496" s="3"/>
      <c r="AC496" s="3"/>
      <c r="AD496" s="3" t="s">
        <v>1052</v>
      </c>
      <c r="AE496" s="3">
        <v>1000</v>
      </c>
      <c r="AI496" s="4" t="s">
        <v>2166</v>
      </c>
      <c r="AJ496" s="4" t="s">
        <v>2167</v>
      </c>
      <c r="AK496" s="3" t="s">
        <v>286</v>
      </c>
      <c r="AL496" s="4">
        <v>141658</v>
      </c>
      <c r="AM496" s="5">
        <v>5800000</v>
      </c>
      <c r="AN496" s="4" t="s">
        <v>124</v>
      </c>
      <c r="AO496" s="4">
        <v>98</v>
      </c>
      <c r="AP496" s="4">
        <v>80101504</v>
      </c>
    </row>
    <row r="497" spans="1:42" s="4" customFormat="1" x14ac:dyDescent="0.25">
      <c r="A497" s="3">
        <v>4604366</v>
      </c>
      <c r="B497" s="28">
        <v>41684</v>
      </c>
      <c r="C497" s="3" t="s">
        <v>2158</v>
      </c>
      <c r="D497" s="3">
        <v>10004151</v>
      </c>
      <c r="E497" s="4">
        <v>4533717</v>
      </c>
      <c r="F497" s="3" t="s">
        <v>49</v>
      </c>
      <c r="G497" s="4" t="s">
        <v>372</v>
      </c>
      <c r="H497" s="4" t="s">
        <v>2180</v>
      </c>
      <c r="I497" s="5">
        <v>783225</v>
      </c>
      <c r="J497" s="3" t="s">
        <v>2179</v>
      </c>
      <c r="K497" s="3" t="s">
        <v>2181</v>
      </c>
      <c r="L497" s="3" t="s">
        <v>119</v>
      </c>
      <c r="M497" s="4" t="s">
        <v>2182</v>
      </c>
      <c r="N497" s="3" t="s">
        <v>56</v>
      </c>
      <c r="O497" s="3" t="s">
        <v>139</v>
      </c>
      <c r="P497" s="4" t="s">
        <v>140</v>
      </c>
      <c r="Q497" s="3"/>
      <c r="R497" s="3"/>
      <c r="Y497" s="4" t="s">
        <v>2183</v>
      </c>
      <c r="Z497" s="4" t="s">
        <v>1886</v>
      </c>
      <c r="AA497" s="4" t="s">
        <v>356</v>
      </c>
      <c r="AB497" s="3" t="s">
        <v>375</v>
      </c>
      <c r="AC497" s="3" t="s">
        <v>358</v>
      </c>
      <c r="AD497" s="3" t="s">
        <v>385</v>
      </c>
      <c r="AE497" s="3">
        <v>1000</v>
      </c>
      <c r="AI497" s="4" t="s">
        <v>2184</v>
      </c>
      <c r="AJ497" s="4" t="s">
        <v>1888</v>
      </c>
      <c r="AK497" s="3" t="s">
        <v>143</v>
      </c>
      <c r="AL497" s="4">
        <v>43825</v>
      </c>
      <c r="AM497" s="5">
        <v>783225</v>
      </c>
      <c r="AN497" s="4" t="s">
        <v>124</v>
      </c>
      <c r="AO497" s="4">
        <v>96</v>
      </c>
      <c r="AP497" s="4">
        <v>80100000</v>
      </c>
    </row>
    <row r="498" spans="1:42" s="4" customFormat="1" x14ac:dyDescent="0.25">
      <c r="A498" s="3">
        <v>4604486</v>
      </c>
      <c r="B498" s="28">
        <v>41780</v>
      </c>
      <c r="C498" s="3" t="s">
        <v>2158</v>
      </c>
      <c r="D498" s="3">
        <v>10004278</v>
      </c>
      <c r="E498" s="4">
        <v>4533837</v>
      </c>
      <c r="F498" s="3" t="s">
        <v>49</v>
      </c>
      <c r="G498" s="4" t="s">
        <v>470</v>
      </c>
      <c r="H498" s="4" t="s">
        <v>2204</v>
      </c>
      <c r="I498" s="5">
        <v>100015</v>
      </c>
      <c r="J498" s="3" t="s">
        <v>1410</v>
      </c>
      <c r="K498" s="3" t="s">
        <v>997</v>
      </c>
      <c r="L498" s="3" t="s">
        <v>119</v>
      </c>
      <c r="M498" s="4" t="s">
        <v>2204</v>
      </c>
      <c r="N498" s="3" t="s">
        <v>56</v>
      </c>
      <c r="O498" s="3" t="s">
        <v>139</v>
      </c>
      <c r="P498" s="4" t="s">
        <v>282</v>
      </c>
      <c r="Q498" s="3"/>
      <c r="R498" s="3"/>
      <c r="Y498" s="4" t="s">
        <v>307</v>
      </c>
      <c r="Z498" s="4" t="s">
        <v>307</v>
      </c>
      <c r="AA498" s="4" t="s">
        <v>356</v>
      </c>
      <c r="AB498" s="3" t="s">
        <v>473</v>
      </c>
      <c r="AC498" s="3" t="s">
        <v>358</v>
      </c>
      <c r="AD498" s="3" t="s">
        <v>385</v>
      </c>
      <c r="AE498" s="3">
        <v>1000</v>
      </c>
      <c r="AI498" s="4" t="s">
        <v>309</v>
      </c>
      <c r="AJ498" s="4" t="s">
        <v>309</v>
      </c>
      <c r="AK498" s="3" t="s">
        <v>286</v>
      </c>
      <c r="AL498" s="4">
        <v>41344</v>
      </c>
      <c r="AM498" s="5">
        <v>100015</v>
      </c>
      <c r="AN498" s="4" t="s">
        <v>124</v>
      </c>
      <c r="AO498" s="4">
        <v>98</v>
      </c>
      <c r="AP498" s="4">
        <v>80100000</v>
      </c>
    </row>
    <row r="499" spans="1:42" s="4" customFormat="1" x14ac:dyDescent="0.25">
      <c r="A499" s="3">
        <v>4604711</v>
      </c>
      <c r="B499" s="28">
        <v>41907</v>
      </c>
      <c r="C499" s="3" t="s">
        <v>2158</v>
      </c>
      <c r="D499" s="3">
        <v>10004510</v>
      </c>
      <c r="E499" s="4">
        <v>4534062</v>
      </c>
      <c r="F499" s="3" t="s">
        <v>49</v>
      </c>
      <c r="G499" s="4" t="s">
        <v>174</v>
      </c>
      <c r="I499" s="5">
        <v>2200.0300000000002</v>
      </c>
      <c r="J499" s="3" t="s">
        <v>1675</v>
      </c>
      <c r="K499" s="3" t="s">
        <v>500</v>
      </c>
      <c r="L499" s="3" t="s">
        <v>119</v>
      </c>
      <c r="M499" s="4" t="s">
        <v>2217</v>
      </c>
      <c r="N499" s="3" t="s">
        <v>56</v>
      </c>
      <c r="O499" s="3"/>
      <c r="Q499" s="3"/>
      <c r="R499" s="3"/>
      <c r="Y499" s="4" t="s">
        <v>178</v>
      </c>
      <c r="Z499" s="4" t="s">
        <v>178</v>
      </c>
      <c r="AB499" s="3"/>
      <c r="AC499" s="3"/>
      <c r="AD499" s="3" t="s">
        <v>173</v>
      </c>
      <c r="AE499" s="3">
        <v>1000</v>
      </c>
      <c r="AI499" s="4" t="s">
        <v>181</v>
      </c>
      <c r="AJ499" s="4" t="s">
        <v>181</v>
      </c>
      <c r="AK499" s="3"/>
      <c r="AL499" s="4">
        <v>40476</v>
      </c>
      <c r="AM499" s="5">
        <v>2200.0300000000002</v>
      </c>
      <c r="AN499" s="4" t="s">
        <v>124</v>
      </c>
    </row>
    <row r="500" spans="1:42" s="4" customFormat="1" x14ac:dyDescent="0.25">
      <c r="A500" s="3">
        <v>4604796</v>
      </c>
      <c r="B500" s="28">
        <v>42038</v>
      </c>
      <c r="C500" s="3" t="s">
        <v>2158</v>
      </c>
      <c r="D500" s="3">
        <v>10004547</v>
      </c>
      <c r="E500" s="4">
        <v>4534147</v>
      </c>
      <c r="F500" s="3" t="s">
        <v>49</v>
      </c>
      <c r="G500" s="4" t="s">
        <v>372</v>
      </c>
      <c r="H500" s="4" t="s">
        <v>2229</v>
      </c>
      <c r="I500" s="5">
        <v>220000</v>
      </c>
      <c r="J500" s="3" t="s">
        <v>292</v>
      </c>
      <c r="K500" s="3" t="s">
        <v>480</v>
      </c>
      <c r="L500" s="3" t="s">
        <v>119</v>
      </c>
      <c r="M500" s="4" t="s">
        <v>2230</v>
      </c>
      <c r="N500" s="3" t="s">
        <v>56</v>
      </c>
      <c r="O500" s="3" t="s">
        <v>139</v>
      </c>
      <c r="P500" s="4" t="s">
        <v>2207</v>
      </c>
      <c r="Q500" s="3"/>
      <c r="R500" s="3"/>
      <c r="Y500" s="4" t="s">
        <v>556</v>
      </c>
      <c r="Z500" s="4" t="s">
        <v>2231</v>
      </c>
      <c r="AA500" s="4" t="s">
        <v>356</v>
      </c>
      <c r="AB500" s="3" t="s">
        <v>375</v>
      </c>
      <c r="AC500" s="3" t="s">
        <v>358</v>
      </c>
      <c r="AD500" s="3" t="s">
        <v>448</v>
      </c>
      <c r="AE500" s="3">
        <v>1000</v>
      </c>
      <c r="AI500" s="4" t="s">
        <v>558</v>
      </c>
      <c r="AJ500" s="4" t="s">
        <v>2232</v>
      </c>
      <c r="AK500" s="3" t="s">
        <v>2210</v>
      </c>
      <c r="AL500" s="4">
        <v>43825</v>
      </c>
      <c r="AM500" s="5">
        <v>220000</v>
      </c>
      <c r="AN500" s="4" t="s">
        <v>124</v>
      </c>
      <c r="AO500" s="4">
        <v>98</v>
      </c>
      <c r="AP500" s="4">
        <v>81121500</v>
      </c>
    </row>
    <row r="501" spans="1:42" s="4" customFormat="1" x14ac:dyDescent="0.25">
      <c r="A501" s="3">
        <v>4604890</v>
      </c>
      <c r="B501" s="28">
        <v>42083</v>
      </c>
      <c r="C501" s="3" t="s">
        <v>2158</v>
      </c>
      <c r="D501" s="3">
        <v>10004704</v>
      </c>
      <c r="E501" s="4">
        <v>4534241</v>
      </c>
      <c r="F501" s="3" t="s">
        <v>49</v>
      </c>
      <c r="G501" s="4" t="s">
        <v>174</v>
      </c>
      <c r="I501" s="4">
        <v>366.67</v>
      </c>
      <c r="J501" s="3" t="s">
        <v>1877</v>
      </c>
      <c r="K501" s="3" t="s">
        <v>524</v>
      </c>
      <c r="L501" s="3" t="s">
        <v>119</v>
      </c>
      <c r="M501" s="4" t="s">
        <v>2243</v>
      </c>
      <c r="N501" s="3" t="s">
        <v>56</v>
      </c>
      <c r="O501" s="3"/>
      <c r="Q501" s="3"/>
      <c r="R501" s="3"/>
      <c r="Y501" s="4" t="s">
        <v>178</v>
      </c>
      <c r="Z501" s="4" t="s">
        <v>178</v>
      </c>
      <c r="AB501" s="3"/>
      <c r="AC501" s="3"/>
      <c r="AD501" s="3" t="s">
        <v>1903</v>
      </c>
      <c r="AE501" s="3">
        <v>1000</v>
      </c>
      <c r="AI501" s="4" t="s">
        <v>181</v>
      </c>
      <c r="AJ501" s="4" t="s">
        <v>181</v>
      </c>
      <c r="AK501" s="3"/>
      <c r="AL501" s="4">
        <v>40476</v>
      </c>
      <c r="AM501" s="4">
        <v>366.67</v>
      </c>
      <c r="AN501" s="4" t="s">
        <v>124</v>
      </c>
    </row>
    <row r="502" spans="1:42" s="4" customFormat="1" x14ac:dyDescent="0.25">
      <c r="A502" s="3">
        <v>4604900</v>
      </c>
      <c r="B502" s="28">
        <v>42089</v>
      </c>
      <c r="C502" s="3" t="s">
        <v>2158</v>
      </c>
      <c r="D502" s="3">
        <v>10004712</v>
      </c>
      <c r="E502" s="4">
        <v>4534251</v>
      </c>
      <c r="F502" s="3" t="s">
        <v>49</v>
      </c>
      <c r="G502" s="4" t="s">
        <v>2218</v>
      </c>
      <c r="H502" s="4" t="s">
        <v>2244</v>
      </c>
      <c r="I502" s="5">
        <v>142807</v>
      </c>
      <c r="J502" s="3" t="s">
        <v>1136</v>
      </c>
      <c r="K502" s="3" t="s">
        <v>353</v>
      </c>
      <c r="L502" s="3" t="s">
        <v>119</v>
      </c>
      <c r="M502" s="4" t="s">
        <v>2245</v>
      </c>
      <c r="N502" s="3" t="s">
        <v>56</v>
      </c>
      <c r="O502" s="3"/>
      <c r="Q502" s="3" t="s">
        <v>139</v>
      </c>
      <c r="R502" s="3" t="s">
        <v>215</v>
      </c>
      <c r="S502" s="4" t="s">
        <v>216</v>
      </c>
      <c r="U502" s="4" t="s">
        <v>139</v>
      </c>
      <c r="V502" s="4" t="s">
        <v>119</v>
      </c>
      <c r="W502" s="4" t="s">
        <v>217</v>
      </c>
      <c r="X502" s="4" t="s">
        <v>2246</v>
      </c>
      <c r="Y502" s="4" t="s">
        <v>2223</v>
      </c>
      <c r="Z502" s="4" t="s">
        <v>2223</v>
      </c>
      <c r="AA502" s="4" t="s">
        <v>1284</v>
      </c>
      <c r="AB502" s="3" t="s">
        <v>2247</v>
      </c>
      <c r="AC502" s="3" t="s">
        <v>1286</v>
      </c>
      <c r="AD502" s="3" t="s">
        <v>511</v>
      </c>
      <c r="AE502" s="3">
        <v>1000</v>
      </c>
      <c r="AI502" s="4" t="s">
        <v>2224</v>
      </c>
      <c r="AJ502" s="4" t="s">
        <v>2224</v>
      </c>
      <c r="AK502" s="3"/>
      <c r="AL502" s="4">
        <v>141816</v>
      </c>
      <c r="AM502" s="5">
        <v>142807</v>
      </c>
      <c r="AN502" s="4" t="s">
        <v>124</v>
      </c>
      <c r="AO502" s="4">
        <v>99</v>
      </c>
      <c r="AP502" s="4">
        <v>80100000</v>
      </c>
    </row>
    <row r="503" spans="1:42" s="4" customFormat="1" x14ac:dyDescent="0.25">
      <c r="A503" s="3">
        <v>4604902</v>
      </c>
      <c r="B503" s="28">
        <v>42090</v>
      </c>
      <c r="C503" s="3" t="s">
        <v>2158</v>
      </c>
      <c r="D503" s="3">
        <v>10004710</v>
      </c>
      <c r="E503" s="4">
        <v>4534253</v>
      </c>
      <c r="F503" s="3" t="s">
        <v>49</v>
      </c>
      <c r="G503" s="4" t="s">
        <v>117</v>
      </c>
      <c r="H503" s="4" t="s">
        <v>2248</v>
      </c>
      <c r="I503" s="5">
        <v>72500</v>
      </c>
      <c r="J503" s="3" t="s">
        <v>496</v>
      </c>
      <c r="K503" s="3" t="s">
        <v>77</v>
      </c>
      <c r="L503" s="3" t="s">
        <v>119</v>
      </c>
      <c r="M503" s="4" t="s">
        <v>2249</v>
      </c>
      <c r="N503" s="3" t="s">
        <v>56</v>
      </c>
      <c r="O503" s="3" t="s">
        <v>139</v>
      </c>
      <c r="P503" s="4" t="s">
        <v>282</v>
      </c>
      <c r="Q503" s="3" t="s">
        <v>139</v>
      </c>
      <c r="R503" s="3" t="s">
        <v>427</v>
      </c>
      <c r="S503" s="4" t="s">
        <v>428</v>
      </c>
      <c r="U503" s="4" t="s">
        <v>139</v>
      </c>
      <c r="V503" s="4" t="s">
        <v>427</v>
      </c>
      <c r="W503" s="4" t="s">
        <v>428</v>
      </c>
      <c r="Y503" s="4" t="s">
        <v>738</v>
      </c>
      <c r="Z503" s="4" t="s">
        <v>738</v>
      </c>
      <c r="AA503" s="4" t="s">
        <v>1850</v>
      </c>
      <c r="AB503" s="3" t="s">
        <v>2250</v>
      </c>
      <c r="AC503" s="3" t="s">
        <v>1852</v>
      </c>
      <c r="AD503" s="3" t="s">
        <v>1159</v>
      </c>
      <c r="AE503" s="3">
        <v>1000</v>
      </c>
      <c r="AI503" s="4" t="s">
        <v>741</v>
      </c>
      <c r="AJ503" s="4" t="s">
        <v>741</v>
      </c>
      <c r="AK503" s="3" t="s">
        <v>286</v>
      </c>
      <c r="AL503" s="4">
        <v>44797</v>
      </c>
      <c r="AM503" s="5">
        <v>72500</v>
      </c>
      <c r="AN503" s="4" t="s">
        <v>124</v>
      </c>
      <c r="AO503" s="4">
        <v>98</v>
      </c>
      <c r="AP503" s="4">
        <v>80101603</v>
      </c>
    </row>
    <row r="504" spans="1:42" s="4" customFormat="1" x14ac:dyDescent="0.25">
      <c r="A504" s="3">
        <v>4604905</v>
      </c>
      <c r="B504" s="28">
        <v>42093</v>
      </c>
      <c r="C504" s="3" t="s">
        <v>2158</v>
      </c>
      <c r="D504" s="3">
        <v>10004711</v>
      </c>
      <c r="E504" s="4">
        <v>4534256</v>
      </c>
      <c r="F504" s="3" t="s">
        <v>49</v>
      </c>
      <c r="G504" s="4" t="s">
        <v>2251</v>
      </c>
      <c r="H504" s="4" t="s">
        <v>2252</v>
      </c>
      <c r="I504" s="5">
        <v>112060</v>
      </c>
      <c r="J504" s="3" t="s">
        <v>496</v>
      </c>
      <c r="K504" s="3" t="s">
        <v>77</v>
      </c>
      <c r="L504" s="3" t="s">
        <v>119</v>
      </c>
      <c r="M504" s="4" t="s">
        <v>2253</v>
      </c>
      <c r="N504" s="3" t="s">
        <v>56</v>
      </c>
      <c r="O504" s="3" t="s">
        <v>139</v>
      </c>
      <c r="P504" s="4" t="s">
        <v>282</v>
      </c>
      <c r="Q504" s="3" t="s">
        <v>139</v>
      </c>
      <c r="R504" s="3" t="s">
        <v>427</v>
      </c>
      <c r="S504" s="4" t="s">
        <v>428</v>
      </c>
      <c r="U504" s="4" t="s">
        <v>139</v>
      </c>
      <c r="V504" s="4" t="s">
        <v>427</v>
      </c>
      <c r="W504" s="4" t="s">
        <v>428</v>
      </c>
      <c r="Y504" s="4" t="s">
        <v>738</v>
      </c>
      <c r="Z504" s="4" t="s">
        <v>2254</v>
      </c>
      <c r="AA504" s="4" t="s">
        <v>1850</v>
      </c>
      <c r="AB504" s="3" t="s">
        <v>2255</v>
      </c>
      <c r="AC504" s="3" t="s">
        <v>1852</v>
      </c>
      <c r="AD504" s="3" t="s">
        <v>1159</v>
      </c>
      <c r="AE504" s="3">
        <v>1000</v>
      </c>
      <c r="AI504" s="4" t="s">
        <v>741</v>
      </c>
      <c r="AJ504" s="4" t="s">
        <v>2256</v>
      </c>
      <c r="AK504" s="3" t="s">
        <v>286</v>
      </c>
      <c r="AL504" s="4">
        <v>141875</v>
      </c>
      <c r="AM504" s="5">
        <v>112060</v>
      </c>
      <c r="AN504" s="4" t="s">
        <v>124</v>
      </c>
      <c r="AO504" s="4">
        <v>98</v>
      </c>
      <c r="AP504" s="4">
        <v>80101507</v>
      </c>
    </row>
    <row r="505" spans="1:42" s="4" customFormat="1" x14ac:dyDescent="0.25">
      <c r="A505" s="3">
        <v>4604907</v>
      </c>
      <c r="B505" s="28">
        <v>42095</v>
      </c>
      <c r="C505" s="3" t="s">
        <v>2158</v>
      </c>
      <c r="D505" s="3">
        <v>10004724</v>
      </c>
      <c r="E505" s="4">
        <v>4534258</v>
      </c>
      <c r="F505" s="3" t="s">
        <v>49</v>
      </c>
      <c r="G505" s="4" t="s">
        <v>174</v>
      </c>
      <c r="H505" s="4" t="s">
        <v>2257</v>
      </c>
      <c r="I505" s="5">
        <v>25183</v>
      </c>
      <c r="J505" s="3" t="s">
        <v>502</v>
      </c>
      <c r="K505" s="3" t="s">
        <v>77</v>
      </c>
      <c r="L505" s="3" t="s">
        <v>119</v>
      </c>
      <c r="M505" s="4" t="s">
        <v>2257</v>
      </c>
      <c r="N505" s="3" t="s">
        <v>56</v>
      </c>
      <c r="O505" s="3"/>
      <c r="Q505" s="3"/>
      <c r="R505" s="3"/>
      <c r="Y505" s="4" t="s">
        <v>178</v>
      </c>
      <c r="Z505" s="4" t="s">
        <v>178</v>
      </c>
      <c r="AA505" s="4" t="s">
        <v>188</v>
      </c>
      <c r="AB505" s="3" t="s">
        <v>401</v>
      </c>
      <c r="AC505" s="3" t="s">
        <v>190</v>
      </c>
      <c r="AD505" s="3" t="s">
        <v>439</v>
      </c>
      <c r="AE505" s="3">
        <v>1000</v>
      </c>
      <c r="AI505" s="4" t="s">
        <v>181</v>
      </c>
      <c r="AJ505" s="4" t="s">
        <v>181</v>
      </c>
      <c r="AK505" s="3"/>
      <c r="AL505" s="4">
        <v>40476</v>
      </c>
      <c r="AM505" s="5">
        <v>25183</v>
      </c>
      <c r="AN505" s="4" t="s">
        <v>124</v>
      </c>
      <c r="AO505" s="4">
        <v>99</v>
      </c>
      <c r="AP505" s="4">
        <v>80111600</v>
      </c>
    </row>
    <row r="506" spans="1:42" s="4" customFormat="1" x14ac:dyDescent="0.25">
      <c r="A506" s="3">
        <v>4604909</v>
      </c>
      <c r="B506" s="28">
        <v>42096</v>
      </c>
      <c r="C506" s="3" t="s">
        <v>2158</v>
      </c>
      <c r="D506" s="3">
        <v>10004725</v>
      </c>
      <c r="E506" s="4">
        <v>4534260</v>
      </c>
      <c r="F506" s="3" t="s">
        <v>49</v>
      </c>
      <c r="G506" s="4" t="s">
        <v>174</v>
      </c>
      <c r="I506" s="5">
        <v>4583.3500000000004</v>
      </c>
      <c r="J506" s="3" t="s">
        <v>1898</v>
      </c>
      <c r="K506" s="3" t="s">
        <v>1775</v>
      </c>
      <c r="L506" s="3" t="s">
        <v>119</v>
      </c>
      <c r="M506" s="4" t="s">
        <v>2258</v>
      </c>
      <c r="N506" s="3" t="s">
        <v>56</v>
      </c>
      <c r="O506" s="3"/>
      <c r="Q506" s="3"/>
      <c r="R506" s="3"/>
      <c r="Y506" s="4" t="s">
        <v>178</v>
      </c>
      <c r="Z506" s="4" t="s">
        <v>178</v>
      </c>
      <c r="AB506" s="3"/>
      <c r="AC506" s="3"/>
      <c r="AD506" s="3" t="s">
        <v>543</v>
      </c>
      <c r="AE506" s="3">
        <v>1000</v>
      </c>
      <c r="AI506" s="4" t="s">
        <v>181</v>
      </c>
      <c r="AJ506" s="4" t="s">
        <v>181</v>
      </c>
      <c r="AK506" s="3"/>
      <c r="AL506" s="4">
        <v>40476</v>
      </c>
      <c r="AM506" s="5">
        <v>4583.3500000000004</v>
      </c>
      <c r="AN506" s="4" t="s">
        <v>124</v>
      </c>
    </row>
    <row r="507" spans="1:42" s="4" customFormat="1" x14ac:dyDescent="0.25">
      <c r="A507" s="3">
        <v>4604930</v>
      </c>
      <c r="B507" s="28">
        <v>42110</v>
      </c>
      <c r="C507" s="3" t="s">
        <v>2158</v>
      </c>
      <c r="D507" s="3">
        <v>10004754</v>
      </c>
      <c r="E507" s="4">
        <v>4534281</v>
      </c>
      <c r="F507" s="3" t="s">
        <v>49</v>
      </c>
      <c r="G507" s="4" t="s">
        <v>174</v>
      </c>
      <c r="I507" s="5">
        <v>1100.01</v>
      </c>
      <c r="J507" s="3" t="s">
        <v>513</v>
      </c>
      <c r="K507" s="3" t="s">
        <v>2259</v>
      </c>
      <c r="L507" s="3" t="s">
        <v>119</v>
      </c>
      <c r="M507" s="4" t="s">
        <v>2260</v>
      </c>
      <c r="N507" s="3" t="s">
        <v>56</v>
      </c>
      <c r="O507" s="3"/>
      <c r="Q507" s="3"/>
      <c r="R507" s="3"/>
      <c r="Y507" s="4" t="s">
        <v>178</v>
      </c>
      <c r="Z507" s="4" t="s">
        <v>178</v>
      </c>
      <c r="AB507" s="3"/>
      <c r="AC507" s="3"/>
      <c r="AD507" s="3" t="s">
        <v>360</v>
      </c>
      <c r="AE507" s="3">
        <v>1000</v>
      </c>
      <c r="AI507" s="4" t="s">
        <v>181</v>
      </c>
      <c r="AJ507" s="4" t="s">
        <v>181</v>
      </c>
      <c r="AK507" s="3"/>
      <c r="AL507" s="4">
        <v>40476</v>
      </c>
      <c r="AM507" s="5">
        <v>1100.01</v>
      </c>
      <c r="AN507" s="4" t="s">
        <v>124</v>
      </c>
    </row>
    <row r="508" spans="1:42" s="4" customFormat="1" x14ac:dyDescent="0.25">
      <c r="A508" s="3">
        <v>4604955</v>
      </c>
      <c r="B508" s="28">
        <v>42129</v>
      </c>
      <c r="C508" s="3" t="s">
        <v>2158</v>
      </c>
      <c r="D508" s="3">
        <v>10004775</v>
      </c>
      <c r="E508" s="4">
        <v>4534306</v>
      </c>
      <c r="F508" s="3" t="s">
        <v>49</v>
      </c>
      <c r="G508" s="4" t="s">
        <v>1588</v>
      </c>
      <c r="I508" s="5">
        <v>1330.34</v>
      </c>
      <c r="J508" s="3" t="s">
        <v>1266</v>
      </c>
      <c r="K508" s="3" t="s">
        <v>77</v>
      </c>
      <c r="L508" s="3" t="s">
        <v>119</v>
      </c>
      <c r="M508" s="4" t="s">
        <v>2261</v>
      </c>
      <c r="N508" s="3" t="s">
        <v>56</v>
      </c>
      <c r="O508" s="3"/>
      <c r="Q508" s="3"/>
      <c r="R508" s="3"/>
      <c r="Y508" s="4" t="s">
        <v>178</v>
      </c>
      <c r="Z508" s="4" t="s">
        <v>178</v>
      </c>
      <c r="AB508" s="3"/>
      <c r="AC508" s="3"/>
      <c r="AD508" s="3" t="s">
        <v>1943</v>
      </c>
      <c r="AE508" s="3">
        <v>1000</v>
      </c>
      <c r="AI508" s="4" t="s">
        <v>181</v>
      </c>
      <c r="AJ508" s="4" t="s">
        <v>181</v>
      </c>
      <c r="AK508" s="3"/>
      <c r="AL508" s="4">
        <v>41005</v>
      </c>
      <c r="AM508" s="5">
        <v>1330.34</v>
      </c>
      <c r="AN508" s="4" t="s">
        <v>124</v>
      </c>
    </row>
    <row r="509" spans="1:42" s="4" customFormat="1" x14ac:dyDescent="0.25">
      <c r="A509" s="3">
        <v>4600099</v>
      </c>
      <c r="B509" s="28">
        <v>39759</v>
      </c>
      <c r="C509" s="3" t="s">
        <v>2273</v>
      </c>
      <c r="D509" s="3">
        <v>10000115</v>
      </c>
      <c r="E509" s="4">
        <v>4529449</v>
      </c>
      <c r="F509" s="3" t="s">
        <v>49</v>
      </c>
      <c r="G509" s="4" t="s">
        <v>2274</v>
      </c>
      <c r="H509" s="4" t="s">
        <v>2275</v>
      </c>
      <c r="I509" s="5">
        <v>1254250</v>
      </c>
      <c r="J509" s="3" t="s">
        <v>2272</v>
      </c>
      <c r="K509" s="3" t="s">
        <v>77</v>
      </c>
      <c r="L509" s="3" t="s">
        <v>119</v>
      </c>
      <c r="M509" s="4" t="s">
        <v>2276</v>
      </c>
      <c r="N509" s="3" t="s">
        <v>56</v>
      </c>
      <c r="O509" s="3" t="s">
        <v>139</v>
      </c>
      <c r="P509" s="4" t="s">
        <v>282</v>
      </c>
      <c r="Q509" s="3"/>
      <c r="R509" s="3"/>
      <c r="Y509" s="4" t="s">
        <v>2277</v>
      </c>
      <c r="Z509" s="4" t="s">
        <v>1048</v>
      </c>
      <c r="AA509" s="4" t="s">
        <v>2278</v>
      </c>
      <c r="AB509" s="3" t="s">
        <v>2279</v>
      </c>
      <c r="AC509" s="3" t="s">
        <v>2280</v>
      </c>
      <c r="AD509" s="3" t="s">
        <v>441</v>
      </c>
      <c r="AE509" s="3">
        <v>1000</v>
      </c>
      <c r="AF509" s="4">
        <v>14642</v>
      </c>
      <c r="AG509" s="4">
        <v>35358</v>
      </c>
      <c r="AH509" s="4">
        <v>4527640</v>
      </c>
      <c r="AI509" s="4" t="s">
        <v>2281</v>
      </c>
      <c r="AJ509" s="4" t="s">
        <v>1051</v>
      </c>
      <c r="AK509" s="3" t="s">
        <v>286</v>
      </c>
      <c r="AL509" s="4">
        <v>48301</v>
      </c>
      <c r="AM509" s="5">
        <v>1254250</v>
      </c>
      <c r="AN509" s="4" t="s">
        <v>2282</v>
      </c>
      <c r="AO509" s="4">
        <v>88</v>
      </c>
      <c r="AP509" s="4">
        <v>80120000</v>
      </c>
    </row>
    <row r="510" spans="1:42" s="4" customFormat="1" x14ac:dyDescent="0.25">
      <c r="A510" s="3">
        <v>4600103</v>
      </c>
      <c r="B510" s="28">
        <v>39918</v>
      </c>
      <c r="C510" s="3" t="s">
        <v>2273</v>
      </c>
      <c r="D510" s="3">
        <v>10000121</v>
      </c>
      <c r="E510" s="4">
        <v>4529453</v>
      </c>
      <c r="F510" s="3" t="s">
        <v>49</v>
      </c>
      <c r="G510" s="4" t="s">
        <v>2284</v>
      </c>
      <c r="H510" s="4" t="s">
        <v>2285</v>
      </c>
      <c r="I510" s="5">
        <v>788000</v>
      </c>
      <c r="J510" s="3" t="s">
        <v>2283</v>
      </c>
      <c r="K510" s="3" t="s">
        <v>77</v>
      </c>
      <c r="L510" s="3" t="s">
        <v>119</v>
      </c>
      <c r="M510" s="4" t="s">
        <v>2285</v>
      </c>
      <c r="N510" s="3" t="s">
        <v>56</v>
      </c>
      <c r="O510" s="3" t="s">
        <v>139</v>
      </c>
      <c r="P510" s="4" t="s">
        <v>282</v>
      </c>
      <c r="Q510" s="3" t="s">
        <v>139</v>
      </c>
      <c r="R510" s="3" t="s">
        <v>215</v>
      </c>
      <c r="S510" s="4" t="s">
        <v>216</v>
      </c>
      <c r="Y510" s="4" t="s">
        <v>2286</v>
      </c>
      <c r="Z510" s="4" t="s">
        <v>1048</v>
      </c>
      <c r="AA510" s="4" t="s">
        <v>2278</v>
      </c>
      <c r="AB510" s="3" t="s">
        <v>2287</v>
      </c>
      <c r="AC510" s="3" t="s">
        <v>2280</v>
      </c>
      <c r="AD510" s="3" t="s">
        <v>774</v>
      </c>
      <c r="AE510" s="3">
        <v>1000</v>
      </c>
      <c r="AF510" s="4">
        <v>696052.38</v>
      </c>
      <c r="AG510" s="4">
        <v>3947.63</v>
      </c>
      <c r="AH510" s="4">
        <v>4528065</v>
      </c>
      <c r="AI510" s="4" t="s">
        <v>2288</v>
      </c>
      <c r="AJ510" s="4" t="s">
        <v>1051</v>
      </c>
      <c r="AK510" s="3" t="s">
        <v>286</v>
      </c>
      <c r="AL510" s="4">
        <v>47229</v>
      </c>
      <c r="AM510" s="5">
        <v>788000</v>
      </c>
      <c r="AN510" s="4" t="s">
        <v>2282</v>
      </c>
      <c r="AO510" s="4">
        <v>97</v>
      </c>
      <c r="AP510" s="4">
        <v>80120000</v>
      </c>
    </row>
    <row r="511" spans="1:42" s="4" customFormat="1" x14ac:dyDescent="0.25">
      <c r="A511" s="3">
        <v>4602575</v>
      </c>
      <c r="B511" s="28">
        <v>41052</v>
      </c>
      <c r="C511" s="3" t="s">
        <v>2273</v>
      </c>
      <c r="D511" s="3">
        <v>10002521</v>
      </c>
      <c r="E511" s="4">
        <v>4531926</v>
      </c>
      <c r="F511" s="3" t="s">
        <v>49</v>
      </c>
      <c r="G511" s="4" t="s">
        <v>2300</v>
      </c>
      <c r="H511" s="4" t="s">
        <v>2301</v>
      </c>
      <c r="I511" s="5">
        <v>21890</v>
      </c>
      <c r="J511" s="3" t="s">
        <v>2299</v>
      </c>
      <c r="K511" s="3" t="s">
        <v>77</v>
      </c>
      <c r="L511" s="3" t="s">
        <v>119</v>
      </c>
      <c r="M511" s="4" t="s">
        <v>2302</v>
      </c>
      <c r="N511" s="3" t="s">
        <v>56</v>
      </c>
      <c r="O511" s="3" t="s">
        <v>139</v>
      </c>
      <c r="P511" s="4" t="s">
        <v>282</v>
      </c>
      <c r="Q511" s="3"/>
      <c r="R511" s="3"/>
      <c r="Y511" s="4" t="s">
        <v>2277</v>
      </c>
      <c r="Z511" s="4" t="s">
        <v>2293</v>
      </c>
      <c r="AA511" s="4" t="s">
        <v>2294</v>
      </c>
      <c r="AB511" s="3" t="s">
        <v>2303</v>
      </c>
      <c r="AC511" s="3" t="s">
        <v>2296</v>
      </c>
      <c r="AD511" s="3" t="s">
        <v>53</v>
      </c>
      <c r="AE511" s="3">
        <v>1000</v>
      </c>
      <c r="AI511" s="4" t="s">
        <v>2281</v>
      </c>
      <c r="AJ511" s="4" t="s">
        <v>2298</v>
      </c>
      <c r="AK511" s="3" t="s">
        <v>286</v>
      </c>
      <c r="AL511" s="4">
        <v>30080</v>
      </c>
      <c r="AM511" s="5">
        <v>21890</v>
      </c>
      <c r="AN511" s="4" t="s">
        <v>2282</v>
      </c>
      <c r="AO511" s="4">
        <v>99</v>
      </c>
      <c r="AP511" s="4">
        <v>80120000</v>
      </c>
    </row>
    <row r="512" spans="1:42" s="4" customFormat="1" x14ac:dyDescent="0.25">
      <c r="A512" s="3">
        <v>4603050</v>
      </c>
      <c r="B512" s="28">
        <v>41137</v>
      </c>
      <c r="C512" s="3" t="s">
        <v>2273</v>
      </c>
      <c r="D512" s="3">
        <v>10002887</v>
      </c>
      <c r="E512" s="4">
        <v>4532401</v>
      </c>
      <c r="F512" s="3" t="s">
        <v>49</v>
      </c>
      <c r="G512" s="4" t="s">
        <v>2310</v>
      </c>
      <c r="H512" s="4" t="s">
        <v>2311</v>
      </c>
      <c r="I512" s="5">
        <v>54105</v>
      </c>
      <c r="J512" s="3" t="s">
        <v>2309</v>
      </c>
      <c r="K512" s="3" t="s">
        <v>832</v>
      </c>
      <c r="L512" s="3" t="s">
        <v>119</v>
      </c>
      <c r="M512" s="4" t="s">
        <v>2312</v>
      </c>
      <c r="N512" s="3" t="s">
        <v>56</v>
      </c>
      <c r="O512" s="3" t="s">
        <v>139</v>
      </c>
      <c r="P512" s="4" t="s">
        <v>2207</v>
      </c>
      <c r="Q512" s="3"/>
      <c r="R512" s="3"/>
      <c r="U512" s="4" t="s">
        <v>139</v>
      </c>
      <c r="V512" s="4" t="s">
        <v>427</v>
      </c>
      <c r="W512" s="4" t="s">
        <v>428</v>
      </c>
      <c r="Y512" s="4" t="s">
        <v>2277</v>
      </c>
      <c r="Z512" s="4" t="s">
        <v>2293</v>
      </c>
      <c r="AA512" s="4" t="s">
        <v>2294</v>
      </c>
      <c r="AB512" s="3" t="s">
        <v>2313</v>
      </c>
      <c r="AC512" s="3" t="s">
        <v>2296</v>
      </c>
      <c r="AD512" s="3" t="s">
        <v>2228</v>
      </c>
      <c r="AE512" s="3">
        <v>1000</v>
      </c>
      <c r="AI512" s="4" t="s">
        <v>2281</v>
      </c>
      <c r="AJ512" s="4" t="s">
        <v>2298</v>
      </c>
      <c r="AK512" s="3" t="s">
        <v>2210</v>
      </c>
      <c r="AL512" s="4">
        <v>47820</v>
      </c>
      <c r="AM512" s="5">
        <v>54105</v>
      </c>
      <c r="AN512" s="4" t="s">
        <v>2282</v>
      </c>
      <c r="AO512" s="4">
        <v>96</v>
      </c>
      <c r="AP512" s="4">
        <v>80120000</v>
      </c>
    </row>
    <row r="513" spans="1:42" s="4" customFormat="1" x14ac:dyDescent="0.25">
      <c r="A513" s="3">
        <v>4603791</v>
      </c>
      <c r="B513" s="28">
        <v>41492</v>
      </c>
      <c r="C513" s="3" t="s">
        <v>2273</v>
      </c>
      <c r="D513" s="3">
        <v>10003630</v>
      </c>
      <c r="E513" s="4">
        <v>4533142</v>
      </c>
      <c r="F513" s="3" t="s">
        <v>49</v>
      </c>
      <c r="G513" s="4" t="s">
        <v>1137</v>
      </c>
      <c r="H513" s="4" t="s">
        <v>1138</v>
      </c>
      <c r="I513" s="5">
        <v>40000</v>
      </c>
      <c r="J513" s="3" t="s">
        <v>2320</v>
      </c>
      <c r="K513" s="3" t="s">
        <v>439</v>
      </c>
      <c r="L513" s="3" t="s">
        <v>119</v>
      </c>
      <c r="M513" s="4" t="s">
        <v>2321</v>
      </c>
      <c r="N513" s="3" t="s">
        <v>56</v>
      </c>
      <c r="O513" s="3"/>
      <c r="Q513" s="3"/>
      <c r="R513" s="3"/>
      <c r="Y513" s="4" t="s">
        <v>1141</v>
      </c>
      <c r="Z513" s="4" t="s">
        <v>605</v>
      </c>
      <c r="AA513" s="4" t="s">
        <v>1181</v>
      </c>
      <c r="AB513" s="3" t="s">
        <v>1142</v>
      </c>
      <c r="AC513" s="3" t="s">
        <v>1143</v>
      </c>
      <c r="AD513" s="3" t="s">
        <v>2322</v>
      </c>
      <c r="AE513" s="3">
        <v>1000</v>
      </c>
      <c r="AI513" s="4" t="s">
        <v>1144</v>
      </c>
      <c r="AJ513" s="4" t="s">
        <v>609</v>
      </c>
      <c r="AK513" s="3"/>
      <c r="AL513" s="4">
        <v>141215</v>
      </c>
      <c r="AM513" s="5">
        <v>40000</v>
      </c>
      <c r="AN513" s="4" t="s">
        <v>124</v>
      </c>
      <c r="AO513" s="4">
        <v>99</v>
      </c>
      <c r="AP513" s="4">
        <v>78111809</v>
      </c>
    </row>
    <row r="514" spans="1:42" s="4" customFormat="1" x14ac:dyDescent="0.25">
      <c r="A514" s="3">
        <v>4604713</v>
      </c>
      <c r="B514" s="28">
        <v>41908</v>
      </c>
      <c r="C514" s="3" t="s">
        <v>2342</v>
      </c>
      <c r="D514" s="3">
        <v>10004509</v>
      </c>
      <c r="E514" s="4">
        <v>4534064</v>
      </c>
      <c r="F514" s="3" t="s">
        <v>49</v>
      </c>
      <c r="G514" s="4" t="s">
        <v>2300</v>
      </c>
      <c r="I514" s="5">
        <v>8000</v>
      </c>
      <c r="J514" s="3" t="s">
        <v>301</v>
      </c>
      <c r="K514" s="3" t="s">
        <v>404</v>
      </c>
      <c r="L514" s="3" t="s">
        <v>119</v>
      </c>
      <c r="M514" s="4" t="s">
        <v>2388</v>
      </c>
      <c r="N514" s="3" t="s">
        <v>56</v>
      </c>
      <c r="O514" s="3" t="s">
        <v>139</v>
      </c>
      <c r="P514" s="4" t="s">
        <v>282</v>
      </c>
      <c r="Q514" s="3"/>
      <c r="R514" s="3"/>
      <c r="Y514" s="4" t="s">
        <v>2286</v>
      </c>
      <c r="Z514" s="4" t="s">
        <v>2286</v>
      </c>
      <c r="AB514" s="3"/>
      <c r="AC514" s="3"/>
      <c r="AD514" s="3" t="s">
        <v>301</v>
      </c>
      <c r="AE514" s="3">
        <v>1000</v>
      </c>
      <c r="AI514" s="4" t="s">
        <v>2288</v>
      </c>
      <c r="AJ514" s="4" t="s">
        <v>2288</v>
      </c>
      <c r="AK514" s="3" t="s">
        <v>286</v>
      </c>
      <c r="AL514" s="4">
        <v>30080</v>
      </c>
      <c r="AM514" s="5">
        <v>8000</v>
      </c>
      <c r="AN514" s="4" t="s">
        <v>2282</v>
      </c>
    </row>
    <row r="515" spans="1:42" s="4" customFormat="1" x14ac:dyDescent="0.25">
      <c r="A515" s="3">
        <v>4604829</v>
      </c>
      <c r="B515" s="28">
        <v>42184</v>
      </c>
      <c r="C515" s="3" t="s">
        <v>2342</v>
      </c>
      <c r="D515" s="3">
        <v>10004627</v>
      </c>
      <c r="E515" s="4">
        <v>4534180</v>
      </c>
      <c r="F515" s="3" t="s">
        <v>49</v>
      </c>
      <c r="G515" s="4" t="s">
        <v>481</v>
      </c>
      <c r="H515" s="4" t="s">
        <v>1317</v>
      </c>
      <c r="I515" s="5">
        <v>8529.6200000000008</v>
      </c>
      <c r="J515" s="3" t="s">
        <v>1130</v>
      </c>
      <c r="K515" s="3" t="s">
        <v>2396</v>
      </c>
      <c r="L515" s="3" t="s">
        <v>119</v>
      </c>
      <c r="M515" s="4" t="s">
        <v>1317</v>
      </c>
      <c r="N515" s="3" t="s">
        <v>56</v>
      </c>
      <c r="O515" s="3"/>
      <c r="Q515" s="3"/>
      <c r="R515" s="3"/>
      <c r="Y515" s="4" t="s">
        <v>2386</v>
      </c>
      <c r="Z515" s="4" t="s">
        <v>267</v>
      </c>
      <c r="AA515" s="4" t="s">
        <v>188</v>
      </c>
      <c r="AB515" s="3" t="s">
        <v>2397</v>
      </c>
      <c r="AC515" s="3" t="s">
        <v>190</v>
      </c>
      <c r="AD515" s="3" t="s">
        <v>77</v>
      </c>
      <c r="AE515" s="3">
        <v>1000</v>
      </c>
      <c r="AI515" s="4" t="s">
        <v>2387</v>
      </c>
      <c r="AJ515" s="4" t="s">
        <v>270</v>
      </c>
      <c r="AK515" s="3"/>
      <c r="AL515" s="4">
        <v>40741</v>
      </c>
      <c r="AM515" s="5">
        <v>8529.6200000000008</v>
      </c>
      <c r="AN515" s="4" t="s">
        <v>124</v>
      </c>
      <c r="AO515" s="4">
        <v>99</v>
      </c>
      <c r="AP515" s="4">
        <v>80111700</v>
      </c>
    </row>
    <row r="516" spans="1:42" s="4" customFormat="1" x14ac:dyDescent="0.25">
      <c r="A516" s="3">
        <v>4604926</v>
      </c>
      <c r="B516" s="28">
        <v>42108</v>
      </c>
      <c r="C516" s="3" t="s">
        <v>2342</v>
      </c>
      <c r="D516" s="3">
        <v>10004746</v>
      </c>
      <c r="E516" s="4">
        <v>4534277</v>
      </c>
      <c r="F516" s="3" t="s">
        <v>49</v>
      </c>
      <c r="G516" s="4" t="s">
        <v>2300</v>
      </c>
      <c r="H516" s="4" t="s">
        <v>2404</v>
      </c>
      <c r="I516" s="5">
        <v>15400</v>
      </c>
      <c r="J516" s="3" t="s">
        <v>510</v>
      </c>
      <c r="K516" s="3" t="s">
        <v>439</v>
      </c>
      <c r="L516" s="3" t="s">
        <v>119</v>
      </c>
      <c r="M516" s="4" t="s">
        <v>2405</v>
      </c>
      <c r="N516" s="3" t="s">
        <v>56</v>
      </c>
      <c r="O516" s="3" t="s">
        <v>139</v>
      </c>
      <c r="P516" s="4" t="s">
        <v>282</v>
      </c>
      <c r="Q516" s="3" t="s">
        <v>139</v>
      </c>
      <c r="R516" s="3" t="s">
        <v>215</v>
      </c>
      <c r="S516" s="4" t="s">
        <v>216</v>
      </c>
      <c r="U516" s="4" t="s">
        <v>139</v>
      </c>
      <c r="V516" s="4" t="s">
        <v>427</v>
      </c>
      <c r="W516" s="4" t="s">
        <v>428</v>
      </c>
      <c r="Y516" s="4" t="s">
        <v>2286</v>
      </c>
      <c r="Z516" s="4" t="s">
        <v>2286</v>
      </c>
      <c r="AA516" s="4" t="s">
        <v>2294</v>
      </c>
      <c r="AB516" s="3" t="s">
        <v>2303</v>
      </c>
      <c r="AC516" s="3" t="s">
        <v>2296</v>
      </c>
      <c r="AD516" s="3" t="s">
        <v>1227</v>
      </c>
      <c r="AE516" s="3">
        <v>1000</v>
      </c>
      <c r="AI516" s="4" t="s">
        <v>2288</v>
      </c>
      <c r="AJ516" s="4" t="s">
        <v>2288</v>
      </c>
      <c r="AK516" s="3" t="s">
        <v>286</v>
      </c>
      <c r="AL516" s="4">
        <v>30080</v>
      </c>
      <c r="AM516" s="5">
        <v>15400</v>
      </c>
      <c r="AN516" s="4" t="s">
        <v>2282</v>
      </c>
      <c r="AO516" s="4">
        <v>99</v>
      </c>
      <c r="AP516" s="4">
        <v>80120000</v>
      </c>
    </row>
    <row r="517" spans="1:42" s="4" customFormat="1" x14ac:dyDescent="0.25">
      <c r="A517" s="3">
        <v>4604937</v>
      </c>
      <c r="B517" s="28">
        <v>42114</v>
      </c>
      <c r="C517" s="3" t="s">
        <v>2342</v>
      </c>
      <c r="D517" s="3">
        <v>10004758</v>
      </c>
      <c r="E517" s="4">
        <v>4534288</v>
      </c>
      <c r="F517" s="3" t="s">
        <v>49</v>
      </c>
      <c r="G517" s="4" t="s">
        <v>318</v>
      </c>
      <c r="I517" s="5">
        <v>3430.08</v>
      </c>
      <c r="J517" s="3" t="s">
        <v>524</v>
      </c>
      <c r="K517" s="3" t="s">
        <v>2406</v>
      </c>
      <c r="L517" s="3" t="s">
        <v>119</v>
      </c>
      <c r="M517" s="4" t="s">
        <v>2407</v>
      </c>
      <c r="N517" s="3" t="s">
        <v>56</v>
      </c>
      <c r="O517" s="3"/>
      <c r="Q517" s="3"/>
      <c r="R517" s="3"/>
      <c r="Y517" s="4" t="s">
        <v>178</v>
      </c>
      <c r="Z517" s="4" t="s">
        <v>178</v>
      </c>
      <c r="AB517" s="3"/>
      <c r="AC517" s="3"/>
      <c r="AD517" s="3" t="s">
        <v>380</v>
      </c>
      <c r="AE517" s="3">
        <v>1000</v>
      </c>
      <c r="AI517" s="4" t="s">
        <v>181</v>
      </c>
      <c r="AJ517" s="4" t="s">
        <v>181</v>
      </c>
      <c r="AK517" s="3"/>
      <c r="AL517" s="4">
        <v>141551</v>
      </c>
      <c r="AM517" s="5">
        <v>3430.08</v>
      </c>
      <c r="AN517" s="4" t="s">
        <v>124</v>
      </c>
    </row>
    <row r="518" spans="1:42" s="4" customFormat="1" x14ac:dyDescent="0.25">
      <c r="A518" s="3">
        <v>4604724</v>
      </c>
      <c r="B518" s="28">
        <v>41912</v>
      </c>
      <c r="C518" s="3" t="s">
        <v>2415</v>
      </c>
      <c r="D518" s="3">
        <v>10004520</v>
      </c>
      <c r="E518" s="4">
        <v>4534075</v>
      </c>
      <c r="F518" s="3" t="s">
        <v>49</v>
      </c>
      <c r="G518" s="4" t="s">
        <v>318</v>
      </c>
      <c r="I518" s="5">
        <v>6942.67</v>
      </c>
      <c r="J518" s="3" t="s">
        <v>832</v>
      </c>
      <c r="K518" s="3" t="s">
        <v>77</v>
      </c>
      <c r="L518" s="3" t="s">
        <v>119</v>
      </c>
      <c r="M518" s="4" t="s">
        <v>2416</v>
      </c>
      <c r="N518" s="3" t="s">
        <v>56</v>
      </c>
      <c r="O518" s="3"/>
      <c r="Q518" s="3"/>
      <c r="R518" s="3"/>
      <c r="Y518" s="4" t="s">
        <v>178</v>
      </c>
      <c r="Z518" s="4" t="s">
        <v>178</v>
      </c>
      <c r="AB518" s="3"/>
      <c r="AC518" s="3"/>
      <c r="AD518" s="3" t="s">
        <v>497</v>
      </c>
      <c r="AE518" s="3">
        <v>1000</v>
      </c>
      <c r="AI518" s="4" t="s">
        <v>181</v>
      </c>
      <c r="AJ518" s="4" t="s">
        <v>181</v>
      </c>
      <c r="AK518" s="3"/>
      <c r="AL518" s="4">
        <v>141551</v>
      </c>
      <c r="AM518" s="5">
        <v>6942.67</v>
      </c>
      <c r="AN518" s="4" t="s">
        <v>124</v>
      </c>
    </row>
    <row r="519" spans="1:42" s="4" customFormat="1" x14ac:dyDescent="0.25">
      <c r="A519" s="3">
        <v>4604817</v>
      </c>
      <c r="B519" s="28">
        <v>41989</v>
      </c>
      <c r="C519" s="3" t="s">
        <v>2415</v>
      </c>
      <c r="D519" s="3">
        <v>10004610</v>
      </c>
      <c r="E519" s="4">
        <v>4534168</v>
      </c>
      <c r="F519" s="3" t="s">
        <v>49</v>
      </c>
      <c r="G519" s="4" t="s">
        <v>174</v>
      </c>
      <c r="H519" s="4" t="s">
        <v>2422</v>
      </c>
      <c r="I519" s="5">
        <v>11916.71</v>
      </c>
      <c r="J519" s="3" t="s">
        <v>1755</v>
      </c>
      <c r="K519" s="3" t="s">
        <v>77</v>
      </c>
      <c r="L519" s="3" t="s">
        <v>119</v>
      </c>
      <c r="M519" s="4" t="s">
        <v>2422</v>
      </c>
      <c r="N519" s="3" t="s">
        <v>56</v>
      </c>
      <c r="O519" s="3"/>
      <c r="Q519" s="3"/>
      <c r="R519" s="3"/>
      <c r="Y519" s="4" t="s">
        <v>178</v>
      </c>
      <c r="Z519" s="4" t="s">
        <v>178</v>
      </c>
      <c r="AA519" s="4" t="s">
        <v>188</v>
      </c>
      <c r="AB519" s="3" t="s">
        <v>401</v>
      </c>
      <c r="AC519" s="3" t="s">
        <v>190</v>
      </c>
      <c r="AD519" s="3" t="s">
        <v>513</v>
      </c>
      <c r="AE519" s="3">
        <v>1000</v>
      </c>
      <c r="AI519" s="4" t="s">
        <v>181</v>
      </c>
      <c r="AJ519" s="4" t="s">
        <v>181</v>
      </c>
      <c r="AK519" s="3"/>
      <c r="AL519" s="4">
        <v>40476</v>
      </c>
      <c r="AM519" s="5">
        <v>11916.71</v>
      </c>
      <c r="AN519" s="4" t="s">
        <v>124</v>
      </c>
      <c r="AO519" s="4">
        <v>99</v>
      </c>
      <c r="AP519" s="4">
        <v>80111600</v>
      </c>
    </row>
    <row r="520" spans="1:42" s="4" customFormat="1" x14ac:dyDescent="0.25">
      <c r="A520" s="3">
        <v>4600020</v>
      </c>
      <c r="B520" s="28">
        <v>41417</v>
      </c>
      <c r="C520" s="3" t="s">
        <v>1042</v>
      </c>
      <c r="D520" s="3">
        <v>10000040</v>
      </c>
      <c r="E520" s="4">
        <v>4529370</v>
      </c>
      <c r="F520" s="3" t="s">
        <v>49</v>
      </c>
      <c r="G520" s="4" t="s">
        <v>1043</v>
      </c>
      <c r="H520" s="4" t="s">
        <v>1044</v>
      </c>
      <c r="I520" s="5">
        <v>554790.5</v>
      </c>
      <c r="J520" s="3" t="s">
        <v>1045</v>
      </c>
      <c r="K520" s="3" t="s">
        <v>728</v>
      </c>
      <c r="L520" s="3" t="s">
        <v>1046</v>
      </c>
      <c r="M520" s="4" t="s">
        <v>1044</v>
      </c>
      <c r="N520" s="3" t="s">
        <v>25</v>
      </c>
      <c r="O520" s="3"/>
      <c r="Q520" s="3" t="s">
        <v>139</v>
      </c>
      <c r="R520" s="3" t="s">
        <v>215</v>
      </c>
      <c r="S520" s="4" t="s">
        <v>216</v>
      </c>
      <c r="U520" s="4" t="s">
        <v>139</v>
      </c>
      <c r="V520" s="4" t="s">
        <v>548</v>
      </c>
      <c r="W520" s="4" t="s">
        <v>549</v>
      </c>
      <c r="Y520" s="4" t="s">
        <v>1047</v>
      </c>
      <c r="Z520" s="4" t="s">
        <v>1048</v>
      </c>
      <c r="AA520" s="4" t="s">
        <v>1049</v>
      </c>
      <c r="AB520" s="3"/>
      <c r="AC520" s="3"/>
      <c r="AD520" s="3" t="s">
        <v>518</v>
      </c>
      <c r="AE520" s="3">
        <v>1000</v>
      </c>
      <c r="AF520" s="4">
        <v>10395</v>
      </c>
      <c r="AG520" s="4">
        <v>445395.5</v>
      </c>
      <c r="AH520" s="4">
        <v>4528869</v>
      </c>
      <c r="AI520" s="4" t="s">
        <v>1050</v>
      </c>
      <c r="AJ520" s="4" t="s">
        <v>1051</v>
      </c>
      <c r="AK520" s="3"/>
      <c r="AL520" s="4">
        <v>42272</v>
      </c>
      <c r="AM520" s="5">
        <v>554790.5</v>
      </c>
      <c r="AN520" s="4" t="s">
        <v>124</v>
      </c>
      <c r="AO520" s="4">
        <v>98</v>
      </c>
      <c r="AP520" s="4">
        <v>80110000</v>
      </c>
    </row>
    <row r="521" spans="1:42" s="4" customFormat="1" x14ac:dyDescent="0.25">
      <c r="A521" s="3">
        <v>4603845</v>
      </c>
      <c r="B521" s="28">
        <v>41450</v>
      </c>
      <c r="C521" s="3" t="s">
        <v>1042</v>
      </c>
      <c r="D521" s="3">
        <v>10003666</v>
      </c>
      <c r="E521" s="4">
        <v>4533196</v>
      </c>
      <c r="F521" s="3" t="s">
        <v>49</v>
      </c>
      <c r="G521" s="4" t="s">
        <v>1187</v>
      </c>
      <c r="H521" s="4" t="s">
        <v>1188</v>
      </c>
      <c r="I521" s="5">
        <v>6174004.0999999996</v>
      </c>
      <c r="J521" s="3" t="s">
        <v>631</v>
      </c>
      <c r="K521" s="3" t="s">
        <v>77</v>
      </c>
      <c r="L521" s="3" t="s">
        <v>1046</v>
      </c>
      <c r="M521" s="4" t="s">
        <v>1189</v>
      </c>
      <c r="N521" s="3" t="s">
        <v>56</v>
      </c>
      <c r="O521" s="3"/>
      <c r="Q521" s="3"/>
      <c r="R521" s="3"/>
      <c r="Y521" s="4" t="s">
        <v>1190</v>
      </c>
      <c r="Z521" s="4" t="s">
        <v>1191</v>
      </c>
      <c r="AA521" s="4" t="s">
        <v>1192</v>
      </c>
      <c r="AB521" s="3" t="s">
        <v>1192</v>
      </c>
      <c r="AC521" s="3" t="s">
        <v>1193</v>
      </c>
      <c r="AD521" s="3" t="s">
        <v>1194</v>
      </c>
      <c r="AE521" s="3">
        <v>5000</v>
      </c>
      <c r="AI521" s="4" t="s">
        <v>1195</v>
      </c>
      <c r="AJ521" s="4" t="s">
        <v>1196</v>
      </c>
      <c r="AK521" s="3"/>
      <c r="AL521" s="4">
        <v>140182</v>
      </c>
      <c r="AM521" s="5">
        <v>6174004.0999999996</v>
      </c>
      <c r="AN521" s="4" t="s">
        <v>31</v>
      </c>
      <c r="AO521" s="4">
        <v>98</v>
      </c>
      <c r="AP521" s="4">
        <v>80141602</v>
      </c>
    </row>
    <row r="522" spans="1:42" s="4" customFormat="1" x14ac:dyDescent="0.25">
      <c r="A522" s="3">
        <v>4603965</v>
      </c>
      <c r="B522" s="28">
        <v>41792</v>
      </c>
      <c r="C522" s="3" t="s">
        <v>1042</v>
      </c>
      <c r="D522" s="3">
        <v>10003725</v>
      </c>
      <c r="E522" s="4">
        <v>4533316</v>
      </c>
      <c r="F522" s="3" t="s">
        <v>49</v>
      </c>
      <c r="G522" s="4" t="s">
        <v>1210</v>
      </c>
      <c r="H522" s="4" t="s">
        <v>1211</v>
      </c>
      <c r="I522" s="5">
        <v>2352000</v>
      </c>
      <c r="J522" s="3" t="s">
        <v>631</v>
      </c>
      <c r="K522" s="3" t="s">
        <v>807</v>
      </c>
      <c r="L522" s="3" t="s">
        <v>1046</v>
      </c>
      <c r="M522" s="4" t="s">
        <v>1212</v>
      </c>
      <c r="N522" s="3" t="s">
        <v>56</v>
      </c>
      <c r="O522" s="3"/>
      <c r="Q522" s="3"/>
      <c r="R522" s="3"/>
      <c r="U522" s="4" t="s">
        <v>139</v>
      </c>
      <c r="V522" s="4" t="s">
        <v>427</v>
      </c>
      <c r="W522" s="4" t="s">
        <v>428</v>
      </c>
      <c r="Y522" s="4" t="s">
        <v>1213</v>
      </c>
      <c r="Z522" s="4" t="s">
        <v>1191</v>
      </c>
      <c r="AA522" s="4" t="s">
        <v>1214</v>
      </c>
      <c r="AB522" s="3" t="s">
        <v>1215</v>
      </c>
      <c r="AC522" s="3" t="s">
        <v>1216</v>
      </c>
      <c r="AD522" s="3" t="s">
        <v>518</v>
      </c>
      <c r="AE522" s="3">
        <v>5000</v>
      </c>
      <c r="AI522" s="4" t="s">
        <v>1217</v>
      </c>
      <c r="AJ522" s="4" t="s">
        <v>1196</v>
      </c>
      <c r="AK522" s="3"/>
      <c r="AL522" s="4">
        <v>140037</v>
      </c>
      <c r="AM522" s="5">
        <v>2352000</v>
      </c>
      <c r="AN522" s="4" t="s">
        <v>31</v>
      </c>
      <c r="AO522" s="4">
        <v>96</v>
      </c>
      <c r="AP522" s="4">
        <v>83110000</v>
      </c>
    </row>
    <row r="523" spans="1:42" s="4" customFormat="1" x14ac:dyDescent="0.25">
      <c r="A523" s="3">
        <v>4604568</v>
      </c>
      <c r="B523" s="28">
        <v>41815</v>
      </c>
      <c r="C523" s="3" t="s">
        <v>1278</v>
      </c>
      <c r="D523" s="3">
        <v>10004298</v>
      </c>
      <c r="E523" s="4">
        <v>4533919</v>
      </c>
      <c r="F523" s="3" t="s">
        <v>49</v>
      </c>
      <c r="G523" s="4" t="s">
        <v>1417</v>
      </c>
      <c r="H523" s="4" t="s">
        <v>1418</v>
      </c>
      <c r="I523" s="5">
        <v>299552</v>
      </c>
      <c r="J523" s="3" t="s">
        <v>76</v>
      </c>
      <c r="K523" s="3" t="s">
        <v>321</v>
      </c>
      <c r="L523" s="3" t="s">
        <v>1046</v>
      </c>
      <c r="M523" s="4" t="s">
        <v>1418</v>
      </c>
      <c r="N523" s="3" t="s">
        <v>56</v>
      </c>
      <c r="O523" s="3"/>
      <c r="Q523" s="3"/>
      <c r="R523" s="3"/>
      <c r="Y523" s="4" t="s">
        <v>1309</v>
      </c>
      <c r="Z523" s="4" t="s">
        <v>1309</v>
      </c>
      <c r="AA523" s="4" t="s">
        <v>1419</v>
      </c>
      <c r="AB523" s="3" t="s">
        <v>1419</v>
      </c>
      <c r="AC523" s="3" t="s">
        <v>1420</v>
      </c>
      <c r="AD523" s="3" t="s">
        <v>202</v>
      </c>
      <c r="AE523" s="3">
        <v>5000</v>
      </c>
      <c r="AI523" s="4" t="s">
        <v>1313</v>
      </c>
      <c r="AJ523" s="4" t="s">
        <v>1313</v>
      </c>
      <c r="AK523" s="3"/>
      <c r="AL523" s="4">
        <v>47549</v>
      </c>
      <c r="AM523" s="5">
        <v>299552</v>
      </c>
      <c r="AN523" s="4" t="s">
        <v>31</v>
      </c>
      <c r="AO523" s="4">
        <v>99</v>
      </c>
      <c r="AP523" s="4">
        <v>80141602</v>
      </c>
    </row>
    <row r="524" spans="1:42" s="4" customFormat="1" x14ac:dyDescent="0.25">
      <c r="A524" s="3">
        <v>4604580</v>
      </c>
      <c r="B524" s="28">
        <v>41817</v>
      </c>
      <c r="C524" s="3" t="s">
        <v>1278</v>
      </c>
      <c r="D524" s="3">
        <v>10004300</v>
      </c>
      <c r="E524" s="4">
        <v>4533931</v>
      </c>
      <c r="F524" s="3" t="s">
        <v>49</v>
      </c>
      <c r="G524" s="4" t="s">
        <v>1433</v>
      </c>
      <c r="H524" s="4" t="s">
        <v>1434</v>
      </c>
      <c r="I524" s="5">
        <v>408000</v>
      </c>
      <c r="J524" s="3" t="s">
        <v>76</v>
      </c>
      <c r="K524" s="3" t="s">
        <v>77</v>
      </c>
      <c r="L524" s="3" t="s">
        <v>1046</v>
      </c>
      <c r="M524" s="4" t="s">
        <v>1434</v>
      </c>
      <c r="N524" s="3" t="s">
        <v>56</v>
      </c>
      <c r="O524" s="3"/>
      <c r="Q524" s="3"/>
      <c r="R524" s="3"/>
      <c r="Y524" s="4" t="s">
        <v>1309</v>
      </c>
      <c r="Z524" s="4" t="s">
        <v>1309</v>
      </c>
      <c r="AA524" s="4" t="s">
        <v>1435</v>
      </c>
      <c r="AB524" s="3" t="s">
        <v>1435</v>
      </c>
      <c r="AC524" s="3" t="s">
        <v>1436</v>
      </c>
      <c r="AD524" s="3" t="s">
        <v>455</v>
      </c>
      <c r="AE524" s="3">
        <v>5000</v>
      </c>
      <c r="AI524" s="4" t="s">
        <v>1313</v>
      </c>
      <c r="AJ524" s="4" t="s">
        <v>1313</v>
      </c>
      <c r="AK524" s="3"/>
      <c r="AL524" s="4">
        <v>49940</v>
      </c>
      <c r="AM524" s="5">
        <v>408000</v>
      </c>
      <c r="AN524" s="4" t="s">
        <v>31</v>
      </c>
      <c r="AO524" s="4">
        <v>98</v>
      </c>
      <c r="AP524" s="4">
        <v>82100000</v>
      </c>
    </row>
    <row r="525" spans="1:42" s="4" customFormat="1" x14ac:dyDescent="0.25">
      <c r="A525" s="3">
        <v>4604859</v>
      </c>
      <c r="B525" s="28">
        <v>42060</v>
      </c>
      <c r="C525" s="3" t="s">
        <v>1278</v>
      </c>
      <c r="D525" s="3">
        <v>10004657</v>
      </c>
      <c r="E525" s="4">
        <v>4534210</v>
      </c>
      <c r="F525" s="3" t="s">
        <v>49</v>
      </c>
      <c r="G525" s="4" t="s">
        <v>1828</v>
      </c>
      <c r="H525" s="4" t="s">
        <v>1829</v>
      </c>
      <c r="I525" s="5">
        <v>45360</v>
      </c>
      <c r="J525" s="3" t="s">
        <v>467</v>
      </c>
      <c r="K525" s="3" t="s">
        <v>77</v>
      </c>
      <c r="L525" s="3" t="s">
        <v>1046</v>
      </c>
      <c r="M525" s="4" t="s">
        <v>1829</v>
      </c>
      <c r="N525" s="3" t="s">
        <v>25</v>
      </c>
      <c r="O525" s="3"/>
      <c r="Q525" s="3"/>
      <c r="R525" s="3"/>
      <c r="Y525" s="4" t="s">
        <v>1830</v>
      </c>
      <c r="Z525" s="4" t="s">
        <v>1344</v>
      </c>
      <c r="AB525" s="3"/>
      <c r="AC525" s="3"/>
      <c r="AD525" s="3" t="s">
        <v>1269</v>
      </c>
      <c r="AE525" s="3">
        <v>1000</v>
      </c>
      <c r="AI525" s="4" t="s">
        <v>1831</v>
      </c>
      <c r="AJ525" s="4" t="s">
        <v>1346</v>
      </c>
      <c r="AK525" s="3"/>
      <c r="AL525" s="4">
        <v>141864</v>
      </c>
      <c r="AM525" s="5">
        <v>45360</v>
      </c>
      <c r="AN525" s="4" t="s">
        <v>124</v>
      </c>
      <c r="AO525" s="4">
        <v>99</v>
      </c>
      <c r="AP525" s="4">
        <v>43230000</v>
      </c>
    </row>
    <row r="526" spans="1:42" s="4" customFormat="1" x14ac:dyDescent="0.25">
      <c r="A526" s="3">
        <v>4604869</v>
      </c>
      <c r="B526" s="28">
        <v>42185</v>
      </c>
      <c r="C526" s="3" t="s">
        <v>1278</v>
      </c>
      <c r="D526" s="3">
        <v>10004683</v>
      </c>
      <c r="E526" s="4">
        <v>4534220</v>
      </c>
      <c r="F526" s="3" t="s">
        <v>49</v>
      </c>
      <c r="G526" s="4" t="s">
        <v>1841</v>
      </c>
      <c r="H526" s="4" t="s">
        <v>1842</v>
      </c>
      <c r="I526" s="5">
        <v>26572.7</v>
      </c>
      <c r="J526" s="3" t="s">
        <v>631</v>
      </c>
      <c r="K526" s="3" t="s">
        <v>77</v>
      </c>
      <c r="L526" s="3" t="s">
        <v>1046</v>
      </c>
      <c r="M526" s="4" t="s">
        <v>1842</v>
      </c>
      <c r="N526" s="3" t="s">
        <v>25</v>
      </c>
      <c r="O526" s="3"/>
      <c r="Q526" s="3"/>
      <c r="R526" s="3"/>
      <c r="Y526" s="4" t="s">
        <v>1309</v>
      </c>
      <c r="Z526" s="4" t="s">
        <v>1309</v>
      </c>
      <c r="AB526" s="3"/>
      <c r="AC526" s="3"/>
      <c r="AD526" s="3" t="s">
        <v>1835</v>
      </c>
      <c r="AE526" s="3">
        <v>1000</v>
      </c>
      <c r="AI526" s="4" t="s">
        <v>1313</v>
      </c>
      <c r="AJ526" s="4" t="s">
        <v>1313</v>
      </c>
      <c r="AK526" s="3"/>
      <c r="AL526" s="4">
        <v>40357</v>
      </c>
      <c r="AM526" s="5">
        <v>26572.7</v>
      </c>
      <c r="AN526" s="4" t="s">
        <v>124</v>
      </c>
      <c r="AO526" s="4">
        <v>99</v>
      </c>
      <c r="AP526" s="4">
        <v>55110000</v>
      </c>
    </row>
    <row r="527" spans="1:42" s="4" customFormat="1" x14ac:dyDescent="0.25">
      <c r="A527" s="3">
        <v>4604946</v>
      </c>
      <c r="B527" s="28">
        <v>41992</v>
      </c>
      <c r="C527" s="3" t="s">
        <v>1278</v>
      </c>
      <c r="D527" s="3">
        <v>10004763</v>
      </c>
      <c r="E527" s="4">
        <v>4534297</v>
      </c>
      <c r="F527" s="3" t="s">
        <v>49</v>
      </c>
      <c r="G527" s="4" t="s">
        <v>1085</v>
      </c>
      <c r="H527" s="4" t="s">
        <v>1929</v>
      </c>
      <c r="I527" s="5">
        <v>590000</v>
      </c>
      <c r="J527" s="3" t="s">
        <v>404</v>
      </c>
      <c r="K527" s="3" t="s">
        <v>77</v>
      </c>
      <c r="L527" s="3" t="s">
        <v>1046</v>
      </c>
      <c r="M527" s="4" t="s">
        <v>1929</v>
      </c>
      <c r="N527" s="3" t="s">
        <v>56</v>
      </c>
      <c r="O527" s="3"/>
      <c r="Q527" s="3"/>
      <c r="R527" s="3"/>
      <c r="Y527" s="4" t="s">
        <v>1930</v>
      </c>
      <c r="Z527" s="4" t="s">
        <v>1309</v>
      </c>
      <c r="AA527" s="4" t="s">
        <v>1474</v>
      </c>
      <c r="AB527" s="3" t="s">
        <v>1474</v>
      </c>
      <c r="AC527" s="3" t="s">
        <v>1476</v>
      </c>
      <c r="AD527" s="3" t="s">
        <v>422</v>
      </c>
      <c r="AE527" s="3">
        <v>1000</v>
      </c>
      <c r="AI527" s="4" t="s">
        <v>1931</v>
      </c>
      <c r="AJ527" s="4" t="s">
        <v>1313</v>
      </c>
      <c r="AK527" s="3"/>
      <c r="AL527" s="4">
        <v>30502</v>
      </c>
      <c r="AM527" s="5">
        <v>590000</v>
      </c>
      <c r="AN527" s="4" t="s">
        <v>124</v>
      </c>
      <c r="AO527" s="4">
        <v>99</v>
      </c>
      <c r="AP527" s="4">
        <v>80101507</v>
      </c>
    </row>
    <row r="528" spans="1:42" s="4" customFormat="1" x14ac:dyDescent="0.25">
      <c r="A528" s="3">
        <v>4604968</v>
      </c>
      <c r="B528" s="28">
        <v>42121</v>
      </c>
      <c r="C528" s="3" t="s">
        <v>1278</v>
      </c>
      <c r="D528" s="3">
        <v>10004802</v>
      </c>
      <c r="E528" s="4">
        <v>4534319</v>
      </c>
      <c r="F528" s="3" t="s">
        <v>49</v>
      </c>
      <c r="G528" s="4" t="s">
        <v>1588</v>
      </c>
      <c r="I528" s="5">
        <v>1681.9</v>
      </c>
      <c r="J528" s="3" t="s">
        <v>1964</v>
      </c>
      <c r="K528" s="3" t="s">
        <v>53</v>
      </c>
      <c r="L528" s="3" t="s">
        <v>1046</v>
      </c>
      <c r="M528" s="4" t="s">
        <v>1965</v>
      </c>
      <c r="N528" s="3" t="s">
        <v>25</v>
      </c>
      <c r="O528" s="3"/>
      <c r="Q528" s="3"/>
      <c r="R528" s="3"/>
      <c r="Y528" s="4" t="s">
        <v>1966</v>
      </c>
      <c r="Z528" s="4" t="s">
        <v>1966</v>
      </c>
      <c r="AB528" s="3"/>
      <c r="AC528" s="3"/>
      <c r="AD528" s="3" t="s">
        <v>419</v>
      </c>
      <c r="AE528" s="3">
        <v>1000</v>
      </c>
      <c r="AI528" s="4" t="s">
        <v>1967</v>
      </c>
      <c r="AJ528" s="4" t="s">
        <v>1967</v>
      </c>
      <c r="AK528" s="3"/>
      <c r="AL528" s="4">
        <v>41005</v>
      </c>
      <c r="AM528" s="5">
        <v>1681.9</v>
      </c>
      <c r="AN528" s="4" t="s">
        <v>124</v>
      </c>
    </row>
    <row r="529" spans="1:42" s="4" customFormat="1" x14ac:dyDescent="0.25">
      <c r="A529" s="3">
        <v>4605014</v>
      </c>
      <c r="B529" s="28">
        <v>42136</v>
      </c>
      <c r="C529" s="3" t="s">
        <v>1278</v>
      </c>
      <c r="D529" s="3">
        <v>10004868</v>
      </c>
      <c r="E529" s="4">
        <v>4534365</v>
      </c>
      <c r="F529" s="3" t="s">
        <v>49</v>
      </c>
      <c r="G529" s="4" t="s">
        <v>1603</v>
      </c>
      <c r="I529" s="5">
        <v>1771</v>
      </c>
      <c r="J529" s="3" t="s">
        <v>1944</v>
      </c>
      <c r="K529" s="3" t="s">
        <v>359</v>
      </c>
      <c r="L529" s="3" t="s">
        <v>1046</v>
      </c>
      <c r="M529" s="4" t="s">
        <v>2019</v>
      </c>
      <c r="N529" s="3" t="s">
        <v>25</v>
      </c>
      <c r="O529" s="3"/>
      <c r="Q529" s="3"/>
      <c r="R529" s="3"/>
      <c r="Y529" s="4" t="s">
        <v>1966</v>
      </c>
      <c r="Z529" s="4" t="s">
        <v>1966</v>
      </c>
      <c r="AB529" s="3"/>
      <c r="AC529" s="3"/>
      <c r="AD529" s="3" t="s">
        <v>317</v>
      </c>
      <c r="AE529" s="3">
        <v>1000</v>
      </c>
      <c r="AI529" s="4" t="s">
        <v>1967</v>
      </c>
      <c r="AJ529" s="4" t="s">
        <v>1967</v>
      </c>
      <c r="AK529" s="3"/>
      <c r="AL529" s="4">
        <v>41323</v>
      </c>
      <c r="AM529" s="5">
        <v>1771</v>
      </c>
      <c r="AN529" s="4" t="s">
        <v>124</v>
      </c>
    </row>
    <row r="530" spans="1:42" s="4" customFormat="1" x14ac:dyDescent="0.25">
      <c r="A530" s="3">
        <v>4605015</v>
      </c>
      <c r="B530" s="28">
        <v>42136</v>
      </c>
      <c r="C530" s="3" t="s">
        <v>1278</v>
      </c>
      <c r="D530" s="3">
        <v>10004867</v>
      </c>
      <c r="E530" s="4">
        <v>4534366</v>
      </c>
      <c r="F530" s="3" t="s">
        <v>49</v>
      </c>
      <c r="G530" s="4" t="s">
        <v>1603</v>
      </c>
      <c r="I530" s="5">
        <v>4048</v>
      </c>
      <c r="J530" s="3" t="s">
        <v>1944</v>
      </c>
      <c r="K530" s="3" t="s">
        <v>359</v>
      </c>
      <c r="L530" s="3" t="s">
        <v>1046</v>
      </c>
      <c r="M530" s="4" t="s">
        <v>2020</v>
      </c>
      <c r="N530" s="3" t="s">
        <v>25</v>
      </c>
      <c r="O530" s="3"/>
      <c r="Q530" s="3"/>
      <c r="R530" s="3"/>
      <c r="Y530" s="4" t="s">
        <v>1966</v>
      </c>
      <c r="Z530" s="4" t="s">
        <v>1966</v>
      </c>
      <c r="AB530" s="3"/>
      <c r="AC530" s="3"/>
      <c r="AD530" s="3" t="s">
        <v>317</v>
      </c>
      <c r="AE530" s="3">
        <v>1000</v>
      </c>
      <c r="AI530" s="4" t="s">
        <v>1967</v>
      </c>
      <c r="AJ530" s="4" t="s">
        <v>1967</v>
      </c>
      <c r="AK530" s="3"/>
      <c r="AL530" s="4">
        <v>41323</v>
      </c>
      <c r="AM530" s="5">
        <v>4048</v>
      </c>
      <c r="AN530" s="4" t="s">
        <v>124</v>
      </c>
    </row>
    <row r="531" spans="1:42" s="4" customFormat="1" x14ac:dyDescent="0.25">
      <c r="A531" s="3">
        <v>4605016</v>
      </c>
      <c r="B531" s="28">
        <v>42125</v>
      </c>
      <c r="C531" s="3" t="s">
        <v>1278</v>
      </c>
      <c r="D531" s="3">
        <v>10004858</v>
      </c>
      <c r="E531" s="4">
        <v>4534367</v>
      </c>
      <c r="F531" s="3" t="s">
        <v>49</v>
      </c>
      <c r="G531" s="4" t="s">
        <v>1174</v>
      </c>
      <c r="I531" s="5">
        <v>1760</v>
      </c>
      <c r="J531" s="3" t="s">
        <v>711</v>
      </c>
      <c r="K531" s="3" t="s">
        <v>711</v>
      </c>
      <c r="L531" s="3" t="s">
        <v>1046</v>
      </c>
      <c r="M531" s="4" t="s">
        <v>2021</v>
      </c>
      <c r="N531" s="3" t="s">
        <v>25</v>
      </c>
      <c r="O531" s="3"/>
      <c r="Q531" s="3"/>
      <c r="R531" s="3"/>
      <c r="Y531" s="4" t="s">
        <v>1966</v>
      </c>
      <c r="Z531" s="4" t="s">
        <v>1966</v>
      </c>
      <c r="AB531" s="3"/>
      <c r="AC531" s="3"/>
      <c r="AD531" s="3" t="s">
        <v>317</v>
      </c>
      <c r="AE531" s="3">
        <v>1000</v>
      </c>
      <c r="AI531" s="4" t="s">
        <v>1967</v>
      </c>
      <c r="AJ531" s="4" t="s">
        <v>1967</v>
      </c>
      <c r="AK531" s="3"/>
      <c r="AL531" s="4">
        <v>42811</v>
      </c>
      <c r="AM531" s="5">
        <v>1760</v>
      </c>
      <c r="AN531" s="4" t="s">
        <v>124</v>
      </c>
    </row>
    <row r="532" spans="1:42" s="4" customFormat="1" x14ac:dyDescent="0.25">
      <c r="A532" s="3">
        <v>4605022</v>
      </c>
      <c r="B532" s="28">
        <v>42172</v>
      </c>
      <c r="C532" s="3" t="s">
        <v>1278</v>
      </c>
      <c r="D532" s="3">
        <v>10004871</v>
      </c>
      <c r="E532" s="4">
        <v>4534373</v>
      </c>
      <c r="F532" s="3" t="s">
        <v>49</v>
      </c>
      <c r="G532" s="4" t="s">
        <v>1357</v>
      </c>
      <c r="H532" s="4" t="s">
        <v>1929</v>
      </c>
      <c r="I532" s="5">
        <v>110000</v>
      </c>
      <c r="J532" s="3" t="s">
        <v>380</v>
      </c>
      <c r="K532" s="3" t="s">
        <v>77</v>
      </c>
      <c r="L532" s="3" t="s">
        <v>1046</v>
      </c>
      <c r="M532" s="4" t="s">
        <v>1929</v>
      </c>
      <c r="N532" s="3" t="s">
        <v>25</v>
      </c>
      <c r="O532" s="3"/>
      <c r="Q532" s="3"/>
      <c r="R532" s="3"/>
      <c r="Y532" s="4" t="s">
        <v>1959</v>
      </c>
      <c r="Z532" s="4" t="s">
        <v>1959</v>
      </c>
      <c r="AB532" s="3"/>
      <c r="AC532" s="3"/>
      <c r="AD532" s="3" t="s">
        <v>385</v>
      </c>
      <c r="AE532" s="3">
        <v>1000</v>
      </c>
      <c r="AI532" s="4" t="s">
        <v>1960</v>
      </c>
      <c r="AJ532" s="4" t="s">
        <v>1960</v>
      </c>
      <c r="AK532" s="3"/>
      <c r="AL532" s="4">
        <v>49941</v>
      </c>
      <c r="AM532" s="5">
        <v>110000</v>
      </c>
      <c r="AN532" s="4" t="s">
        <v>124</v>
      </c>
      <c r="AO532" s="4">
        <v>99</v>
      </c>
      <c r="AP532" s="4">
        <v>80101507</v>
      </c>
    </row>
    <row r="533" spans="1:42" s="4" customFormat="1" x14ac:dyDescent="0.25">
      <c r="A533" s="3">
        <v>4604190</v>
      </c>
      <c r="B533" s="28">
        <v>41459</v>
      </c>
      <c r="C533" s="3" t="s">
        <v>2273</v>
      </c>
      <c r="D533" s="3">
        <v>10003943</v>
      </c>
      <c r="E533" s="4">
        <v>4533541</v>
      </c>
      <c r="F533" s="3" t="s">
        <v>49</v>
      </c>
      <c r="G533" s="4" t="s">
        <v>2300</v>
      </c>
      <c r="I533" s="5">
        <v>5500</v>
      </c>
      <c r="J533" s="3" t="s">
        <v>2331</v>
      </c>
      <c r="K533" s="3" t="s">
        <v>807</v>
      </c>
      <c r="L533" s="3" t="s">
        <v>1046</v>
      </c>
      <c r="M533" s="4" t="s">
        <v>2332</v>
      </c>
      <c r="N533" s="3" t="s">
        <v>25</v>
      </c>
      <c r="O533" s="3" t="s">
        <v>139</v>
      </c>
      <c r="P533" s="4" t="s">
        <v>2207</v>
      </c>
      <c r="Q533" s="3"/>
      <c r="R533" s="3"/>
      <c r="Y533" s="4" t="s">
        <v>2277</v>
      </c>
      <c r="Z533" s="4" t="s">
        <v>2293</v>
      </c>
      <c r="AB533" s="3"/>
      <c r="AC533" s="3"/>
      <c r="AD533" s="3" t="s">
        <v>258</v>
      </c>
      <c r="AE533" s="3">
        <v>1000</v>
      </c>
      <c r="AI533" s="4" t="s">
        <v>2281</v>
      </c>
      <c r="AJ533" s="4" t="s">
        <v>2298</v>
      </c>
      <c r="AK533" s="3" t="s">
        <v>2210</v>
      </c>
      <c r="AL533" s="4">
        <v>30080</v>
      </c>
      <c r="AM533" s="5">
        <v>5500</v>
      </c>
      <c r="AN533" s="4" t="s">
        <v>2282</v>
      </c>
    </row>
    <row r="534" spans="1:42" s="4" customFormat="1" x14ac:dyDescent="0.25">
      <c r="A534" s="3">
        <v>4604212</v>
      </c>
      <c r="B534" s="28">
        <v>41540</v>
      </c>
      <c r="C534" s="3" t="s">
        <v>2273</v>
      </c>
      <c r="D534" s="3">
        <v>10003961</v>
      </c>
      <c r="E534" s="4">
        <v>4533563</v>
      </c>
      <c r="F534" s="3" t="s">
        <v>49</v>
      </c>
      <c r="G534" s="4" t="s">
        <v>2333</v>
      </c>
      <c r="H534" s="4" t="s">
        <v>2301</v>
      </c>
      <c r="I534" s="5">
        <v>3000000</v>
      </c>
      <c r="J534" s="3" t="s">
        <v>718</v>
      </c>
      <c r="K534" s="3" t="s">
        <v>77</v>
      </c>
      <c r="L534" s="3" t="s">
        <v>1046</v>
      </c>
      <c r="M534" s="4" t="s">
        <v>2334</v>
      </c>
      <c r="N534" s="3" t="s">
        <v>25</v>
      </c>
      <c r="O534" s="3" t="s">
        <v>139</v>
      </c>
      <c r="P534" s="4" t="s">
        <v>2207</v>
      </c>
      <c r="Q534" s="3" t="s">
        <v>139</v>
      </c>
      <c r="R534" s="3" t="s">
        <v>427</v>
      </c>
      <c r="S534" s="4" t="s">
        <v>428</v>
      </c>
      <c r="U534" s="4" t="s">
        <v>139</v>
      </c>
      <c r="V534" s="4" t="s">
        <v>427</v>
      </c>
      <c r="W534" s="4" t="s">
        <v>428</v>
      </c>
      <c r="Y534" s="4" t="s">
        <v>2277</v>
      </c>
      <c r="Z534" s="4" t="s">
        <v>2293</v>
      </c>
      <c r="AB534" s="3"/>
      <c r="AC534" s="3"/>
      <c r="AD534" s="3" t="s">
        <v>543</v>
      </c>
      <c r="AE534" s="3">
        <v>1000</v>
      </c>
      <c r="AI534" s="4" t="s">
        <v>2281</v>
      </c>
      <c r="AJ534" s="4" t="s">
        <v>2298</v>
      </c>
      <c r="AK534" s="3" t="s">
        <v>2210</v>
      </c>
      <c r="AL534" s="4">
        <v>141591</v>
      </c>
      <c r="AM534" s="5">
        <v>3000000</v>
      </c>
      <c r="AN534" s="4" t="s">
        <v>2282</v>
      </c>
      <c r="AO534" s="4">
        <v>94</v>
      </c>
      <c r="AP534" s="4">
        <v>80120000</v>
      </c>
    </row>
    <row r="535" spans="1:42" s="4" customFormat="1" x14ac:dyDescent="0.25">
      <c r="A535" s="3">
        <v>4604247</v>
      </c>
      <c r="B535" s="28">
        <v>41548</v>
      </c>
      <c r="C535" s="3" t="s">
        <v>2273</v>
      </c>
      <c r="D535" s="3">
        <v>10004001</v>
      </c>
      <c r="E535" s="4">
        <v>4533598</v>
      </c>
      <c r="F535" s="3" t="s">
        <v>49</v>
      </c>
      <c r="G535" s="4" t="s">
        <v>2300</v>
      </c>
      <c r="H535" s="4" t="s">
        <v>2301</v>
      </c>
      <c r="I535" s="5">
        <v>49800</v>
      </c>
      <c r="J535" s="3" t="s">
        <v>1247</v>
      </c>
      <c r="K535" s="3" t="s">
        <v>77</v>
      </c>
      <c r="L535" s="3" t="s">
        <v>1046</v>
      </c>
      <c r="M535" s="4" t="s">
        <v>2335</v>
      </c>
      <c r="N535" s="3" t="s">
        <v>25</v>
      </c>
      <c r="O535" s="3" t="s">
        <v>139</v>
      </c>
      <c r="P535" s="4" t="s">
        <v>282</v>
      </c>
      <c r="Q535" s="3"/>
      <c r="R535" s="3"/>
      <c r="U535" s="4" t="s">
        <v>139</v>
      </c>
      <c r="V535" s="4" t="s">
        <v>427</v>
      </c>
      <c r="W535" s="4" t="s">
        <v>428</v>
      </c>
      <c r="Y535" s="4" t="s">
        <v>2277</v>
      </c>
      <c r="Z535" s="4" t="s">
        <v>2293</v>
      </c>
      <c r="AB535" s="3"/>
      <c r="AC535" s="3"/>
      <c r="AD535" s="3" t="s">
        <v>535</v>
      </c>
      <c r="AE535" s="3">
        <v>1000</v>
      </c>
      <c r="AI535" s="4" t="s">
        <v>2281</v>
      </c>
      <c r="AJ535" s="4" t="s">
        <v>2298</v>
      </c>
      <c r="AK535" s="3" t="s">
        <v>286</v>
      </c>
      <c r="AL535" s="4">
        <v>30080</v>
      </c>
      <c r="AM535" s="5">
        <v>49800</v>
      </c>
      <c r="AN535" s="4" t="s">
        <v>2282</v>
      </c>
      <c r="AO535" s="4">
        <v>97</v>
      </c>
      <c r="AP535" s="4">
        <v>80120000</v>
      </c>
    </row>
    <row r="536" spans="1:42" s="4" customFormat="1" x14ac:dyDescent="0.25">
      <c r="A536" s="3">
        <v>4604250</v>
      </c>
      <c r="B536" s="28">
        <v>41564</v>
      </c>
      <c r="C536" s="3" t="s">
        <v>2273</v>
      </c>
      <c r="D536" s="3">
        <v>10004011</v>
      </c>
      <c r="E536" s="4">
        <v>4533601</v>
      </c>
      <c r="F536" s="3" t="s">
        <v>49</v>
      </c>
      <c r="G536" s="4" t="s">
        <v>2300</v>
      </c>
      <c r="H536" s="4" t="s">
        <v>2337</v>
      </c>
      <c r="I536" s="5">
        <v>24700</v>
      </c>
      <c r="J536" s="3" t="s">
        <v>2336</v>
      </c>
      <c r="K536" s="3" t="s">
        <v>807</v>
      </c>
      <c r="L536" s="3" t="s">
        <v>1046</v>
      </c>
      <c r="M536" s="4" t="s">
        <v>2338</v>
      </c>
      <c r="N536" s="3" t="s">
        <v>25</v>
      </c>
      <c r="O536" s="3" t="s">
        <v>139</v>
      </c>
      <c r="P536" s="4" t="s">
        <v>282</v>
      </c>
      <c r="Q536" s="3" t="s">
        <v>139</v>
      </c>
      <c r="R536" s="3" t="s">
        <v>427</v>
      </c>
      <c r="S536" s="4" t="s">
        <v>428</v>
      </c>
      <c r="U536" s="4" t="s">
        <v>139</v>
      </c>
      <c r="V536" s="4" t="s">
        <v>427</v>
      </c>
      <c r="W536" s="4" t="s">
        <v>428</v>
      </c>
      <c r="Y536" s="4" t="s">
        <v>2293</v>
      </c>
      <c r="Z536" s="4" t="s">
        <v>2293</v>
      </c>
      <c r="AB536" s="3"/>
      <c r="AC536" s="3"/>
      <c r="AD536" s="3" t="s">
        <v>2228</v>
      </c>
      <c r="AE536" s="3">
        <v>1000</v>
      </c>
      <c r="AI536" s="4" t="s">
        <v>2298</v>
      </c>
      <c r="AJ536" s="4" t="s">
        <v>2298</v>
      </c>
      <c r="AK536" s="3" t="s">
        <v>286</v>
      </c>
      <c r="AL536" s="4">
        <v>30080</v>
      </c>
      <c r="AM536" s="5">
        <v>24700</v>
      </c>
      <c r="AN536" s="4" t="s">
        <v>2282</v>
      </c>
      <c r="AO536" s="4">
        <v>98</v>
      </c>
      <c r="AP536" s="4">
        <v>80120000</v>
      </c>
    </row>
    <row r="537" spans="1:42" s="4" customFormat="1" x14ac:dyDescent="0.25">
      <c r="A537" s="3">
        <v>4604260</v>
      </c>
      <c r="B537" s="28">
        <v>41576</v>
      </c>
      <c r="C537" s="3" t="s">
        <v>2273</v>
      </c>
      <c r="D537" s="3">
        <v>10004021</v>
      </c>
      <c r="E537" s="4">
        <v>4533611</v>
      </c>
      <c r="F537" s="3" t="s">
        <v>49</v>
      </c>
      <c r="G537" s="4" t="s">
        <v>2300</v>
      </c>
      <c r="H537" s="4" t="s">
        <v>2337</v>
      </c>
      <c r="I537" s="5">
        <v>28550</v>
      </c>
      <c r="J537" s="3" t="s">
        <v>2339</v>
      </c>
      <c r="K537" s="3" t="s">
        <v>807</v>
      </c>
      <c r="L537" s="3" t="s">
        <v>1046</v>
      </c>
      <c r="M537" s="4" t="s">
        <v>2340</v>
      </c>
      <c r="N537" s="3" t="s">
        <v>25</v>
      </c>
      <c r="O537" s="3" t="s">
        <v>139</v>
      </c>
      <c r="P537" s="4" t="s">
        <v>282</v>
      </c>
      <c r="Q537" s="3" t="s">
        <v>139</v>
      </c>
      <c r="R537" s="3" t="s">
        <v>427</v>
      </c>
      <c r="S537" s="4" t="s">
        <v>428</v>
      </c>
      <c r="U537" s="4" t="s">
        <v>139</v>
      </c>
      <c r="V537" s="4" t="s">
        <v>427</v>
      </c>
      <c r="W537" s="4" t="s">
        <v>428</v>
      </c>
      <c r="Y537" s="4" t="s">
        <v>2293</v>
      </c>
      <c r="Z537" s="4" t="s">
        <v>2293</v>
      </c>
      <c r="AB537" s="3"/>
      <c r="AC537" s="3"/>
      <c r="AD537" s="3" t="s">
        <v>2228</v>
      </c>
      <c r="AE537" s="3">
        <v>1000</v>
      </c>
      <c r="AI537" s="4" t="s">
        <v>2298</v>
      </c>
      <c r="AJ537" s="4" t="s">
        <v>2298</v>
      </c>
      <c r="AK537" s="3" t="s">
        <v>286</v>
      </c>
      <c r="AL537" s="4">
        <v>30080</v>
      </c>
      <c r="AM537" s="5">
        <v>28550</v>
      </c>
      <c r="AN537" s="4" t="s">
        <v>2282</v>
      </c>
      <c r="AO537" s="4">
        <v>98</v>
      </c>
      <c r="AP537" s="4">
        <v>80120000</v>
      </c>
    </row>
    <row r="538" spans="1:42" s="4" customFormat="1" x14ac:dyDescent="0.25">
      <c r="A538" s="3">
        <v>4604269</v>
      </c>
      <c r="B538" s="28">
        <v>41589</v>
      </c>
      <c r="C538" s="3" t="s">
        <v>2342</v>
      </c>
      <c r="D538" s="3">
        <v>10004026</v>
      </c>
      <c r="E538" s="4">
        <v>4533620</v>
      </c>
      <c r="F538" s="3" t="s">
        <v>49</v>
      </c>
      <c r="G538" s="4" t="s">
        <v>2300</v>
      </c>
      <c r="H538" s="4" t="s">
        <v>2301</v>
      </c>
      <c r="I538" s="5">
        <v>253000</v>
      </c>
      <c r="J538" s="3" t="s">
        <v>2341</v>
      </c>
      <c r="K538" s="3" t="s">
        <v>807</v>
      </c>
      <c r="L538" s="3" t="s">
        <v>1046</v>
      </c>
      <c r="M538" s="4" t="s">
        <v>2343</v>
      </c>
      <c r="N538" s="3" t="s">
        <v>25</v>
      </c>
      <c r="O538" s="3" t="s">
        <v>139</v>
      </c>
      <c r="P538" s="4" t="s">
        <v>282</v>
      </c>
      <c r="Q538" s="3" t="s">
        <v>139</v>
      </c>
      <c r="R538" s="3" t="s">
        <v>427</v>
      </c>
      <c r="S538" s="4" t="s">
        <v>428</v>
      </c>
      <c r="U538" s="4" t="s">
        <v>139</v>
      </c>
      <c r="V538" s="4" t="s">
        <v>427</v>
      </c>
      <c r="W538" s="4" t="s">
        <v>428</v>
      </c>
      <c r="Y538" s="4" t="s">
        <v>2277</v>
      </c>
      <c r="Z538" s="4" t="s">
        <v>2293</v>
      </c>
      <c r="AB538" s="3"/>
      <c r="AC538" s="3"/>
      <c r="AD538" s="3" t="s">
        <v>53</v>
      </c>
      <c r="AE538" s="3">
        <v>1000</v>
      </c>
      <c r="AI538" s="4" t="s">
        <v>2281</v>
      </c>
      <c r="AJ538" s="4" t="s">
        <v>2298</v>
      </c>
      <c r="AK538" s="3" t="s">
        <v>286</v>
      </c>
      <c r="AL538" s="4">
        <v>30080</v>
      </c>
      <c r="AM538" s="5">
        <v>253000</v>
      </c>
      <c r="AN538" s="4" t="s">
        <v>2282</v>
      </c>
      <c r="AO538" s="4">
        <v>94</v>
      </c>
      <c r="AP538" s="4">
        <v>80120000</v>
      </c>
    </row>
    <row r="539" spans="1:42" s="4" customFormat="1" x14ac:dyDescent="0.25">
      <c r="A539" s="3">
        <v>4604273</v>
      </c>
      <c r="B539" s="28">
        <v>41540</v>
      </c>
      <c r="C539" s="3" t="s">
        <v>2342</v>
      </c>
      <c r="D539" s="3">
        <v>10004032</v>
      </c>
      <c r="E539" s="4">
        <v>4533624</v>
      </c>
      <c r="F539" s="3" t="s">
        <v>49</v>
      </c>
      <c r="G539" s="4" t="s">
        <v>2333</v>
      </c>
      <c r="H539" s="4" t="s">
        <v>2305</v>
      </c>
      <c r="I539" s="5">
        <v>237000</v>
      </c>
      <c r="J539" s="3" t="s">
        <v>718</v>
      </c>
      <c r="K539" s="3" t="s">
        <v>77</v>
      </c>
      <c r="L539" s="3" t="s">
        <v>1046</v>
      </c>
      <c r="M539" s="4" t="s">
        <v>2344</v>
      </c>
      <c r="N539" s="3" t="s">
        <v>25</v>
      </c>
      <c r="O539" s="3" t="s">
        <v>139</v>
      </c>
      <c r="P539" s="4" t="s">
        <v>282</v>
      </c>
      <c r="Q539" s="3" t="s">
        <v>139</v>
      </c>
      <c r="R539" s="3" t="s">
        <v>427</v>
      </c>
      <c r="S539" s="4" t="s">
        <v>428</v>
      </c>
      <c r="U539" s="4" t="s">
        <v>139</v>
      </c>
      <c r="V539" s="4" t="s">
        <v>427</v>
      </c>
      <c r="W539" s="4" t="s">
        <v>428</v>
      </c>
      <c r="Y539" s="4" t="s">
        <v>2277</v>
      </c>
      <c r="Z539" s="4" t="s">
        <v>2293</v>
      </c>
      <c r="AB539" s="3"/>
      <c r="AC539" s="3"/>
      <c r="AD539" s="3" t="s">
        <v>1704</v>
      </c>
      <c r="AE539" s="3">
        <v>1000</v>
      </c>
      <c r="AI539" s="4" t="s">
        <v>2281</v>
      </c>
      <c r="AJ539" s="4" t="s">
        <v>2298</v>
      </c>
      <c r="AK539" s="3" t="s">
        <v>286</v>
      </c>
      <c r="AL539" s="4">
        <v>141591</v>
      </c>
      <c r="AM539" s="5">
        <v>237000</v>
      </c>
      <c r="AN539" s="4" t="s">
        <v>2282</v>
      </c>
      <c r="AO539" s="4">
        <v>96</v>
      </c>
      <c r="AP539" s="4">
        <v>80120000</v>
      </c>
    </row>
    <row r="540" spans="1:42" s="4" customFormat="1" x14ac:dyDescent="0.25">
      <c r="A540" s="3">
        <v>4604362</v>
      </c>
      <c r="B540" s="28">
        <v>41683</v>
      </c>
      <c r="C540" s="3" t="s">
        <v>2342</v>
      </c>
      <c r="D540" s="3">
        <v>10004141</v>
      </c>
      <c r="E540" s="4">
        <v>4533713</v>
      </c>
      <c r="F540" s="3" t="s">
        <v>49</v>
      </c>
      <c r="G540" s="4" t="s">
        <v>2300</v>
      </c>
      <c r="H540" s="4" t="s">
        <v>2301</v>
      </c>
      <c r="I540" s="5">
        <v>45000</v>
      </c>
      <c r="J540" s="3" t="s">
        <v>2345</v>
      </c>
      <c r="K540" s="3" t="s">
        <v>832</v>
      </c>
      <c r="L540" s="3" t="s">
        <v>1046</v>
      </c>
      <c r="M540" s="4" t="s">
        <v>2346</v>
      </c>
      <c r="N540" s="3" t="s">
        <v>25</v>
      </c>
      <c r="O540" s="3" t="s">
        <v>139</v>
      </c>
      <c r="P540" s="4" t="s">
        <v>282</v>
      </c>
      <c r="Q540" s="3" t="s">
        <v>139</v>
      </c>
      <c r="R540" s="3" t="s">
        <v>427</v>
      </c>
      <c r="S540" s="4" t="s">
        <v>428</v>
      </c>
      <c r="U540" s="4" t="s">
        <v>139</v>
      </c>
      <c r="V540" s="4" t="s">
        <v>427</v>
      </c>
      <c r="W540" s="4" t="s">
        <v>428</v>
      </c>
      <c r="Y540" s="4" t="s">
        <v>2286</v>
      </c>
      <c r="Z540" s="4" t="s">
        <v>2293</v>
      </c>
      <c r="AB540" s="3"/>
      <c r="AC540" s="3"/>
      <c r="AD540" s="3" t="s">
        <v>2228</v>
      </c>
      <c r="AE540" s="3">
        <v>1000</v>
      </c>
      <c r="AI540" s="4" t="s">
        <v>2288</v>
      </c>
      <c r="AJ540" s="4" t="s">
        <v>2298</v>
      </c>
      <c r="AK540" s="3" t="s">
        <v>286</v>
      </c>
      <c r="AL540" s="4">
        <v>30080</v>
      </c>
      <c r="AM540" s="5">
        <v>45000</v>
      </c>
      <c r="AN540" s="4" t="s">
        <v>2282</v>
      </c>
      <c r="AO540" s="4">
        <v>99</v>
      </c>
      <c r="AP540" s="4">
        <v>80120000</v>
      </c>
    </row>
    <row r="541" spans="1:42" s="4" customFormat="1" x14ac:dyDescent="0.25">
      <c r="A541" s="3">
        <v>4604367</v>
      </c>
      <c r="B541" s="28">
        <v>41690</v>
      </c>
      <c r="C541" s="3" t="s">
        <v>2342</v>
      </c>
      <c r="D541" s="3">
        <v>10004152</v>
      </c>
      <c r="E541" s="4">
        <v>4533718</v>
      </c>
      <c r="F541" s="3" t="s">
        <v>49</v>
      </c>
      <c r="G541" s="4" t="s">
        <v>2300</v>
      </c>
      <c r="H541" s="4" t="s">
        <v>2301</v>
      </c>
      <c r="I541" s="5">
        <v>20000</v>
      </c>
      <c r="J541" s="3" t="s">
        <v>2348</v>
      </c>
      <c r="K541" s="3" t="s">
        <v>807</v>
      </c>
      <c r="L541" s="3" t="s">
        <v>1046</v>
      </c>
      <c r="M541" s="4" t="s">
        <v>2349</v>
      </c>
      <c r="N541" s="3" t="s">
        <v>25</v>
      </c>
      <c r="O541" s="3" t="s">
        <v>139</v>
      </c>
      <c r="P541" s="4" t="s">
        <v>282</v>
      </c>
      <c r="Q541" s="3" t="s">
        <v>139</v>
      </c>
      <c r="R541" s="3" t="s">
        <v>427</v>
      </c>
      <c r="S541" s="4" t="s">
        <v>428</v>
      </c>
      <c r="U541" s="4" t="s">
        <v>139</v>
      </c>
      <c r="V541" s="4" t="s">
        <v>427</v>
      </c>
      <c r="W541" s="4" t="s">
        <v>428</v>
      </c>
      <c r="Y541" s="4" t="s">
        <v>2277</v>
      </c>
      <c r="Z541" s="4" t="s">
        <v>2293</v>
      </c>
      <c r="AB541" s="3"/>
      <c r="AC541" s="3"/>
      <c r="AD541" s="3" t="s">
        <v>768</v>
      </c>
      <c r="AE541" s="3">
        <v>1000</v>
      </c>
      <c r="AI541" s="4" t="s">
        <v>2281</v>
      </c>
      <c r="AJ541" s="4" t="s">
        <v>2298</v>
      </c>
      <c r="AK541" s="3" t="s">
        <v>286</v>
      </c>
      <c r="AL541" s="4">
        <v>30080</v>
      </c>
      <c r="AM541" s="5">
        <v>20000</v>
      </c>
      <c r="AN541" s="4" t="s">
        <v>2282</v>
      </c>
      <c r="AO541" s="4">
        <v>99</v>
      </c>
      <c r="AP541" s="4">
        <v>80120000</v>
      </c>
    </row>
    <row r="542" spans="1:42" s="4" customFormat="1" x14ac:dyDescent="0.25">
      <c r="A542" s="3">
        <v>4604369</v>
      </c>
      <c r="B542" s="28">
        <v>41691</v>
      </c>
      <c r="C542" s="3" t="s">
        <v>2342</v>
      </c>
      <c r="D542" s="3">
        <v>10004154</v>
      </c>
      <c r="E542" s="4">
        <v>4533720</v>
      </c>
      <c r="F542" s="3" t="s">
        <v>49</v>
      </c>
      <c r="G542" s="4" t="s">
        <v>2290</v>
      </c>
      <c r="H542" s="4" t="s">
        <v>2301</v>
      </c>
      <c r="I542" s="5">
        <v>16378</v>
      </c>
      <c r="J542" s="3" t="s">
        <v>928</v>
      </c>
      <c r="K542" s="3" t="s">
        <v>1194</v>
      </c>
      <c r="L542" s="3" t="s">
        <v>1046</v>
      </c>
      <c r="M542" s="4" t="s">
        <v>2350</v>
      </c>
      <c r="N542" s="3" t="s">
        <v>25</v>
      </c>
      <c r="O542" s="3" t="s">
        <v>139</v>
      </c>
      <c r="P542" s="4" t="s">
        <v>282</v>
      </c>
      <c r="Q542" s="3" t="s">
        <v>139</v>
      </c>
      <c r="R542" s="3" t="s">
        <v>215</v>
      </c>
      <c r="S542" s="4" t="s">
        <v>216</v>
      </c>
      <c r="U542" s="4" t="s">
        <v>139</v>
      </c>
      <c r="V542" s="4" t="s">
        <v>427</v>
      </c>
      <c r="W542" s="4" t="s">
        <v>428</v>
      </c>
      <c r="Y542" s="4" t="s">
        <v>2277</v>
      </c>
      <c r="Z542" s="4" t="s">
        <v>2293</v>
      </c>
      <c r="AB542" s="3"/>
      <c r="AC542" s="3"/>
      <c r="AD542" s="3" t="s">
        <v>1613</v>
      </c>
      <c r="AE542" s="3">
        <v>1000</v>
      </c>
      <c r="AI542" s="4" t="s">
        <v>2281</v>
      </c>
      <c r="AJ542" s="4" t="s">
        <v>2298</v>
      </c>
      <c r="AK542" s="3" t="s">
        <v>286</v>
      </c>
      <c r="AL542" s="4">
        <v>140444</v>
      </c>
      <c r="AM542" s="5">
        <v>16378</v>
      </c>
      <c r="AN542" s="4" t="s">
        <v>2282</v>
      </c>
      <c r="AO542" s="4">
        <v>99</v>
      </c>
      <c r="AP542" s="4">
        <v>80120000</v>
      </c>
    </row>
    <row r="543" spans="1:42" s="4" customFormat="1" x14ac:dyDescent="0.25">
      <c r="A543" s="3">
        <v>4604413</v>
      </c>
      <c r="B543" s="28">
        <v>41725</v>
      </c>
      <c r="C543" s="3" t="s">
        <v>2342</v>
      </c>
      <c r="D543" s="3">
        <v>10004199</v>
      </c>
      <c r="E543" s="4">
        <v>4533764</v>
      </c>
      <c r="F543" s="3" t="s">
        <v>49</v>
      </c>
      <c r="G543" s="4" t="s">
        <v>2352</v>
      </c>
      <c r="H543" s="4" t="s">
        <v>2353</v>
      </c>
      <c r="I543" s="5">
        <v>55000</v>
      </c>
      <c r="J543" s="3" t="s">
        <v>2351</v>
      </c>
      <c r="K543" s="3" t="s">
        <v>832</v>
      </c>
      <c r="L543" s="3" t="s">
        <v>1046</v>
      </c>
      <c r="M543" s="4" t="s">
        <v>2354</v>
      </c>
      <c r="N543" s="3" t="s">
        <v>25</v>
      </c>
      <c r="O543" s="3" t="s">
        <v>139</v>
      </c>
      <c r="P543" s="4" t="s">
        <v>282</v>
      </c>
      <c r="Q543" s="3" t="s">
        <v>139</v>
      </c>
      <c r="R543" s="3" t="s">
        <v>427</v>
      </c>
      <c r="S543" s="4" t="s">
        <v>428</v>
      </c>
      <c r="U543" s="4" t="s">
        <v>139</v>
      </c>
      <c r="V543" s="4" t="s">
        <v>427</v>
      </c>
      <c r="W543" s="4" t="s">
        <v>428</v>
      </c>
      <c r="Y543" s="4" t="s">
        <v>2286</v>
      </c>
      <c r="Z543" s="4" t="s">
        <v>2293</v>
      </c>
      <c r="AB543" s="3"/>
      <c r="AC543" s="3"/>
      <c r="AD543" s="3" t="s">
        <v>2228</v>
      </c>
      <c r="AE543" s="3">
        <v>1000</v>
      </c>
      <c r="AI543" s="4" t="s">
        <v>2288</v>
      </c>
      <c r="AJ543" s="4" t="s">
        <v>2298</v>
      </c>
      <c r="AK543" s="3" t="s">
        <v>286</v>
      </c>
      <c r="AL543" s="4">
        <v>44024</v>
      </c>
      <c r="AM543" s="5">
        <v>55000</v>
      </c>
      <c r="AN543" s="4" t="s">
        <v>2282</v>
      </c>
      <c r="AO543" s="4">
        <v>99</v>
      </c>
      <c r="AP543" s="4">
        <v>80120000</v>
      </c>
    </row>
    <row r="544" spans="1:42" s="4" customFormat="1" x14ac:dyDescent="0.25">
      <c r="A544" s="3">
        <v>4604429</v>
      </c>
      <c r="B544" s="28">
        <v>41737</v>
      </c>
      <c r="C544" s="3" t="s">
        <v>2342</v>
      </c>
      <c r="D544" s="3">
        <v>10004220</v>
      </c>
      <c r="E544" s="4">
        <v>4533780</v>
      </c>
      <c r="F544" s="3" t="s">
        <v>49</v>
      </c>
      <c r="G544" s="4" t="s">
        <v>1672</v>
      </c>
      <c r="I544" s="5">
        <v>7700</v>
      </c>
      <c r="J544" s="3" t="s">
        <v>2355</v>
      </c>
      <c r="K544" s="3" t="s">
        <v>77</v>
      </c>
      <c r="L544" s="3" t="s">
        <v>1046</v>
      </c>
      <c r="M544" s="4" t="s">
        <v>2356</v>
      </c>
      <c r="N544" s="3" t="s">
        <v>25</v>
      </c>
      <c r="O544" s="3" t="s">
        <v>139</v>
      </c>
      <c r="P544" s="4" t="s">
        <v>2207</v>
      </c>
      <c r="Q544" s="3"/>
      <c r="R544" s="3"/>
      <c r="Y544" s="4" t="s">
        <v>2286</v>
      </c>
      <c r="Z544" s="4" t="s">
        <v>2293</v>
      </c>
      <c r="AB544" s="3"/>
      <c r="AC544" s="3"/>
      <c r="AD544" s="3" t="s">
        <v>774</v>
      </c>
      <c r="AE544" s="3">
        <v>1000</v>
      </c>
      <c r="AI544" s="4" t="s">
        <v>2288</v>
      </c>
      <c r="AJ544" s="4" t="s">
        <v>2298</v>
      </c>
      <c r="AK544" s="3" t="s">
        <v>2210</v>
      </c>
      <c r="AL544" s="4">
        <v>30068</v>
      </c>
      <c r="AM544" s="5">
        <v>7700</v>
      </c>
      <c r="AN544" s="4" t="s">
        <v>2282</v>
      </c>
    </row>
    <row r="545" spans="1:42" s="4" customFormat="1" x14ac:dyDescent="0.25">
      <c r="A545" s="3">
        <v>4604436</v>
      </c>
      <c r="B545" s="28">
        <v>41740</v>
      </c>
      <c r="C545" s="3" t="s">
        <v>2342</v>
      </c>
      <c r="D545" s="3">
        <v>10004227</v>
      </c>
      <c r="E545" s="4">
        <v>4533787</v>
      </c>
      <c r="F545" s="3" t="s">
        <v>49</v>
      </c>
      <c r="G545" s="4" t="s">
        <v>2300</v>
      </c>
      <c r="I545" s="5">
        <v>9350</v>
      </c>
      <c r="J545" s="3" t="s">
        <v>2357</v>
      </c>
      <c r="K545" s="3" t="s">
        <v>807</v>
      </c>
      <c r="L545" s="3" t="s">
        <v>1046</v>
      </c>
      <c r="M545" s="4" t="s">
        <v>2358</v>
      </c>
      <c r="N545" s="3" t="s">
        <v>25</v>
      </c>
      <c r="O545" s="3" t="s">
        <v>139</v>
      </c>
      <c r="P545" s="4" t="s">
        <v>282</v>
      </c>
      <c r="Q545" s="3"/>
      <c r="R545" s="3"/>
      <c r="Y545" s="4" t="s">
        <v>2292</v>
      </c>
      <c r="Z545" s="4" t="s">
        <v>2293</v>
      </c>
      <c r="AB545" s="3"/>
      <c r="AC545" s="3"/>
      <c r="AD545" s="3" t="s">
        <v>1691</v>
      </c>
      <c r="AE545" s="3">
        <v>1000</v>
      </c>
      <c r="AI545" s="4" t="s">
        <v>2297</v>
      </c>
      <c r="AJ545" s="4" t="s">
        <v>2298</v>
      </c>
      <c r="AK545" s="3" t="s">
        <v>286</v>
      </c>
      <c r="AL545" s="4">
        <v>30080</v>
      </c>
      <c r="AM545" s="5">
        <v>9350</v>
      </c>
      <c r="AN545" s="4" t="s">
        <v>2282</v>
      </c>
    </row>
    <row r="546" spans="1:42" s="4" customFormat="1" x14ac:dyDescent="0.25">
      <c r="A546" s="3">
        <v>4604444</v>
      </c>
      <c r="B546" s="28">
        <v>41744</v>
      </c>
      <c r="C546" s="3" t="s">
        <v>2342</v>
      </c>
      <c r="D546" s="3">
        <v>10004239</v>
      </c>
      <c r="E546" s="4">
        <v>4533795</v>
      </c>
      <c r="F546" s="3" t="s">
        <v>49</v>
      </c>
      <c r="G546" s="4" t="s">
        <v>2300</v>
      </c>
      <c r="I546" s="5">
        <v>5500</v>
      </c>
      <c r="J546" s="3" t="s">
        <v>2359</v>
      </c>
      <c r="K546" s="3" t="s">
        <v>807</v>
      </c>
      <c r="L546" s="3" t="s">
        <v>1046</v>
      </c>
      <c r="M546" s="4" t="s">
        <v>2360</v>
      </c>
      <c r="N546" s="3" t="s">
        <v>25</v>
      </c>
      <c r="O546" s="3" t="s">
        <v>139</v>
      </c>
      <c r="P546" s="4" t="s">
        <v>2207</v>
      </c>
      <c r="Q546" s="3"/>
      <c r="R546" s="3"/>
      <c r="Y546" s="4" t="s">
        <v>2292</v>
      </c>
      <c r="Z546" s="4" t="s">
        <v>2293</v>
      </c>
      <c r="AB546" s="3"/>
      <c r="AC546" s="3"/>
      <c r="AD546" s="3" t="s">
        <v>2228</v>
      </c>
      <c r="AE546" s="3">
        <v>1000</v>
      </c>
      <c r="AI546" s="4" t="s">
        <v>2297</v>
      </c>
      <c r="AJ546" s="4" t="s">
        <v>2298</v>
      </c>
      <c r="AK546" s="3" t="s">
        <v>2210</v>
      </c>
      <c r="AL546" s="4">
        <v>30080</v>
      </c>
      <c r="AM546" s="5">
        <v>5500</v>
      </c>
      <c r="AN546" s="4" t="s">
        <v>2282</v>
      </c>
    </row>
    <row r="547" spans="1:42" s="4" customFormat="1" x14ac:dyDescent="0.25">
      <c r="A547" s="3">
        <v>4604490</v>
      </c>
      <c r="B547" s="28">
        <v>41781</v>
      </c>
      <c r="C547" s="3" t="s">
        <v>2342</v>
      </c>
      <c r="D547" s="3">
        <v>10004279</v>
      </c>
      <c r="E547" s="4">
        <v>4533841</v>
      </c>
      <c r="F547" s="3" t="s">
        <v>49</v>
      </c>
      <c r="G547" s="4" t="s">
        <v>2300</v>
      </c>
      <c r="H547" s="4" t="s">
        <v>2301</v>
      </c>
      <c r="I547" s="5">
        <v>149050</v>
      </c>
      <c r="J547" s="3" t="s">
        <v>744</v>
      </c>
      <c r="K547" s="3" t="s">
        <v>832</v>
      </c>
      <c r="L547" s="3" t="s">
        <v>1046</v>
      </c>
      <c r="M547" s="4" t="s">
        <v>2361</v>
      </c>
      <c r="N547" s="3" t="s">
        <v>25</v>
      </c>
      <c r="O547" s="3"/>
      <c r="Q547" s="3" t="s">
        <v>139</v>
      </c>
      <c r="R547" s="3" t="s">
        <v>215</v>
      </c>
      <c r="S547" s="4" t="s">
        <v>216</v>
      </c>
      <c r="U547" s="4" t="s">
        <v>139</v>
      </c>
      <c r="V547" s="4" t="s">
        <v>427</v>
      </c>
      <c r="W547" s="4" t="s">
        <v>428</v>
      </c>
      <c r="Y547" s="4" t="s">
        <v>2277</v>
      </c>
      <c r="Z547" s="4" t="s">
        <v>2293</v>
      </c>
      <c r="AB547" s="3"/>
      <c r="AC547" s="3"/>
      <c r="AD547" s="3" t="s">
        <v>2228</v>
      </c>
      <c r="AE547" s="3">
        <v>1000</v>
      </c>
      <c r="AI547" s="4" t="s">
        <v>2281</v>
      </c>
      <c r="AJ547" s="4" t="s">
        <v>2298</v>
      </c>
      <c r="AK547" s="3"/>
      <c r="AL547" s="4">
        <v>30080</v>
      </c>
      <c r="AM547" s="5">
        <v>149050</v>
      </c>
      <c r="AN547" s="4" t="s">
        <v>2282</v>
      </c>
      <c r="AO547" s="4">
        <v>98</v>
      </c>
      <c r="AP547" s="4">
        <v>80120000</v>
      </c>
    </row>
    <row r="548" spans="1:42" s="4" customFormat="1" x14ac:dyDescent="0.25">
      <c r="A548" s="3">
        <v>4604492</v>
      </c>
      <c r="B548" s="28">
        <v>41782</v>
      </c>
      <c r="C548" s="3" t="s">
        <v>2342</v>
      </c>
      <c r="D548" s="3">
        <v>10004279</v>
      </c>
      <c r="E548" s="4">
        <v>4533843</v>
      </c>
      <c r="F548" s="3" t="s">
        <v>49</v>
      </c>
      <c r="G548" s="4" t="s">
        <v>2300</v>
      </c>
      <c r="H548" s="4" t="s">
        <v>2301</v>
      </c>
      <c r="I548" s="5">
        <v>53000</v>
      </c>
      <c r="J548" s="3" t="s">
        <v>1110</v>
      </c>
      <c r="K548" s="3" t="s">
        <v>214</v>
      </c>
      <c r="L548" s="3" t="s">
        <v>1046</v>
      </c>
      <c r="M548" s="4" t="s">
        <v>2363</v>
      </c>
      <c r="N548" s="3" t="s">
        <v>25</v>
      </c>
      <c r="O548" s="3"/>
      <c r="Q548" s="3" t="s">
        <v>139</v>
      </c>
      <c r="R548" s="3" t="s">
        <v>215</v>
      </c>
      <c r="S548" s="4" t="s">
        <v>216</v>
      </c>
      <c r="U548" s="4" t="s">
        <v>139</v>
      </c>
      <c r="V548" s="4" t="s">
        <v>427</v>
      </c>
      <c r="W548" s="4" t="s">
        <v>428</v>
      </c>
      <c r="Y548" s="4" t="s">
        <v>2277</v>
      </c>
      <c r="Z548" s="4" t="s">
        <v>2293</v>
      </c>
      <c r="AB548" s="3"/>
      <c r="AC548" s="3"/>
      <c r="AD548" s="3" t="s">
        <v>774</v>
      </c>
      <c r="AE548" s="3">
        <v>1000</v>
      </c>
      <c r="AI548" s="4" t="s">
        <v>2281</v>
      </c>
      <c r="AJ548" s="4" t="s">
        <v>2298</v>
      </c>
      <c r="AK548" s="3"/>
      <c r="AL548" s="4">
        <v>30080</v>
      </c>
      <c r="AM548" s="5">
        <v>53000</v>
      </c>
      <c r="AN548" s="4" t="s">
        <v>2282</v>
      </c>
      <c r="AO548" s="4">
        <v>99</v>
      </c>
      <c r="AP548" s="4">
        <v>80120000</v>
      </c>
    </row>
    <row r="549" spans="1:42" s="4" customFormat="1" x14ac:dyDescent="0.25">
      <c r="A549" s="3">
        <v>4604494</v>
      </c>
      <c r="B549" s="28">
        <v>41782</v>
      </c>
      <c r="C549" s="3" t="s">
        <v>2342</v>
      </c>
      <c r="D549" s="3">
        <v>10004286</v>
      </c>
      <c r="E549" s="4">
        <v>4533845</v>
      </c>
      <c r="F549" s="3" t="s">
        <v>49</v>
      </c>
      <c r="G549" s="4" t="s">
        <v>2364</v>
      </c>
      <c r="H549" s="4" t="s">
        <v>2365</v>
      </c>
      <c r="I549" s="5">
        <v>302579.42</v>
      </c>
      <c r="J549" s="3" t="s">
        <v>2362</v>
      </c>
      <c r="K549" s="3" t="s">
        <v>77</v>
      </c>
      <c r="L549" s="3" t="s">
        <v>1046</v>
      </c>
      <c r="M549" s="4" t="s">
        <v>2366</v>
      </c>
      <c r="N549" s="3" t="s">
        <v>25</v>
      </c>
      <c r="O549" s="3" t="s">
        <v>139</v>
      </c>
      <c r="P549" s="4" t="s">
        <v>282</v>
      </c>
      <c r="Q549" s="3"/>
      <c r="R549" s="3"/>
      <c r="U549" s="4" t="s">
        <v>139</v>
      </c>
      <c r="V549" s="4" t="s">
        <v>427</v>
      </c>
      <c r="W549" s="4" t="s">
        <v>428</v>
      </c>
      <c r="Y549" s="4" t="s">
        <v>2286</v>
      </c>
      <c r="Z549" s="4" t="s">
        <v>2293</v>
      </c>
      <c r="AB549" s="3"/>
      <c r="AC549" s="3"/>
      <c r="AD549" s="3" t="s">
        <v>494</v>
      </c>
      <c r="AE549" s="3">
        <v>1000</v>
      </c>
      <c r="AI549" s="4" t="s">
        <v>2288</v>
      </c>
      <c r="AJ549" s="4" t="s">
        <v>2298</v>
      </c>
      <c r="AK549" s="3" t="s">
        <v>286</v>
      </c>
      <c r="AL549" s="4">
        <v>141746</v>
      </c>
      <c r="AM549" s="5">
        <v>302579.42</v>
      </c>
      <c r="AN549" s="4" t="s">
        <v>2282</v>
      </c>
      <c r="AO549" s="4">
        <v>97</v>
      </c>
      <c r="AP549" s="4">
        <v>80120000</v>
      </c>
    </row>
    <row r="550" spans="1:42" s="4" customFormat="1" x14ac:dyDescent="0.25">
      <c r="A550" s="3">
        <v>4604502</v>
      </c>
      <c r="B550" s="28">
        <v>41792</v>
      </c>
      <c r="C550" s="3" t="s">
        <v>2342</v>
      </c>
      <c r="D550" s="3">
        <v>10004294</v>
      </c>
      <c r="E550" s="4">
        <v>4533853</v>
      </c>
      <c r="F550" s="3" t="s">
        <v>49</v>
      </c>
      <c r="G550" s="4" t="s">
        <v>2367</v>
      </c>
      <c r="H550" s="4" t="s">
        <v>2301</v>
      </c>
      <c r="I550" s="5">
        <v>67648</v>
      </c>
      <c r="J550" s="3" t="s">
        <v>748</v>
      </c>
      <c r="K550" s="3" t="s">
        <v>77</v>
      </c>
      <c r="L550" s="3" t="s">
        <v>1046</v>
      </c>
      <c r="M550" s="4" t="s">
        <v>2368</v>
      </c>
      <c r="N550" s="3" t="s">
        <v>25</v>
      </c>
      <c r="O550" s="3" t="s">
        <v>139</v>
      </c>
      <c r="P550" s="4" t="s">
        <v>282</v>
      </c>
      <c r="Q550" s="3"/>
      <c r="R550" s="3"/>
      <c r="U550" s="4" t="s">
        <v>139</v>
      </c>
      <c r="V550" s="4" t="s">
        <v>427</v>
      </c>
      <c r="W550" s="4" t="s">
        <v>428</v>
      </c>
      <c r="Y550" s="4" t="s">
        <v>2286</v>
      </c>
      <c r="Z550" s="4" t="s">
        <v>2293</v>
      </c>
      <c r="AB550" s="3"/>
      <c r="AC550" s="3"/>
      <c r="AD550" s="3" t="s">
        <v>486</v>
      </c>
      <c r="AE550" s="3">
        <v>1000</v>
      </c>
      <c r="AI550" s="4" t="s">
        <v>2288</v>
      </c>
      <c r="AJ550" s="4" t="s">
        <v>2298</v>
      </c>
      <c r="AK550" s="3" t="s">
        <v>286</v>
      </c>
      <c r="AL550" s="4">
        <v>49623</v>
      </c>
      <c r="AM550" s="5">
        <v>67648</v>
      </c>
      <c r="AN550" s="4" t="s">
        <v>2282</v>
      </c>
      <c r="AO550" s="4">
        <v>98</v>
      </c>
      <c r="AP550" s="4">
        <v>80120000</v>
      </c>
    </row>
    <row r="551" spans="1:42" s="4" customFormat="1" x14ac:dyDescent="0.25">
      <c r="A551" s="3">
        <v>4604531</v>
      </c>
      <c r="B551" s="28">
        <v>41781</v>
      </c>
      <c r="C551" s="3" t="s">
        <v>2342</v>
      </c>
      <c r="D551" s="3">
        <v>10004321</v>
      </c>
      <c r="E551" s="4">
        <v>4533882</v>
      </c>
      <c r="F551" s="3" t="s">
        <v>49</v>
      </c>
      <c r="G551" s="4" t="s">
        <v>2300</v>
      </c>
      <c r="H551" s="4" t="s">
        <v>2369</v>
      </c>
      <c r="I551" s="5">
        <v>75000</v>
      </c>
      <c r="J551" s="3" t="s">
        <v>896</v>
      </c>
      <c r="K551" s="3" t="s">
        <v>807</v>
      </c>
      <c r="L551" s="3" t="s">
        <v>1046</v>
      </c>
      <c r="M551" s="4" t="s">
        <v>2370</v>
      </c>
      <c r="N551" s="3" t="s">
        <v>25</v>
      </c>
      <c r="O551" s="3" t="s">
        <v>139</v>
      </c>
      <c r="P551" s="4" t="s">
        <v>282</v>
      </c>
      <c r="Q551" s="3" t="s">
        <v>139</v>
      </c>
      <c r="R551" s="3" t="s">
        <v>215</v>
      </c>
      <c r="S551" s="4" t="s">
        <v>216</v>
      </c>
      <c r="U551" s="4" t="s">
        <v>139</v>
      </c>
      <c r="V551" s="4" t="s">
        <v>427</v>
      </c>
      <c r="W551" s="4" t="s">
        <v>428</v>
      </c>
      <c r="Y551" s="4" t="s">
        <v>2277</v>
      </c>
      <c r="Z551" s="4" t="s">
        <v>2293</v>
      </c>
      <c r="AB551" s="3"/>
      <c r="AC551" s="3"/>
      <c r="AD551" s="3" t="s">
        <v>774</v>
      </c>
      <c r="AE551" s="3">
        <v>1000</v>
      </c>
      <c r="AI551" s="4" t="s">
        <v>2281</v>
      </c>
      <c r="AJ551" s="4" t="s">
        <v>2298</v>
      </c>
      <c r="AK551" s="3" t="s">
        <v>286</v>
      </c>
      <c r="AL551" s="4">
        <v>30080</v>
      </c>
      <c r="AM551" s="5">
        <v>75000</v>
      </c>
      <c r="AN551" s="4" t="s">
        <v>2282</v>
      </c>
      <c r="AO551" s="4">
        <v>99</v>
      </c>
      <c r="AP551" s="4">
        <v>80120000</v>
      </c>
    </row>
    <row r="552" spans="1:42" s="4" customFormat="1" x14ac:dyDescent="0.25">
      <c r="A552" s="3">
        <v>4604577</v>
      </c>
      <c r="B552" s="28">
        <v>41806</v>
      </c>
      <c r="C552" s="3" t="s">
        <v>2342</v>
      </c>
      <c r="D552" s="3">
        <v>10004357</v>
      </c>
      <c r="E552" s="4">
        <v>4533928</v>
      </c>
      <c r="F552" s="3" t="s">
        <v>49</v>
      </c>
      <c r="G552" s="4" t="s">
        <v>2274</v>
      </c>
      <c r="H552" s="4" t="s">
        <v>2301</v>
      </c>
      <c r="I552" s="5">
        <v>195800</v>
      </c>
      <c r="J552" s="3" t="s">
        <v>1110</v>
      </c>
      <c r="K552" s="3" t="s">
        <v>807</v>
      </c>
      <c r="L552" s="3" t="s">
        <v>1046</v>
      </c>
      <c r="M552" s="4" t="s">
        <v>2371</v>
      </c>
      <c r="N552" s="3" t="s">
        <v>25</v>
      </c>
      <c r="O552" s="3" t="s">
        <v>139</v>
      </c>
      <c r="P552" s="4" t="s">
        <v>2207</v>
      </c>
      <c r="Q552" s="3" t="s">
        <v>139</v>
      </c>
      <c r="R552" s="3" t="s">
        <v>215</v>
      </c>
      <c r="S552" s="4" t="s">
        <v>216</v>
      </c>
      <c r="U552" s="4" t="s">
        <v>139</v>
      </c>
      <c r="V552" s="4" t="s">
        <v>427</v>
      </c>
      <c r="W552" s="4" t="s">
        <v>428</v>
      </c>
      <c r="Y552" s="4" t="s">
        <v>2293</v>
      </c>
      <c r="Z552" s="4" t="s">
        <v>2293</v>
      </c>
      <c r="AB552" s="3"/>
      <c r="AC552" s="3"/>
      <c r="AD552" s="3" t="s">
        <v>200</v>
      </c>
      <c r="AE552" s="3">
        <v>1000</v>
      </c>
      <c r="AI552" s="4" t="s">
        <v>2298</v>
      </c>
      <c r="AJ552" s="4" t="s">
        <v>2298</v>
      </c>
      <c r="AK552" s="3" t="s">
        <v>2210</v>
      </c>
      <c r="AL552" s="4">
        <v>48301</v>
      </c>
      <c r="AM552" s="5">
        <v>195800</v>
      </c>
      <c r="AN552" s="4" t="s">
        <v>2282</v>
      </c>
      <c r="AO552" s="4">
        <v>99</v>
      </c>
      <c r="AP552" s="4">
        <v>80120000</v>
      </c>
    </row>
    <row r="553" spans="1:42" s="4" customFormat="1" x14ac:dyDescent="0.25">
      <c r="A553" s="3">
        <v>4604653</v>
      </c>
      <c r="B553" s="28">
        <v>41852</v>
      </c>
      <c r="C553" s="3" t="s">
        <v>2342</v>
      </c>
      <c r="D553" s="3">
        <v>10004448</v>
      </c>
      <c r="E553" s="4">
        <v>4534004</v>
      </c>
      <c r="F553" s="3" t="s">
        <v>49</v>
      </c>
      <c r="G553" s="4" t="s">
        <v>2300</v>
      </c>
      <c r="I553" s="5">
        <v>5000</v>
      </c>
      <c r="J553" s="3" t="s">
        <v>214</v>
      </c>
      <c r="K553" s="3" t="s">
        <v>807</v>
      </c>
      <c r="L553" s="3" t="s">
        <v>1046</v>
      </c>
      <c r="M553" s="4" t="s">
        <v>2375</v>
      </c>
      <c r="N553" s="3" t="s">
        <v>25</v>
      </c>
      <c r="O553" s="3" t="s">
        <v>139</v>
      </c>
      <c r="P553" s="4" t="s">
        <v>282</v>
      </c>
      <c r="Q553" s="3"/>
      <c r="R553" s="3"/>
      <c r="Y553" s="4" t="s">
        <v>2277</v>
      </c>
      <c r="Z553" s="4" t="s">
        <v>2293</v>
      </c>
      <c r="AB553" s="3"/>
      <c r="AC553" s="3"/>
      <c r="AD553" s="3" t="s">
        <v>2376</v>
      </c>
      <c r="AE553" s="3">
        <v>1000</v>
      </c>
      <c r="AI553" s="4" t="s">
        <v>2281</v>
      </c>
      <c r="AJ553" s="4" t="s">
        <v>2298</v>
      </c>
      <c r="AK553" s="3" t="s">
        <v>286</v>
      </c>
      <c r="AL553" s="4">
        <v>30080</v>
      </c>
      <c r="AM553" s="5">
        <v>5000</v>
      </c>
      <c r="AN553" s="4" t="s">
        <v>2282</v>
      </c>
    </row>
    <row r="554" spans="1:42" s="4" customFormat="1" x14ac:dyDescent="0.25">
      <c r="A554" s="3">
        <v>4604654</v>
      </c>
      <c r="B554" s="28">
        <v>41852</v>
      </c>
      <c r="C554" s="3" t="s">
        <v>2342</v>
      </c>
      <c r="D554" s="3">
        <v>10004449</v>
      </c>
      <c r="E554" s="4">
        <v>4534005</v>
      </c>
      <c r="F554" s="3" t="s">
        <v>49</v>
      </c>
      <c r="G554" s="4" t="s">
        <v>2300</v>
      </c>
      <c r="I554" s="5">
        <v>9000</v>
      </c>
      <c r="J554" s="3" t="s">
        <v>214</v>
      </c>
      <c r="K554" s="3" t="s">
        <v>807</v>
      </c>
      <c r="L554" s="3" t="s">
        <v>1046</v>
      </c>
      <c r="M554" s="4" t="s">
        <v>2377</v>
      </c>
      <c r="N554" s="3" t="s">
        <v>25</v>
      </c>
      <c r="O554" s="3" t="s">
        <v>139</v>
      </c>
      <c r="P554" s="4" t="s">
        <v>282</v>
      </c>
      <c r="Q554" s="3"/>
      <c r="R554" s="3"/>
      <c r="Y554" s="4" t="s">
        <v>2277</v>
      </c>
      <c r="Z554" s="4" t="s">
        <v>2293</v>
      </c>
      <c r="AB554" s="3"/>
      <c r="AC554" s="3"/>
      <c r="AD554" s="3" t="s">
        <v>2378</v>
      </c>
      <c r="AE554" s="3">
        <v>1000</v>
      </c>
      <c r="AI554" s="4" t="s">
        <v>2281</v>
      </c>
      <c r="AJ554" s="4" t="s">
        <v>2298</v>
      </c>
      <c r="AK554" s="3" t="s">
        <v>286</v>
      </c>
      <c r="AL554" s="4">
        <v>30080</v>
      </c>
      <c r="AM554" s="5">
        <v>9000</v>
      </c>
      <c r="AN554" s="4" t="s">
        <v>2282</v>
      </c>
    </row>
    <row r="555" spans="1:42" s="4" customFormat="1" x14ac:dyDescent="0.25">
      <c r="A555" s="3">
        <v>4604655</v>
      </c>
      <c r="B555" s="28">
        <v>41828</v>
      </c>
      <c r="C555" s="3" t="s">
        <v>2342</v>
      </c>
      <c r="D555" s="3">
        <v>10004450</v>
      </c>
      <c r="E555" s="4">
        <v>4534006</v>
      </c>
      <c r="F555" s="3" t="s">
        <v>49</v>
      </c>
      <c r="G555" s="4" t="s">
        <v>2300</v>
      </c>
      <c r="H555" s="4" t="s">
        <v>2380</v>
      </c>
      <c r="I555" s="5">
        <v>25824.2</v>
      </c>
      <c r="J555" s="3" t="s">
        <v>2379</v>
      </c>
      <c r="K555" s="3" t="s">
        <v>807</v>
      </c>
      <c r="L555" s="3" t="s">
        <v>1046</v>
      </c>
      <c r="M555" s="4" t="s">
        <v>2381</v>
      </c>
      <c r="N555" s="3" t="s">
        <v>25</v>
      </c>
      <c r="O555" s="3" t="s">
        <v>139</v>
      </c>
      <c r="P555" s="4" t="s">
        <v>282</v>
      </c>
      <c r="Q555" s="3" t="s">
        <v>139</v>
      </c>
      <c r="R555" s="3" t="s">
        <v>215</v>
      </c>
      <c r="S555" s="4" t="s">
        <v>216</v>
      </c>
      <c r="U555" s="4" t="s">
        <v>139</v>
      </c>
      <c r="V555" s="4" t="s">
        <v>427</v>
      </c>
      <c r="W555" s="4" t="s">
        <v>428</v>
      </c>
      <c r="Y555" s="4" t="s">
        <v>2277</v>
      </c>
      <c r="Z555" s="4" t="s">
        <v>2293</v>
      </c>
      <c r="AB555" s="3"/>
      <c r="AC555" s="3"/>
      <c r="AD555" s="3" t="s">
        <v>2097</v>
      </c>
      <c r="AE555" s="3">
        <v>1000</v>
      </c>
      <c r="AI555" s="4" t="s">
        <v>2281</v>
      </c>
      <c r="AJ555" s="4" t="s">
        <v>2298</v>
      </c>
      <c r="AK555" s="3" t="s">
        <v>286</v>
      </c>
      <c r="AL555" s="4">
        <v>30080</v>
      </c>
      <c r="AM555" s="5">
        <v>25824.2</v>
      </c>
      <c r="AN555" s="4" t="s">
        <v>2282</v>
      </c>
      <c r="AO555" s="4">
        <v>98</v>
      </c>
      <c r="AP555" s="4">
        <v>80120000</v>
      </c>
    </row>
    <row r="556" spans="1:42" s="4" customFormat="1" x14ac:dyDescent="0.25">
      <c r="A556" s="3">
        <v>4604674</v>
      </c>
      <c r="B556" s="28">
        <v>41872</v>
      </c>
      <c r="C556" s="3" t="s">
        <v>2342</v>
      </c>
      <c r="D556" s="3">
        <v>10004470</v>
      </c>
      <c r="E556" s="4">
        <v>4534025</v>
      </c>
      <c r="F556" s="3" t="s">
        <v>49</v>
      </c>
      <c r="G556" s="4" t="s">
        <v>2300</v>
      </c>
      <c r="I556" s="5">
        <v>8000</v>
      </c>
      <c r="J556" s="3" t="s">
        <v>191</v>
      </c>
      <c r="K556" s="3" t="s">
        <v>807</v>
      </c>
      <c r="L556" s="3" t="s">
        <v>1046</v>
      </c>
      <c r="M556" s="4" t="s">
        <v>2383</v>
      </c>
      <c r="N556" s="3" t="s">
        <v>25</v>
      </c>
      <c r="O556" s="3" t="s">
        <v>139</v>
      </c>
      <c r="P556" s="4" t="s">
        <v>282</v>
      </c>
      <c r="Q556" s="3"/>
      <c r="R556" s="3"/>
      <c r="Y556" s="4" t="s">
        <v>2293</v>
      </c>
      <c r="Z556" s="4" t="s">
        <v>2293</v>
      </c>
      <c r="AB556" s="3"/>
      <c r="AC556" s="3"/>
      <c r="AD556" s="3" t="s">
        <v>1608</v>
      </c>
      <c r="AE556" s="3">
        <v>1000</v>
      </c>
      <c r="AI556" s="4" t="s">
        <v>2298</v>
      </c>
      <c r="AJ556" s="4" t="s">
        <v>2298</v>
      </c>
      <c r="AK556" s="3" t="s">
        <v>286</v>
      </c>
      <c r="AL556" s="4">
        <v>30080</v>
      </c>
      <c r="AM556" s="5">
        <v>8000</v>
      </c>
      <c r="AN556" s="4" t="s">
        <v>2282</v>
      </c>
    </row>
    <row r="557" spans="1:42" s="4" customFormat="1" x14ac:dyDescent="0.25">
      <c r="A557" s="3">
        <v>4604676</v>
      </c>
      <c r="B557" s="28">
        <v>41872</v>
      </c>
      <c r="C557" s="3" t="s">
        <v>2342</v>
      </c>
      <c r="D557" s="3">
        <v>10004473</v>
      </c>
      <c r="E557" s="4">
        <v>4534027</v>
      </c>
      <c r="F557" s="3" t="s">
        <v>49</v>
      </c>
      <c r="G557" s="4" t="s">
        <v>2300</v>
      </c>
      <c r="H557" s="4" t="s">
        <v>2301</v>
      </c>
      <c r="I557" s="5">
        <v>15000</v>
      </c>
      <c r="J557" s="3" t="s">
        <v>191</v>
      </c>
      <c r="K557" s="3" t="s">
        <v>807</v>
      </c>
      <c r="L557" s="3" t="s">
        <v>1046</v>
      </c>
      <c r="M557" s="4" t="s">
        <v>2384</v>
      </c>
      <c r="N557" s="3" t="s">
        <v>25</v>
      </c>
      <c r="O557" s="3" t="s">
        <v>139</v>
      </c>
      <c r="P557" s="4" t="s">
        <v>282</v>
      </c>
      <c r="Q557" s="3" t="s">
        <v>139</v>
      </c>
      <c r="R557" s="3" t="s">
        <v>215</v>
      </c>
      <c r="S557" s="4" t="s">
        <v>216</v>
      </c>
      <c r="U557" s="4" t="s">
        <v>139</v>
      </c>
      <c r="V557" s="4" t="s">
        <v>427</v>
      </c>
      <c r="W557" s="4" t="s">
        <v>428</v>
      </c>
      <c r="Y557" s="4" t="s">
        <v>2293</v>
      </c>
      <c r="Z557" s="4" t="s">
        <v>2293</v>
      </c>
      <c r="AB557" s="3"/>
      <c r="AC557" s="3"/>
      <c r="AD557" s="3" t="s">
        <v>1608</v>
      </c>
      <c r="AE557" s="3">
        <v>1000</v>
      </c>
      <c r="AI557" s="4" t="s">
        <v>2298</v>
      </c>
      <c r="AJ557" s="4" t="s">
        <v>2298</v>
      </c>
      <c r="AK557" s="3" t="s">
        <v>286</v>
      </c>
      <c r="AL557" s="4">
        <v>30080</v>
      </c>
      <c r="AM557" s="5">
        <v>15000</v>
      </c>
      <c r="AN557" s="4" t="s">
        <v>2282</v>
      </c>
      <c r="AO557" s="4">
        <v>99</v>
      </c>
      <c r="AP557" s="4">
        <v>80120000</v>
      </c>
    </row>
    <row r="558" spans="1:42" s="4" customFormat="1" x14ac:dyDescent="0.25">
      <c r="A558" s="3">
        <v>4604698</v>
      </c>
      <c r="B558" s="28">
        <v>41892</v>
      </c>
      <c r="C558" s="3" t="s">
        <v>2342</v>
      </c>
      <c r="D558" s="3">
        <v>10004279</v>
      </c>
      <c r="E558" s="4">
        <v>4534049</v>
      </c>
      <c r="F558" s="3" t="s">
        <v>49</v>
      </c>
      <c r="G558" s="4" t="s">
        <v>2300</v>
      </c>
      <c r="H558" s="4" t="s">
        <v>2301</v>
      </c>
      <c r="I558" s="5">
        <v>65200</v>
      </c>
      <c r="J558" s="3" t="s">
        <v>1587</v>
      </c>
      <c r="K558" s="3" t="s">
        <v>395</v>
      </c>
      <c r="L558" s="3" t="s">
        <v>1046</v>
      </c>
      <c r="M558" s="4" t="s">
        <v>2385</v>
      </c>
      <c r="N558" s="3" t="s">
        <v>25</v>
      </c>
      <c r="O558" s="3"/>
      <c r="Q558" s="3" t="s">
        <v>139</v>
      </c>
      <c r="R558" s="3" t="s">
        <v>215</v>
      </c>
      <c r="S558" s="4" t="s">
        <v>216</v>
      </c>
      <c r="U558" s="4" t="s">
        <v>139</v>
      </c>
      <c r="V558" s="4" t="s">
        <v>427</v>
      </c>
      <c r="W558" s="4" t="s">
        <v>428</v>
      </c>
      <c r="Y558" s="4" t="s">
        <v>2277</v>
      </c>
      <c r="Z558" s="4" t="s">
        <v>2386</v>
      </c>
      <c r="AB558" s="3"/>
      <c r="AC558" s="3"/>
      <c r="AD558" s="3" t="s">
        <v>291</v>
      </c>
      <c r="AE558" s="3">
        <v>1000</v>
      </c>
      <c r="AI558" s="4" t="s">
        <v>2281</v>
      </c>
      <c r="AJ558" s="4" t="s">
        <v>2387</v>
      </c>
      <c r="AK558" s="3"/>
      <c r="AL558" s="4">
        <v>30080</v>
      </c>
      <c r="AM558" s="5">
        <v>65200</v>
      </c>
      <c r="AN558" s="4" t="s">
        <v>2282</v>
      </c>
      <c r="AO558" s="4">
        <v>99</v>
      </c>
      <c r="AP558" s="4">
        <v>80120000</v>
      </c>
    </row>
    <row r="559" spans="1:42" s="4" customFormat="1" x14ac:dyDescent="0.25">
      <c r="A559" s="3">
        <v>4604723</v>
      </c>
      <c r="B559" s="28">
        <v>41886</v>
      </c>
      <c r="C559" s="3" t="s">
        <v>2342</v>
      </c>
      <c r="D559" s="3">
        <v>10004515</v>
      </c>
      <c r="E559" s="4">
        <v>4534074</v>
      </c>
      <c r="F559" s="3" t="s">
        <v>49</v>
      </c>
      <c r="G559" s="4" t="s">
        <v>2389</v>
      </c>
      <c r="I559" s="5">
        <v>4000</v>
      </c>
      <c r="J559" s="3" t="s">
        <v>1623</v>
      </c>
      <c r="K559" s="3" t="s">
        <v>301</v>
      </c>
      <c r="L559" s="3" t="s">
        <v>1046</v>
      </c>
      <c r="M559" s="4" t="s">
        <v>2390</v>
      </c>
      <c r="N559" s="3" t="s">
        <v>25</v>
      </c>
      <c r="O559" s="3" t="s">
        <v>139</v>
      </c>
      <c r="P559" s="4" t="s">
        <v>282</v>
      </c>
      <c r="Q559" s="3"/>
      <c r="R559" s="3"/>
      <c r="Y559" s="4" t="s">
        <v>2386</v>
      </c>
      <c r="Z559" s="4" t="s">
        <v>2386</v>
      </c>
      <c r="AB559" s="3"/>
      <c r="AC559" s="3"/>
      <c r="AD559" s="3" t="s">
        <v>324</v>
      </c>
      <c r="AE559" s="3">
        <v>1000</v>
      </c>
      <c r="AI559" s="4" t="s">
        <v>2387</v>
      </c>
      <c r="AJ559" s="4" t="s">
        <v>2387</v>
      </c>
      <c r="AK559" s="3" t="s">
        <v>286</v>
      </c>
      <c r="AL559" s="4">
        <v>141806</v>
      </c>
      <c r="AM559" s="5">
        <v>4000</v>
      </c>
      <c r="AN559" s="4" t="s">
        <v>2282</v>
      </c>
    </row>
    <row r="560" spans="1:42" s="4" customFormat="1" x14ac:dyDescent="0.25">
      <c r="A560" s="3">
        <v>4604782</v>
      </c>
      <c r="B560" s="28">
        <v>41928</v>
      </c>
      <c r="C560" s="3" t="s">
        <v>2342</v>
      </c>
      <c r="D560" s="3">
        <v>10004581</v>
      </c>
      <c r="E560" s="4">
        <v>4534133</v>
      </c>
      <c r="F560" s="3" t="s">
        <v>49</v>
      </c>
      <c r="G560" s="4" t="s">
        <v>2391</v>
      </c>
      <c r="H560" s="4" t="s">
        <v>2301</v>
      </c>
      <c r="I560" s="5">
        <v>100000</v>
      </c>
      <c r="J560" s="3" t="s">
        <v>832</v>
      </c>
      <c r="K560" s="3" t="s">
        <v>77</v>
      </c>
      <c r="L560" s="3" t="s">
        <v>1046</v>
      </c>
      <c r="M560" s="4" t="s">
        <v>2392</v>
      </c>
      <c r="N560" s="3" t="s">
        <v>25</v>
      </c>
      <c r="O560" s="3" t="s">
        <v>139</v>
      </c>
      <c r="P560" s="4" t="s">
        <v>282</v>
      </c>
      <c r="Q560" s="3" t="s">
        <v>139</v>
      </c>
      <c r="R560" s="3" t="s">
        <v>427</v>
      </c>
      <c r="S560" s="4" t="s">
        <v>428</v>
      </c>
      <c r="U560" s="4" t="s">
        <v>139</v>
      </c>
      <c r="V560" s="4" t="s">
        <v>427</v>
      </c>
      <c r="W560" s="4" t="s">
        <v>428</v>
      </c>
      <c r="Y560" s="4" t="s">
        <v>2386</v>
      </c>
      <c r="Z560" s="4" t="s">
        <v>2386</v>
      </c>
      <c r="AB560" s="3"/>
      <c r="AC560" s="3"/>
      <c r="AD560" s="3" t="s">
        <v>2378</v>
      </c>
      <c r="AE560" s="3">
        <v>1000</v>
      </c>
      <c r="AI560" s="4" t="s">
        <v>2387</v>
      </c>
      <c r="AJ560" s="4" t="s">
        <v>2387</v>
      </c>
      <c r="AK560" s="3" t="s">
        <v>286</v>
      </c>
      <c r="AL560" s="4">
        <v>49172</v>
      </c>
      <c r="AM560" s="5">
        <v>100000</v>
      </c>
      <c r="AN560" s="4" t="s">
        <v>2282</v>
      </c>
      <c r="AO560" s="4">
        <v>99</v>
      </c>
      <c r="AP560" s="4">
        <v>80120000</v>
      </c>
    </row>
    <row r="561" spans="1:42" s="4" customFormat="1" x14ac:dyDescent="0.25">
      <c r="A561" s="3">
        <v>4604809</v>
      </c>
      <c r="B561" s="28">
        <v>41961</v>
      </c>
      <c r="C561" s="3" t="s">
        <v>2342</v>
      </c>
      <c r="D561" s="3">
        <v>10004609</v>
      </c>
      <c r="E561" s="4">
        <v>4534160</v>
      </c>
      <c r="F561" s="3" t="s">
        <v>49</v>
      </c>
      <c r="G561" s="4" t="s">
        <v>2300</v>
      </c>
      <c r="I561" s="5">
        <v>5634.75</v>
      </c>
      <c r="J561" s="3" t="s">
        <v>1134</v>
      </c>
      <c r="K561" s="3" t="s">
        <v>2378</v>
      </c>
      <c r="L561" s="3" t="s">
        <v>1046</v>
      </c>
      <c r="M561" s="4" t="s">
        <v>2393</v>
      </c>
      <c r="N561" s="3" t="s">
        <v>56</v>
      </c>
      <c r="O561" s="3" t="s">
        <v>139</v>
      </c>
      <c r="P561" s="4" t="s">
        <v>282</v>
      </c>
      <c r="Q561" s="3"/>
      <c r="R561" s="3"/>
      <c r="Y561" s="4" t="s">
        <v>2394</v>
      </c>
      <c r="Z561" s="4" t="s">
        <v>2394</v>
      </c>
      <c r="AB561" s="3"/>
      <c r="AC561" s="3"/>
      <c r="AD561" s="3" t="s">
        <v>1964</v>
      </c>
      <c r="AE561" s="3">
        <v>1000</v>
      </c>
      <c r="AI561" s="4" t="s">
        <v>2395</v>
      </c>
      <c r="AJ561" s="4" t="s">
        <v>2395</v>
      </c>
      <c r="AK561" s="3" t="s">
        <v>286</v>
      </c>
      <c r="AL561" s="4">
        <v>30080</v>
      </c>
      <c r="AM561" s="5">
        <v>5634.75</v>
      </c>
      <c r="AN561" s="4" t="s">
        <v>2282</v>
      </c>
    </row>
    <row r="562" spans="1:42" s="4" customFormat="1" x14ac:dyDescent="0.25">
      <c r="A562" s="3">
        <v>4604872</v>
      </c>
      <c r="B562" s="28">
        <v>42020</v>
      </c>
      <c r="C562" s="3" t="s">
        <v>2342</v>
      </c>
      <c r="D562" s="3">
        <v>10004691</v>
      </c>
      <c r="E562" s="4">
        <v>4534223</v>
      </c>
      <c r="F562" s="3" t="s">
        <v>49</v>
      </c>
      <c r="G562" s="4" t="s">
        <v>2398</v>
      </c>
      <c r="I562" s="5">
        <v>6600</v>
      </c>
      <c r="J562" s="3" t="s">
        <v>1788</v>
      </c>
      <c r="K562" s="3" t="s">
        <v>299</v>
      </c>
      <c r="L562" s="3" t="s">
        <v>1046</v>
      </c>
      <c r="M562" s="4" t="s">
        <v>2399</v>
      </c>
      <c r="N562" s="3" t="s">
        <v>25</v>
      </c>
      <c r="O562" s="3" t="s">
        <v>139</v>
      </c>
      <c r="P562" s="4" t="s">
        <v>282</v>
      </c>
      <c r="Q562" s="3"/>
      <c r="R562" s="3"/>
      <c r="Y562" s="4" t="s">
        <v>2386</v>
      </c>
      <c r="Z562" s="4" t="s">
        <v>2386</v>
      </c>
      <c r="AB562" s="3"/>
      <c r="AC562" s="3"/>
      <c r="AD562" s="3" t="s">
        <v>486</v>
      </c>
      <c r="AE562" s="3">
        <v>1000</v>
      </c>
      <c r="AI562" s="4" t="s">
        <v>2387</v>
      </c>
      <c r="AJ562" s="4" t="s">
        <v>2387</v>
      </c>
      <c r="AK562" s="3" t="s">
        <v>286</v>
      </c>
      <c r="AL562" s="4">
        <v>47274</v>
      </c>
      <c r="AM562" s="5">
        <v>6600</v>
      </c>
      <c r="AN562" s="4" t="s">
        <v>2282</v>
      </c>
    </row>
    <row r="563" spans="1:42" s="4" customFormat="1" x14ac:dyDescent="0.25">
      <c r="A563" s="3">
        <v>4604891</v>
      </c>
      <c r="B563" s="28">
        <v>42076</v>
      </c>
      <c r="C563" s="3" t="s">
        <v>2342</v>
      </c>
      <c r="D563" s="3">
        <v>10004705</v>
      </c>
      <c r="E563" s="4">
        <v>4534242</v>
      </c>
      <c r="F563" s="3" t="s">
        <v>49</v>
      </c>
      <c r="G563" s="4" t="s">
        <v>2300</v>
      </c>
      <c r="H563" s="4" t="s">
        <v>2301</v>
      </c>
      <c r="I563" s="5">
        <v>7748.3</v>
      </c>
      <c r="J563" s="3" t="s">
        <v>455</v>
      </c>
      <c r="K563" s="3" t="s">
        <v>77</v>
      </c>
      <c r="L563" s="3" t="s">
        <v>1046</v>
      </c>
      <c r="M563" s="4" t="s">
        <v>2400</v>
      </c>
      <c r="N563" s="3" t="s">
        <v>25</v>
      </c>
      <c r="O563" s="3" t="s">
        <v>139</v>
      </c>
      <c r="P563" s="4" t="s">
        <v>282</v>
      </c>
      <c r="Q563" s="3" t="s">
        <v>139</v>
      </c>
      <c r="R563" s="3" t="s">
        <v>427</v>
      </c>
      <c r="S563" s="4" t="s">
        <v>428</v>
      </c>
      <c r="U563" s="4" t="s">
        <v>139</v>
      </c>
      <c r="V563" s="4" t="s">
        <v>427</v>
      </c>
      <c r="W563" s="4" t="s">
        <v>428</v>
      </c>
      <c r="Y563" s="4" t="s">
        <v>2277</v>
      </c>
      <c r="Z563" s="4" t="s">
        <v>2386</v>
      </c>
      <c r="AB563" s="3"/>
      <c r="AC563" s="3"/>
      <c r="AD563" s="3" t="s">
        <v>535</v>
      </c>
      <c r="AE563" s="3">
        <v>1000</v>
      </c>
      <c r="AI563" s="4" t="s">
        <v>2281</v>
      </c>
      <c r="AJ563" s="4" t="s">
        <v>2387</v>
      </c>
      <c r="AK563" s="3" t="s">
        <v>286</v>
      </c>
      <c r="AL563" s="4">
        <v>30080</v>
      </c>
      <c r="AM563" s="5">
        <v>7748.3</v>
      </c>
      <c r="AN563" s="4" t="s">
        <v>2282</v>
      </c>
      <c r="AO563" s="4">
        <v>99</v>
      </c>
      <c r="AP563" s="4">
        <v>80120000</v>
      </c>
    </row>
    <row r="564" spans="1:42" s="4" customFormat="1" x14ac:dyDescent="0.25">
      <c r="A564" s="3">
        <v>4604901</v>
      </c>
      <c r="B564" s="28">
        <v>42075</v>
      </c>
      <c r="C564" s="3" t="s">
        <v>2342</v>
      </c>
      <c r="D564" s="3">
        <v>10004720</v>
      </c>
      <c r="E564" s="4">
        <v>4534252</v>
      </c>
      <c r="F564" s="3" t="s">
        <v>49</v>
      </c>
      <c r="G564" s="4" t="s">
        <v>2364</v>
      </c>
      <c r="H564" s="4" t="s">
        <v>2301</v>
      </c>
      <c r="I564" s="5">
        <v>101000</v>
      </c>
      <c r="J564" s="3" t="s">
        <v>486</v>
      </c>
      <c r="K564" s="3" t="s">
        <v>77</v>
      </c>
      <c r="L564" s="3" t="s">
        <v>1046</v>
      </c>
      <c r="M564" s="4" t="s">
        <v>2401</v>
      </c>
      <c r="N564" s="3" t="s">
        <v>25</v>
      </c>
      <c r="O564" s="3" t="s">
        <v>139</v>
      </c>
      <c r="P564" s="4" t="s">
        <v>282</v>
      </c>
      <c r="Q564" s="3" t="s">
        <v>139</v>
      </c>
      <c r="R564" s="3" t="s">
        <v>427</v>
      </c>
      <c r="S564" s="4" t="s">
        <v>428</v>
      </c>
      <c r="U564" s="4" t="s">
        <v>139</v>
      </c>
      <c r="V564" s="4" t="s">
        <v>427</v>
      </c>
      <c r="W564" s="4" t="s">
        <v>428</v>
      </c>
      <c r="Y564" s="4" t="s">
        <v>2402</v>
      </c>
      <c r="Z564" s="4" t="s">
        <v>2386</v>
      </c>
      <c r="AB564" s="3"/>
      <c r="AC564" s="3"/>
      <c r="AD564" s="3" t="s">
        <v>534</v>
      </c>
      <c r="AE564" s="3">
        <v>1000</v>
      </c>
      <c r="AI564" s="4" t="s">
        <v>2403</v>
      </c>
      <c r="AJ564" s="4" t="s">
        <v>2387</v>
      </c>
      <c r="AK564" s="3" t="s">
        <v>286</v>
      </c>
      <c r="AL564" s="4">
        <v>141746</v>
      </c>
      <c r="AM564" s="5">
        <v>101000</v>
      </c>
      <c r="AN564" s="4" t="s">
        <v>2282</v>
      </c>
      <c r="AO564" s="4">
        <v>99</v>
      </c>
      <c r="AP564" s="4">
        <v>80120000</v>
      </c>
    </row>
    <row r="565" spans="1:42" s="4" customFormat="1" x14ac:dyDescent="0.25">
      <c r="A565" s="3">
        <v>4604987</v>
      </c>
      <c r="B565" s="28">
        <v>42076</v>
      </c>
      <c r="C565" s="3" t="s">
        <v>2342</v>
      </c>
      <c r="D565" s="3">
        <v>10004751</v>
      </c>
      <c r="E565" s="4">
        <v>4534338</v>
      </c>
      <c r="F565" s="3" t="s">
        <v>49</v>
      </c>
      <c r="G565" s="4" t="s">
        <v>2408</v>
      </c>
      <c r="H565" s="4" t="s">
        <v>2301</v>
      </c>
      <c r="I565" s="5">
        <v>45000</v>
      </c>
      <c r="J565" s="3" t="s">
        <v>441</v>
      </c>
      <c r="K565" s="3" t="s">
        <v>77</v>
      </c>
      <c r="L565" s="3" t="s">
        <v>1046</v>
      </c>
      <c r="M565" s="4" t="s">
        <v>2409</v>
      </c>
      <c r="N565" s="3" t="s">
        <v>25</v>
      </c>
      <c r="O565" s="3" t="s">
        <v>139</v>
      </c>
      <c r="P565" s="4" t="s">
        <v>282</v>
      </c>
      <c r="Q565" s="3" t="s">
        <v>139</v>
      </c>
      <c r="R565" s="3" t="s">
        <v>427</v>
      </c>
      <c r="S565" s="4" t="s">
        <v>428</v>
      </c>
      <c r="U565" s="4" t="s">
        <v>139</v>
      </c>
      <c r="V565" s="4" t="s">
        <v>427</v>
      </c>
      <c r="W565" s="4" t="s">
        <v>428</v>
      </c>
      <c r="Y565" s="4" t="s">
        <v>2277</v>
      </c>
      <c r="Z565" s="4" t="s">
        <v>2386</v>
      </c>
      <c r="AB565" s="3"/>
      <c r="AC565" s="3"/>
      <c r="AD565" s="3" t="s">
        <v>377</v>
      </c>
      <c r="AE565" s="3">
        <v>1000</v>
      </c>
      <c r="AI565" s="4" t="s">
        <v>2281</v>
      </c>
      <c r="AJ565" s="4" t="s">
        <v>2387</v>
      </c>
      <c r="AK565" s="3" t="s">
        <v>286</v>
      </c>
      <c r="AL565" s="4">
        <v>141902</v>
      </c>
      <c r="AM565" s="5">
        <v>45000</v>
      </c>
      <c r="AN565" s="4" t="s">
        <v>2282</v>
      </c>
      <c r="AO565" s="4">
        <v>99</v>
      </c>
      <c r="AP565" s="4">
        <v>80120000</v>
      </c>
    </row>
    <row r="566" spans="1:42" s="4" customFormat="1" x14ac:dyDescent="0.25">
      <c r="A566" s="3">
        <v>4605011</v>
      </c>
      <c r="B566" s="28">
        <v>42369</v>
      </c>
      <c r="C566" s="3" t="s">
        <v>2342</v>
      </c>
      <c r="D566" s="3">
        <v>10004860</v>
      </c>
      <c r="E566" s="4">
        <v>4534362</v>
      </c>
      <c r="F566" s="3" t="s">
        <v>49</v>
      </c>
      <c r="G566" s="4" t="s">
        <v>2300</v>
      </c>
      <c r="I566" s="5">
        <v>4000</v>
      </c>
      <c r="J566" s="3" t="s">
        <v>377</v>
      </c>
      <c r="K566" s="3" t="s">
        <v>1862</v>
      </c>
      <c r="L566" s="3" t="s">
        <v>1046</v>
      </c>
      <c r="M566" s="4" t="s">
        <v>2410</v>
      </c>
      <c r="N566" s="3" t="s">
        <v>25</v>
      </c>
      <c r="O566" s="3" t="s">
        <v>139</v>
      </c>
      <c r="P566" s="4" t="s">
        <v>282</v>
      </c>
      <c r="Q566" s="3"/>
      <c r="R566" s="3"/>
      <c r="Y566" s="4" t="s">
        <v>2277</v>
      </c>
      <c r="Z566" s="4" t="s">
        <v>2386</v>
      </c>
      <c r="AB566" s="3"/>
      <c r="AC566" s="3"/>
      <c r="AD566" s="3" t="s">
        <v>376</v>
      </c>
      <c r="AE566" s="3">
        <v>1000</v>
      </c>
      <c r="AI566" s="4" t="s">
        <v>2281</v>
      </c>
      <c r="AJ566" s="4" t="s">
        <v>2387</v>
      </c>
      <c r="AK566" s="3" t="s">
        <v>286</v>
      </c>
      <c r="AL566" s="4">
        <v>30080</v>
      </c>
      <c r="AM566" s="5">
        <v>4000</v>
      </c>
      <c r="AN566" s="4" t="s">
        <v>2282</v>
      </c>
    </row>
    <row r="567" spans="1:42" s="4" customFormat="1" x14ac:dyDescent="0.25">
      <c r="A567" s="3">
        <v>4605047</v>
      </c>
      <c r="B567" s="28">
        <v>42156</v>
      </c>
      <c r="C567" s="3" t="s">
        <v>2342</v>
      </c>
      <c r="D567" s="3">
        <v>10004898</v>
      </c>
      <c r="E567" s="4">
        <v>4534398</v>
      </c>
      <c r="F567" s="3" t="s">
        <v>49</v>
      </c>
      <c r="G567" s="4" t="s">
        <v>2300</v>
      </c>
      <c r="I567" s="5">
        <v>5000</v>
      </c>
      <c r="J567" s="3" t="s">
        <v>377</v>
      </c>
      <c r="K567" s="3" t="s">
        <v>77</v>
      </c>
      <c r="L567" s="3" t="s">
        <v>1046</v>
      </c>
      <c r="M567" s="4" t="s">
        <v>2413</v>
      </c>
      <c r="N567" s="3" t="s">
        <v>25</v>
      </c>
      <c r="O567" s="3" t="s">
        <v>139</v>
      </c>
      <c r="P567" s="4" t="s">
        <v>282</v>
      </c>
      <c r="Q567" s="3"/>
      <c r="R567" s="3"/>
      <c r="Y567" s="4" t="s">
        <v>2277</v>
      </c>
      <c r="Z567" s="4" t="s">
        <v>2386</v>
      </c>
      <c r="AB567" s="3"/>
      <c r="AC567" s="3"/>
      <c r="AD567" s="3" t="s">
        <v>77</v>
      </c>
      <c r="AE567" s="3">
        <v>1000</v>
      </c>
      <c r="AI567" s="4" t="s">
        <v>2281</v>
      </c>
      <c r="AJ567" s="4" t="s">
        <v>2387</v>
      </c>
      <c r="AK567" s="3" t="s">
        <v>286</v>
      </c>
      <c r="AL567" s="4">
        <v>30080</v>
      </c>
      <c r="AM567" s="5">
        <v>5000</v>
      </c>
      <c r="AN567" s="4" t="s">
        <v>2282</v>
      </c>
    </row>
    <row r="568" spans="1:42" s="4" customFormat="1" x14ac:dyDescent="0.25">
      <c r="A568" s="3">
        <v>4605075</v>
      </c>
      <c r="B568" s="28">
        <v>42171</v>
      </c>
      <c r="C568" s="3" t="s">
        <v>2342</v>
      </c>
      <c r="D568" s="3">
        <v>10004935</v>
      </c>
      <c r="E568" s="4">
        <v>4534426</v>
      </c>
      <c r="F568" s="3" t="s">
        <v>49</v>
      </c>
      <c r="G568" s="4" t="s">
        <v>2300</v>
      </c>
      <c r="I568" s="5">
        <v>5000</v>
      </c>
      <c r="J568" s="3" t="s">
        <v>317</v>
      </c>
      <c r="K568" s="3" t="s">
        <v>1713</v>
      </c>
      <c r="L568" s="3" t="s">
        <v>1046</v>
      </c>
      <c r="M568" s="4" t="s">
        <v>2414</v>
      </c>
      <c r="N568" s="3" t="s">
        <v>25</v>
      </c>
      <c r="O568" s="3" t="s">
        <v>139</v>
      </c>
      <c r="P568" s="4" t="s">
        <v>282</v>
      </c>
      <c r="Q568" s="3"/>
      <c r="R568" s="3"/>
      <c r="Y568" s="4" t="s">
        <v>2277</v>
      </c>
      <c r="Z568" s="4" t="s">
        <v>2386</v>
      </c>
      <c r="AB568" s="3"/>
      <c r="AC568" s="3"/>
      <c r="AD568" s="3" t="s">
        <v>1481</v>
      </c>
      <c r="AE568" s="3">
        <v>1000</v>
      </c>
      <c r="AI568" s="4" t="s">
        <v>2281</v>
      </c>
      <c r="AJ568" s="4" t="s">
        <v>2387</v>
      </c>
      <c r="AK568" s="3" t="s">
        <v>286</v>
      </c>
      <c r="AL568" s="4">
        <v>30080</v>
      </c>
      <c r="AM568" s="5">
        <v>5000</v>
      </c>
      <c r="AN568" s="4" t="s">
        <v>2282</v>
      </c>
    </row>
    <row r="569" spans="1:42" s="4" customFormat="1" x14ac:dyDescent="0.25">
      <c r="A569" s="3">
        <v>4603170</v>
      </c>
      <c r="B569" s="28">
        <v>41806</v>
      </c>
      <c r="C569" s="3" t="s">
        <v>1042</v>
      </c>
      <c r="D569" s="3">
        <v>10003021</v>
      </c>
      <c r="E569" s="4">
        <v>4532521</v>
      </c>
      <c r="F569" s="3" t="s">
        <v>49</v>
      </c>
      <c r="G569" s="4" t="s">
        <v>1111</v>
      </c>
      <c r="H569" s="4" t="s">
        <v>1112</v>
      </c>
      <c r="I569" s="5">
        <v>27375</v>
      </c>
      <c r="J569" s="3" t="s">
        <v>1113</v>
      </c>
      <c r="K569" s="3" t="s">
        <v>1114</v>
      </c>
      <c r="L569" s="3" t="s">
        <v>1115</v>
      </c>
      <c r="M569" s="4" t="s">
        <v>1116</v>
      </c>
      <c r="N569" s="3" t="s">
        <v>25</v>
      </c>
      <c r="O569" s="3"/>
      <c r="Q569" s="3"/>
      <c r="R569" s="3"/>
      <c r="Y569" s="4" t="s">
        <v>1056</v>
      </c>
      <c r="Z569" s="4" t="s">
        <v>1090</v>
      </c>
      <c r="AB569" s="3"/>
      <c r="AC569" s="3"/>
      <c r="AD569" s="3" t="s">
        <v>1117</v>
      </c>
      <c r="AE569" s="3">
        <v>1000</v>
      </c>
      <c r="AI569" s="4" t="s">
        <v>1058</v>
      </c>
      <c r="AJ569" s="4" t="s">
        <v>1091</v>
      </c>
      <c r="AK569" s="3"/>
      <c r="AL569" s="4">
        <v>30004</v>
      </c>
      <c r="AM569" s="5">
        <v>27375</v>
      </c>
      <c r="AN569" s="4" t="s">
        <v>124</v>
      </c>
      <c r="AO569" s="4">
        <v>99</v>
      </c>
      <c r="AP569" s="4">
        <v>83120000</v>
      </c>
    </row>
    <row r="570" spans="1:42" s="4" customFormat="1" x14ac:dyDescent="0.25">
      <c r="A570" s="3">
        <v>4603668</v>
      </c>
      <c r="B570" s="28">
        <v>42142</v>
      </c>
      <c r="C570" s="3" t="s">
        <v>1042</v>
      </c>
      <c r="D570" s="3">
        <v>10003498</v>
      </c>
      <c r="E570" s="4">
        <v>4533019</v>
      </c>
      <c r="F570" s="3" t="s">
        <v>49</v>
      </c>
      <c r="G570" s="4" t="s">
        <v>929</v>
      </c>
      <c r="H570" s="4" t="s">
        <v>1162</v>
      </c>
      <c r="I570" s="5">
        <v>296034</v>
      </c>
      <c r="J570" s="3" t="s">
        <v>247</v>
      </c>
      <c r="K570" s="3" t="s">
        <v>575</v>
      </c>
      <c r="L570" s="3" t="s">
        <v>1115</v>
      </c>
      <c r="M570" s="4" t="s">
        <v>1163</v>
      </c>
      <c r="N570" s="3" t="s">
        <v>25</v>
      </c>
      <c r="O570" s="3"/>
      <c r="Q570" s="3"/>
      <c r="R570" s="3"/>
      <c r="Y570" s="4" t="s">
        <v>1079</v>
      </c>
      <c r="Z570" s="4" t="s">
        <v>1090</v>
      </c>
      <c r="AB570" s="3"/>
      <c r="AC570" s="3"/>
      <c r="AD570" s="3" t="s">
        <v>516</v>
      </c>
      <c r="AE570" s="3">
        <v>1000</v>
      </c>
      <c r="AI570" s="4" t="s">
        <v>1083</v>
      </c>
      <c r="AJ570" s="4" t="s">
        <v>1091</v>
      </c>
      <c r="AK570" s="3"/>
      <c r="AL570" s="4">
        <v>140851</v>
      </c>
      <c r="AM570" s="5">
        <v>296034</v>
      </c>
      <c r="AN570" s="4" t="s">
        <v>124</v>
      </c>
      <c r="AO570" s="4">
        <v>99</v>
      </c>
      <c r="AP570" s="4">
        <v>80131500</v>
      </c>
    </row>
    <row r="571" spans="1:42" s="4" customFormat="1" x14ac:dyDescent="0.25">
      <c r="A571" s="3">
        <v>4604705</v>
      </c>
      <c r="B571" s="28">
        <v>42077</v>
      </c>
      <c r="C571" s="3" t="s">
        <v>1042</v>
      </c>
      <c r="D571" s="3">
        <v>10003002</v>
      </c>
      <c r="E571" s="4">
        <v>4534056</v>
      </c>
      <c r="F571" s="3" t="s">
        <v>49</v>
      </c>
      <c r="G571" s="4" t="s">
        <v>1273</v>
      </c>
      <c r="H571" s="4" t="s">
        <v>1274</v>
      </c>
      <c r="I571" s="5">
        <v>19738418.68</v>
      </c>
      <c r="J571" s="3" t="s">
        <v>1275</v>
      </c>
      <c r="K571" s="3" t="s">
        <v>1276</v>
      </c>
      <c r="L571" s="3" t="s">
        <v>1115</v>
      </c>
      <c r="M571" s="4" t="s">
        <v>1274</v>
      </c>
      <c r="N571" s="3" t="s">
        <v>25</v>
      </c>
      <c r="O571" s="3"/>
      <c r="Q571" s="3"/>
      <c r="R571" s="3"/>
      <c r="Y571" s="4" t="s">
        <v>1079</v>
      </c>
      <c r="Z571" s="4" t="s">
        <v>540</v>
      </c>
      <c r="AB571" s="3"/>
      <c r="AC571" s="3"/>
      <c r="AD571" s="3" t="s">
        <v>441</v>
      </c>
      <c r="AE571" s="3">
        <v>1000</v>
      </c>
      <c r="AI571" s="4" t="s">
        <v>1083</v>
      </c>
      <c r="AJ571" s="4" t="s">
        <v>542</v>
      </c>
      <c r="AK571" s="3"/>
      <c r="AL571" s="4">
        <v>141802</v>
      </c>
      <c r="AM571" s="5">
        <v>19738418.68</v>
      </c>
      <c r="AN571" s="4" t="s">
        <v>124</v>
      </c>
      <c r="AO571" s="4">
        <v>99</v>
      </c>
    </row>
    <row r="572" spans="1:42" ht="18.75" x14ac:dyDescent="0.25">
      <c r="E572" s="7" t="s">
        <v>2451</v>
      </c>
      <c r="F572" s="8">
        <f>COUNT(E3:E571)</f>
        <v>569</v>
      </c>
      <c r="I572" s="15">
        <f>SUM(I3:I571)</f>
        <v>426004026.28000021</v>
      </c>
    </row>
    <row r="574" spans="1:42" ht="18.75" x14ac:dyDescent="0.3">
      <c r="E574" s="17" t="s">
        <v>2457</v>
      </c>
      <c r="F574" s="8">
        <f>SUM(COUNTIF(L3:L571,"OT"),(COUNTIF(L3:L571,"OS")))</f>
        <v>269</v>
      </c>
      <c r="G574" s="19">
        <f>F574/F577</f>
        <v>0.47275922671353249</v>
      </c>
      <c r="H574" s="17" t="str">
        <f>E574</f>
        <v>Open Tender:</v>
      </c>
      <c r="I574" s="15">
        <f>SUM(I251:I519)</f>
        <v>350408080.68000019</v>
      </c>
      <c r="J574" s="19">
        <f>I574/I577</f>
        <v>0.82254640581656624</v>
      </c>
    </row>
    <row r="575" spans="1:42" ht="18.75" x14ac:dyDescent="0.3">
      <c r="E575" s="17" t="s">
        <v>2458</v>
      </c>
      <c r="F575" s="8">
        <f>COUNTIF(L3:L571,"LT")</f>
        <v>248</v>
      </c>
      <c r="G575" s="19">
        <f>F575/F577</f>
        <v>0.43585237258347981</v>
      </c>
      <c r="H575" s="17" t="str">
        <f>E575</f>
        <v>Limited Tender:</v>
      </c>
      <c r="I575" s="15">
        <f>SUM(I3:I250)</f>
        <v>39952015.050000004</v>
      </c>
      <c r="J575" s="19">
        <f>I575/I577</f>
        <v>9.3783186508525379E-2</v>
      </c>
    </row>
    <row r="576" spans="1:42" ht="18.75" x14ac:dyDescent="0.3">
      <c r="E576" s="17" t="s">
        <v>2459</v>
      </c>
      <c r="F576" s="9">
        <f>SUM(COUNTIF(L3:L571,"PT"),(COUNTIF(L3:L571,"SS")))</f>
        <v>52</v>
      </c>
      <c r="G576" s="19">
        <f>F576/F577</f>
        <v>9.1388400702987704E-2</v>
      </c>
      <c r="H576" s="17" t="str">
        <f>E576</f>
        <v>Prequalified Tender:</v>
      </c>
      <c r="I576" s="20">
        <f>SUM(I520:I571)</f>
        <v>35643930.549999997</v>
      </c>
      <c r="J576" s="21">
        <f>I576/I577</f>
        <v>8.3670407674908368E-2</v>
      </c>
    </row>
    <row r="577" spans="5:11" ht="18.75" x14ac:dyDescent="0.3">
      <c r="F577" s="8">
        <f>SUM(F574:F576)</f>
        <v>569</v>
      </c>
      <c r="G577" s="19">
        <f>SUM(G574:G576)</f>
        <v>1</v>
      </c>
      <c r="I577" s="15">
        <f>SUM(I574:I576)</f>
        <v>426004026.28000021</v>
      </c>
      <c r="J577" s="19">
        <f>SUM(J574:J576)</f>
        <v>1</v>
      </c>
    </row>
    <row r="579" spans="5:11" ht="18.75" x14ac:dyDescent="0.3">
      <c r="E579" s="17" t="s">
        <v>2461</v>
      </c>
      <c r="F579" s="8">
        <f>COUNTIF(O3:O571,"X")</f>
        <v>92</v>
      </c>
      <c r="G579" s="19">
        <f>F579/F577</f>
        <v>0.16168717047451669</v>
      </c>
      <c r="H579" s="17" t="str">
        <f>E579</f>
        <v>Consultancies:</v>
      </c>
      <c r="I579" s="15">
        <f>Consultancies!I95</f>
        <v>18099369.27</v>
      </c>
      <c r="J579" s="22">
        <f>I579/I577</f>
        <v>4.2486380769800061E-2</v>
      </c>
      <c r="K579" s="23" t="s">
        <v>2463</v>
      </c>
    </row>
    <row r="580" spans="5:11" ht="18.75" x14ac:dyDescent="0.3">
      <c r="F580" s="18"/>
      <c r="G580" s="23" t="s">
        <v>2463</v>
      </c>
    </row>
  </sheetData>
  <sortState ref="A3:AP571">
    <sortCondition ref="L3:L571"/>
  </sortState>
  <mergeCells count="1">
    <mergeCell ref="A1:AP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5"/>
  <sheetViews>
    <sheetView topLeftCell="A76" workbookViewId="0">
      <selection sqref="A1:XFD2"/>
    </sheetView>
  </sheetViews>
  <sheetFormatPr defaultRowHeight="15" x14ac:dyDescent="0.25"/>
  <cols>
    <col min="1" max="2" width="10.7109375" customWidth="1"/>
    <col min="3" max="3" width="20.140625" bestFit="1" customWidth="1"/>
    <col min="4" max="5" width="10.85546875" bestFit="1" customWidth="1"/>
    <col min="6" max="6" width="12.5703125" bestFit="1" customWidth="1"/>
    <col min="7" max="7" width="41.140625" bestFit="1" customWidth="1"/>
    <col min="8" max="8" width="94.7109375" bestFit="1" customWidth="1"/>
    <col min="9" max="9" width="15.7109375" customWidth="1"/>
    <col min="10" max="12" width="10.7109375" customWidth="1"/>
    <col min="13" max="13" width="42.7109375" customWidth="1"/>
    <col min="14" max="14" width="20.7109375" customWidth="1"/>
    <col min="15" max="15" width="11.7109375" customWidth="1"/>
    <col min="16" max="16" width="43" bestFit="1" customWidth="1"/>
    <col min="17" max="18" width="14.7109375" customWidth="1"/>
    <col min="19" max="19" width="32.5703125" bestFit="1" customWidth="1"/>
    <col min="21" max="22" width="8.42578125" bestFit="1" customWidth="1"/>
    <col min="23" max="23" width="19.5703125" bestFit="1" customWidth="1"/>
    <col min="24" max="24" width="69.5703125" bestFit="1" customWidth="1"/>
    <col min="25" max="26" width="24" bestFit="1" customWidth="1"/>
    <col min="27" max="27" width="40.28515625" bestFit="1" customWidth="1"/>
    <col min="28" max="28" width="19.42578125" bestFit="1" customWidth="1"/>
    <col min="29" max="29" width="11.85546875" bestFit="1" customWidth="1"/>
    <col min="30" max="30" width="10.7109375" customWidth="1"/>
    <col min="35" max="36" width="15.7109375" bestFit="1" customWidth="1"/>
    <col min="37" max="37" width="11.7109375" customWidth="1"/>
    <col min="38" max="38" width="12" bestFit="1" customWidth="1"/>
    <col min="39" max="39" width="15.7109375" customWidth="1"/>
    <col min="40" max="40" width="12.7109375" bestFit="1" customWidth="1"/>
    <col min="41" max="41" width="11.7109375" customWidth="1"/>
    <col min="43" max="43" width="15.7109375" customWidth="1"/>
  </cols>
  <sheetData>
    <row r="1" spans="1:43" ht="18.75" x14ac:dyDescent="0.25">
      <c r="A1" s="48" t="s">
        <v>2462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</row>
    <row r="2" spans="1:43" s="1" customFormat="1" ht="60" x14ac:dyDescent="0.25">
      <c r="A2" s="2" t="s">
        <v>2427</v>
      </c>
      <c r="B2" s="2" t="s">
        <v>2428</v>
      </c>
      <c r="C2" s="2" t="s">
        <v>2429</v>
      </c>
      <c r="D2" s="2" t="s">
        <v>2430</v>
      </c>
      <c r="E2" s="2" t="s">
        <v>2431</v>
      </c>
      <c r="F2" s="2" t="s">
        <v>2432</v>
      </c>
      <c r="G2" s="2" t="s">
        <v>0</v>
      </c>
      <c r="H2" s="2" t="s">
        <v>1</v>
      </c>
      <c r="I2" s="2" t="s">
        <v>2433</v>
      </c>
      <c r="J2" s="2" t="s">
        <v>2434</v>
      </c>
      <c r="K2" s="2" t="s">
        <v>2435</v>
      </c>
      <c r="L2" s="2" t="s">
        <v>2436</v>
      </c>
      <c r="M2" s="2" t="s">
        <v>2</v>
      </c>
      <c r="N2" s="2" t="s">
        <v>3</v>
      </c>
      <c r="O2" s="2" t="s">
        <v>2437</v>
      </c>
      <c r="P2" s="2" t="s">
        <v>4</v>
      </c>
      <c r="Q2" s="2" t="s">
        <v>2438</v>
      </c>
      <c r="R2" s="2" t="s">
        <v>2439</v>
      </c>
      <c r="S2" s="2" t="s">
        <v>2440</v>
      </c>
      <c r="T2" s="2" t="s">
        <v>6</v>
      </c>
      <c r="U2" s="2" t="s">
        <v>6</v>
      </c>
      <c r="V2" s="2" t="s">
        <v>5</v>
      </c>
      <c r="W2" s="2" t="s">
        <v>5</v>
      </c>
      <c r="X2" s="2" t="s">
        <v>7</v>
      </c>
      <c r="Y2" s="2" t="s">
        <v>8</v>
      </c>
      <c r="Z2" s="2" t="s">
        <v>9</v>
      </c>
      <c r="AA2" s="2" t="s">
        <v>2447</v>
      </c>
      <c r="AB2" s="2" t="s">
        <v>2446</v>
      </c>
      <c r="AC2" s="2" t="s">
        <v>2445</v>
      </c>
      <c r="AD2" s="2" t="s">
        <v>10</v>
      </c>
      <c r="AE2" s="2" t="s">
        <v>2441</v>
      </c>
      <c r="AF2" s="2" t="s">
        <v>11</v>
      </c>
      <c r="AG2" s="2" t="s">
        <v>11</v>
      </c>
      <c r="AH2" s="2" t="s">
        <v>12</v>
      </c>
      <c r="AI2" s="2" t="s">
        <v>8</v>
      </c>
      <c r="AJ2" s="2" t="s">
        <v>13</v>
      </c>
      <c r="AK2" s="2" t="s">
        <v>2444</v>
      </c>
      <c r="AL2" s="2" t="s">
        <v>14</v>
      </c>
      <c r="AM2" s="2" t="s">
        <v>15</v>
      </c>
      <c r="AN2" s="2" t="s">
        <v>16</v>
      </c>
      <c r="AO2" s="2" t="s">
        <v>2443</v>
      </c>
      <c r="AP2" s="2" t="s">
        <v>2442</v>
      </c>
      <c r="AQ2" s="2" t="s">
        <v>2464</v>
      </c>
    </row>
    <row r="3" spans="1:43" s="4" customFormat="1" x14ac:dyDescent="0.25">
      <c r="A3" s="3">
        <v>4600099</v>
      </c>
      <c r="B3" s="3" t="s">
        <v>2272</v>
      </c>
      <c r="C3" s="3" t="s">
        <v>2273</v>
      </c>
      <c r="D3" s="3">
        <v>10000115</v>
      </c>
      <c r="E3" s="4">
        <v>4529449</v>
      </c>
      <c r="F3" s="3" t="s">
        <v>49</v>
      </c>
      <c r="G3" s="4" t="s">
        <v>2274</v>
      </c>
      <c r="H3" s="4" t="s">
        <v>2275</v>
      </c>
      <c r="I3" s="5">
        <v>1254250</v>
      </c>
      <c r="J3" s="3" t="s">
        <v>2272</v>
      </c>
      <c r="K3" s="3" t="s">
        <v>77</v>
      </c>
      <c r="L3" s="3" t="s">
        <v>119</v>
      </c>
      <c r="M3" s="4" t="s">
        <v>2276</v>
      </c>
      <c r="N3" s="3" t="s">
        <v>56</v>
      </c>
      <c r="O3" s="3" t="s">
        <v>139</v>
      </c>
      <c r="P3" s="4" t="s">
        <v>282</v>
      </c>
      <c r="Q3" s="3"/>
      <c r="R3" s="3"/>
      <c r="Y3" s="4" t="s">
        <v>2277</v>
      </c>
      <c r="Z3" s="4" t="s">
        <v>1048</v>
      </c>
      <c r="AA3" s="4" t="s">
        <v>2278</v>
      </c>
      <c r="AB3" s="3" t="s">
        <v>2279</v>
      </c>
      <c r="AC3" s="3" t="s">
        <v>2280</v>
      </c>
      <c r="AD3" s="3" t="s">
        <v>441</v>
      </c>
      <c r="AE3" s="3">
        <v>1000</v>
      </c>
      <c r="AF3" s="4">
        <v>14642</v>
      </c>
      <c r="AG3" s="4">
        <v>35358</v>
      </c>
      <c r="AH3" s="4">
        <v>4527640</v>
      </c>
      <c r="AI3" s="4" t="s">
        <v>2281</v>
      </c>
      <c r="AJ3" s="4" t="s">
        <v>1051</v>
      </c>
      <c r="AK3" s="3" t="s">
        <v>286</v>
      </c>
      <c r="AL3" s="4">
        <v>48301</v>
      </c>
      <c r="AM3" s="5">
        <v>1254250</v>
      </c>
      <c r="AN3" s="4" t="s">
        <v>2282</v>
      </c>
      <c r="AO3" s="4">
        <v>88</v>
      </c>
      <c r="AP3" s="4">
        <v>80120000</v>
      </c>
      <c r="AQ3" s="5">
        <v>328584.03999999998</v>
      </c>
    </row>
    <row r="4" spans="1:43" s="4" customFormat="1" x14ac:dyDescent="0.25">
      <c r="A4" s="3">
        <v>4600103</v>
      </c>
      <c r="B4" s="3" t="s">
        <v>2283</v>
      </c>
      <c r="C4" s="3" t="s">
        <v>2273</v>
      </c>
      <c r="D4" s="3">
        <v>10000121</v>
      </c>
      <c r="E4" s="4">
        <v>4529453</v>
      </c>
      <c r="F4" s="3" t="s">
        <v>49</v>
      </c>
      <c r="G4" s="4" t="s">
        <v>2284</v>
      </c>
      <c r="H4" s="4" t="s">
        <v>2285</v>
      </c>
      <c r="I4" s="5">
        <v>788000</v>
      </c>
      <c r="J4" s="3" t="s">
        <v>2283</v>
      </c>
      <c r="K4" s="3" t="s">
        <v>77</v>
      </c>
      <c r="L4" s="3" t="s">
        <v>119</v>
      </c>
      <c r="M4" s="4" t="s">
        <v>2285</v>
      </c>
      <c r="N4" s="3" t="s">
        <v>56</v>
      </c>
      <c r="O4" s="3" t="s">
        <v>139</v>
      </c>
      <c r="P4" s="4" t="s">
        <v>282</v>
      </c>
      <c r="Q4" s="3" t="s">
        <v>139</v>
      </c>
      <c r="R4" s="3" t="s">
        <v>215</v>
      </c>
      <c r="S4" s="4" t="s">
        <v>216</v>
      </c>
      <c r="Y4" s="4" t="s">
        <v>2286</v>
      </c>
      <c r="Z4" s="4" t="s">
        <v>1048</v>
      </c>
      <c r="AA4" s="4" t="s">
        <v>2278</v>
      </c>
      <c r="AB4" s="3" t="s">
        <v>2287</v>
      </c>
      <c r="AC4" s="3" t="s">
        <v>2280</v>
      </c>
      <c r="AD4" s="3" t="s">
        <v>774</v>
      </c>
      <c r="AE4" s="3">
        <v>1000</v>
      </c>
      <c r="AF4" s="4">
        <v>696052.38</v>
      </c>
      <c r="AG4" s="4">
        <v>3947.63</v>
      </c>
      <c r="AH4" s="4">
        <v>4528065</v>
      </c>
      <c r="AI4" s="4" t="s">
        <v>2288</v>
      </c>
      <c r="AJ4" s="4" t="s">
        <v>1051</v>
      </c>
      <c r="AK4" s="3" t="s">
        <v>286</v>
      </c>
      <c r="AL4" s="4">
        <v>47229</v>
      </c>
      <c r="AM4" s="5">
        <v>788000</v>
      </c>
      <c r="AN4" s="4" t="s">
        <v>2282</v>
      </c>
      <c r="AO4" s="4">
        <v>97</v>
      </c>
      <c r="AP4" s="4">
        <v>80120000</v>
      </c>
      <c r="AQ4" s="5">
        <v>1446.39</v>
      </c>
    </row>
    <row r="5" spans="1:43" s="4" customFormat="1" x14ac:dyDescent="0.25">
      <c r="A5" s="3">
        <v>4601104</v>
      </c>
      <c r="B5" s="3" t="s">
        <v>2289</v>
      </c>
      <c r="C5" s="3" t="s">
        <v>2273</v>
      </c>
      <c r="D5" s="3">
        <v>10001176</v>
      </c>
      <c r="E5" s="4">
        <v>4530454</v>
      </c>
      <c r="F5" s="3" t="s">
        <v>49</v>
      </c>
      <c r="G5" s="4" t="s">
        <v>2290</v>
      </c>
      <c r="H5" s="4" t="s">
        <v>2291</v>
      </c>
      <c r="I5" s="5">
        <v>150000</v>
      </c>
      <c r="J5" s="3" t="s">
        <v>2289</v>
      </c>
      <c r="K5" s="3" t="s">
        <v>832</v>
      </c>
      <c r="L5" s="3" t="s">
        <v>54</v>
      </c>
      <c r="M5" s="4" t="s">
        <v>2291</v>
      </c>
      <c r="N5" s="3" t="s">
        <v>56</v>
      </c>
      <c r="O5" s="3" t="s">
        <v>139</v>
      </c>
      <c r="P5" s="4" t="s">
        <v>140</v>
      </c>
      <c r="Q5" s="3" t="s">
        <v>139</v>
      </c>
      <c r="R5" s="3" t="s">
        <v>215</v>
      </c>
      <c r="S5" s="4" t="s">
        <v>216</v>
      </c>
      <c r="Y5" s="4" t="s">
        <v>2292</v>
      </c>
      <c r="Z5" s="4" t="s">
        <v>2293</v>
      </c>
      <c r="AA5" s="4" t="s">
        <v>2294</v>
      </c>
      <c r="AB5" s="3" t="s">
        <v>2295</v>
      </c>
      <c r="AC5" s="3" t="s">
        <v>2296</v>
      </c>
      <c r="AD5" s="3" t="s">
        <v>2228</v>
      </c>
      <c r="AE5" s="3">
        <v>1000</v>
      </c>
      <c r="AI5" s="4" t="s">
        <v>2297</v>
      </c>
      <c r="AJ5" s="4" t="s">
        <v>2298</v>
      </c>
      <c r="AK5" s="3" t="s">
        <v>143</v>
      </c>
      <c r="AL5" s="4">
        <v>140444</v>
      </c>
      <c r="AM5" s="5">
        <v>150000</v>
      </c>
      <c r="AN5" s="4" t="s">
        <v>124</v>
      </c>
      <c r="AO5" s="4">
        <v>99</v>
      </c>
      <c r="AP5" s="4">
        <v>80120000</v>
      </c>
      <c r="AQ5" s="4">
        <v>0</v>
      </c>
    </row>
    <row r="6" spans="1:43" s="4" customFormat="1" x14ac:dyDescent="0.25">
      <c r="A6" s="3">
        <v>4602575</v>
      </c>
      <c r="B6" s="3" t="s">
        <v>2299</v>
      </c>
      <c r="C6" s="3" t="s">
        <v>2273</v>
      </c>
      <c r="D6" s="3">
        <v>10002521</v>
      </c>
      <c r="E6" s="4">
        <v>4531926</v>
      </c>
      <c r="F6" s="3" t="s">
        <v>49</v>
      </c>
      <c r="G6" s="4" t="s">
        <v>2300</v>
      </c>
      <c r="H6" s="4" t="s">
        <v>2301</v>
      </c>
      <c r="I6" s="5">
        <v>21890</v>
      </c>
      <c r="J6" s="3" t="s">
        <v>2299</v>
      </c>
      <c r="K6" s="3" t="s">
        <v>77</v>
      </c>
      <c r="L6" s="3" t="s">
        <v>119</v>
      </c>
      <c r="M6" s="4" t="s">
        <v>2302</v>
      </c>
      <c r="N6" s="3" t="s">
        <v>56</v>
      </c>
      <c r="O6" s="3" t="s">
        <v>139</v>
      </c>
      <c r="P6" s="4" t="s">
        <v>282</v>
      </c>
      <c r="Q6" s="3"/>
      <c r="R6" s="3"/>
      <c r="Y6" s="4" t="s">
        <v>2277</v>
      </c>
      <c r="Z6" s="4" t="s">
        <v>2293</v>
      </c>
      <c r="AA6" s="4" t="s">
        <v>2294</v>
      </c>
      <c r="AB6" s="3" t="s">
        <v>2303</v>
      </c>
      <c r="AC6" s="3" t="s">
        <v>2296</v>
      </c>
      <c r="AD6" s="3" t="s">
        <v>53</v>
      </c>
      <c r="AE6" s="3">
        <v>1000</v>
      </c>
      <c r="AI6" s="4" t="s">
        <v>2281</v>
      </c>
      <c r="AJ6" s="4" t="s">
        <v>2298</v>
      </c>
      <c r="AK6" s="3" t="s">
        <v>286</v>
      </c>
      <c r="AL6" s="4">
        <v>30080</v>
      </c>
      <c r="AM6" s="5">
        <v>21890</v>
      </c>
      <c r="AN6" s="4" t="s">
        <v>2282</v>
      </c>
      <c r="AO6" s="4">
        <v>99</v>
      </c>
      <c r="AP6" s="4">
        <v>80120000</v>
      </c>
      <c r="AQ6" s="5">
        <v>9954.4500000000007</v>
      </c>
    </row>
    <row r="7" spans="1:43" s="4" customFormat="1" x14ac:dyDescent="0.25">
      <c r="A7" s="3">
        <v>4603022</v>
      </c>
      <c r="B7" s="3" t="s">
        <v>2304</v>
      </c>
      <c r="C7" s="3" t="s">
        <v>2273</v>
      </c>
      <c r="D7" s="3">
        <v>10002854</v>
      </c>
      <c r="E7" s="4">
        <v>4532373</v>
      </c>
      <c r="F7" s="3" t="s">
        <v>49</v>
      </c>
      <c r="G7" s="4" t="s">
        <v>2300</v>
      </c>
      <c r="H7" s="4" t="s">
        <v>2305</v>
      </c>
      <c r="I7" s="5">
        <v>60258</v>
      </c>
      <c r="J7" s="3" t="s">
        <v>2304</v>
      </c>
      <c r="K7" s="3" t="s">
        <v>807</v>
      </c>
      <c r="L7" s="3" t="s">
        <v>196</v>
      </c>
      <c r="M7" s="4" t="s">
        <v>2306</v>
      </c>
      <c r="N7" s="3" t="s">
        <v>56</v>
      </c>
      <c r="O7" s="3" t="s">
        <v>139</v>
      </c>
      <c r="P7" s="4" t="s">
        <v>282</v>
      </c>
      <c r="Q7" s="3"/>
      <c r="R7" s="3"/>
      <c r="U7" s="4" t="s">
        <v>139</v>
      </c>
      <c r="V7" s="4" t="s">
        <v>427</v>
      </c>
      <c r="W7" s="4" t="s">
        <v>428</v>
      </c>
      <c r="Y7" s="4" t="s">
        <v>2277</v>
      </c>
      <c r="Z7" s="4" t="s">
        <v>2293</v>
      </c>
      <c r="AA7" s="4" t="s">
        <v>2294</v>
      </c>
      <c r="AB7" s="3" t="s">
        <v>2303</v>
      </c>
      <c r="AC7" s="3" t="s">
        <v>2296</v>
      </c>
      <c r="AD7" s="3" t="s">
        <v>376</v>
      </c>
      <c r="AE7" s="3">
        <v>1000</v>
      </c>
      <c r="AI7" s="4" t="s">
        <v>2281</v>
      </c>
      <c r="AJ7" s="4" t="s">
        <v>2298</v>
      </c>
      <c r="AK7" s="3" t="s">
        <v>286</v>
      </c>
      <c r="AL7" s="4">
        <v>30080</v>
      </c>
      <c r="AM7" s="5">
        <v>60258</v>
      </c>
      <c r="AN7" s="4" t="s">
        <v>2282</v>
      </c>
      <c r="AO7" s="4">
        <v>96</v>
      </c>
      <c r="AP7" s="4">
        <v>80120000</v>
      </c>
      <c r="AQ7" s="5">
        <v>8663.6</v>
      </c>
    </row>
    <row r="8" spans="1:43" s="4" customFormat="1" x14ac:dyDescent="0.25">
      <c r="A8" s="3">
        <v>4603031</v>
      </c>
      <c r="B8" s="3" t="s">
        <v>2307</v>
      </c>
      <c r="C8" s="3" t="s">
        <v>2273</v>
      </c>
      <c r="D8" s="3">
        <v>10002871</v>
      </c>
      <c r="E8" s="4">
        <v>4532382</v>
      </c>
      <c r="F8" s="3" t="s">
        <v>49</v>
      </c>
      <c r="G8" s="4" t="s">
        <v>2300</v>
      </c>
      <c r="H8" s="4" t="s">
        <v>2301</v>
      </c>
      <c r="I8" s="5">
        <v>16900</v>
      </c>
      <c r="J8" s="3" t="s">
        <v>2307</v>
      </c>
      <c r="K8" s="3" t="s">
        <v>807</v>
      </c>
      <c r="L8" s="3" t="s">
        <v>196</v>
      </c>
      <c r="M8" s="4" t="s">
        <v>2308</v>
      </c>
      <c r="N8" s="3" t="s">
        <v>56</v>
      </c>
      <c r="O8" s="3" t="s">
        <v>139</v>
      </c>
      <c r="P8" s="4" t="s">
        <v>282</v>
      </c>
      <c r="Q8" s="3" t="s">
        <v>139</v>
      </c>
      <c r="R8" s="3" t="s">
        <v>427</v>
      </c>
      <c r="S8" s="4" t="s">
        <v>428</v>
      </c>
      <c r="U8" s="4" t="s">
        <v>139</v>
      </c>
      <c r="V8" s="4" t="s">
        <v>427</v>
      </c>
      <c r="W8" s="4" t="s">
        <v>428</v>
      </c>
      <c r="Y8" s="4" t="s">
        <v>2292</v>
      </c>
      <c r="Z8" s="4" t="s">
        <v>2293</v>
      </c>
      <c r="AA8" s="4" t="s">
        <v>2294</v>
      </c>
      <c r="AB8" s="3" t="s">
        <v>2303</v>
      </c>
      <c r="AC8" s="3" t="s">
        <v>2296</v>
      </c>
      <c r="AD8" s="3" t="s">
        <v>1753</v>
      </c>
      <c r="AE8" s="3">
        <v>1000</v>
      </c>
      <c r="AI8" s="4" t="s">
        <v>2297</v>
      </c>
      <c r="AJ8" s="4" t="s">
        <v>2298</v>
      </c>
      <c r="AK8" s="3" t="s">
        <v>286</v>
      </c>
      <c r="AL8" s="4">
        <v>30080</v>
      </c>
      <c r="AM8" s="5">
        <v>16900</v>
      </c>
      <c r="AN8" s="4" t="s">
        <v>2282</v>
      </c>
      <c r="AO8" s="4">
        <v>99</v>
      </c>
      <c r="AP8" s="4">
        <v>80120000</v>
      </c>
      <c r="AQ8" s="5">
        <v>3438.6</v>
      </c>
    </row>
    <row r="9" spans="1:43" s="4" customFormat="1" x14ac:dyDescent="0.25">
      <c r="A9" s="3">
        <v>4603050</v>
      </c>
      <c r="B9" s="3" t="s">
        <v>2309</v>
      </c>
      <c r="C9" s="3" t="s">
        <v>2273</v>
      </c>
      <c r="D9" s="3">
        <v>10002887</v>
      </c>
      <c r="E9" s="4">
        <v>4532401</v>
      </c>
      <c r="F9" s="3" t="s">
        <v>49</v>
      </c>
      <c r="G9" s="4" t="s">
        <v>2310</v>
      </c>
      <c r="H9" s="4" t="s">
        <v>2311</v>
      </c>
      <c r="I9" s="5">
        <v>54105</v>
      </c>
      <c r="J9" s="3" t="s">
        <v>2309</v>
      </c>
      <c r="K9" s="3" t="s">
        <v>832</v>
      </c>
      <c r="L9" s="3" t="s">
        <v>119</v>
      </c>
      <c r="M9" s="4" t="s">
        <v>2312</v>
      </c>
      <c r="N9" s="3" t="s">
        <v>56</v>
      </c>
      <c r="O9" s="3" t="s">
        <v>139</v>
      </c>
      <c r="P9" s="4" t="s">
        <v>2207</v>
      </c>
      <c r="Q9" s="3"/>
      <c r="R9" s="3"/>
      <c r="U9" s="4" t="s">
        <v>139</v>
      </c>
      <c r="V9" s="4" t="s">
        <v>427</v>
      </c>
      <c r="W9" s="4" t="s">
        <v>428</v>
      </c>
      <c r="Y9" s="4" t="s">
        <v>2277</v>
      </c>
      <c r="Z9" s="4" t="s">
        <v>2293</v>
      </c>
      <c r="AA9" s="4" t="s">
        <v>2294</v>
      </c>
      <c r="AB9" s="3" t="s">
        <v>2313</v>
      </c>
      <c r="AC9" s="3" t="s">
        <v>2296</v>
      </c>
      <c r="AD9" s="3" t="s">
        <v>2228</v>
      </c>
      <c r="AE9" s="3">
        <v>1000</v>
      </c>
      <c r="AI9" s="4" t="s">
        <v>2281</v>
      </c>
      <c r="AJ9" s="4" t="s">
        <v>2298</v>
      </c>
      <c r="AK9" s="3" t="s">
        <v>2210</v>
      </c>
      <c r="AL9" s="4">
        <v>47820</v>
      </c>
      <c r="AM9" s="5">
        <v>54105</v>
      </c>
      <c r="AN9" s="4" t="s">
        <v>2282</v>
      </c>
      <c r="AO9" s="4">
        <v>96</v>
      </c>
      <c r="AP9" s="4">
        <v>80120000</v>
      </c>
      <c r="AQ9" s="4">
        <v>0</v>
      </c>
    </row>
    <row r="10" spans="1:43" s="4" customFormat="1" x14ac:dyDescent="0.25">
      <c r="A10" s="3">
        <v>4603168</v>
      </c>
      <c r="B10" s="3" t="s">
        <v>1113</v>
      </c>
      <c r="C10" s="3" t="s">
        <v>2273</v>
      </c>
      <c r="D10" s="3">
        <v>10003017</v>
      </c>
      <c r="E10" s="4">
        <v>4532519</v>
      </c>
      <c r="F10" s="3" t="s">
        <v>49</v>
      </c>
      <c r="G10" s="4" t="s">
        <v>2300</v>
      </c>
      <c r="H10" s="4" t="s">
        <v>2315</v>
      </c>
      <c r="I10" s="5">
        <v>15000</v>
      </c>
      <c r="J10" s="3" t="s">
        <v>1113</v>
      </c>
      <c r="K10" s="3" t="s">
        <v>807</v>
      </c>
      <c r="L10" s="3" t="s">
        <v>54</v>
      </c>
      <c r="M10" s="4" t="s">
        <v>2316</v>
      </c>
      <c r="N10" s="3" t="s">
        <v>56</v>
      </c>
      <c r="O10" s="3" t="s">
        <v>139</v>
      </c>
      <c r="P10" s="4" t="s">
        <v>282</v>
      </c>
      <c r="Q10" s="3" t="s">
        <v>139</v>
      </c>
      <c r="R10" s="3" t="s">
        <v>427</v>
      </c>
      <c r="S10" s="4" t="s">
        <v>428</v>
      </c>
      <c r="U10" s="4" t="s">
        <v>139</v>
      </c>
      <c r="V10" s="4" t="s">
        <v>427</v>
      </c>
      <c r="W10" s="4" t="s">
        <v>428</v>
      </c>
      <c r="Y10" s="4" t="s">
        <v>2286</v>
      </c>
      <c r="Z10" s="4" t="s">
        <v>2293</v>
      </c>
      <c r="AA10" s="4" t="s">
        <v>2294</v>
      </c>
      <c r="AB10" s="3" t="s">
        <v>2303</v>
      </c>
      <c r="AC10" s="3" t="s">
        <v>2296</v>
      </c>
      <c r="AD10" s="3" t="s">
        <v>774</v>
      </c>
      <c r="AE10" s="3">
        <v>1000</v>
      </c>
      <c r="AI10" s="4" t="s">
        <v>2288</v>
      </c>
      <c r="AJ10" s="4" t="s">
        <v>2298</v>
      </c>
      <c r="AK10" s="3" t="s">
        <v>286</v>
      </c>
      <c r="AL10" s="4">
        <v>30080</v>
      </c>
      <c r="AM10" s="5">
        <v>15000</v>
      </c>
      <c r="AN10" s="4" t="s">
        <v>2282</v>
      </c>
      <c r="AO10" s="4">
        <v>99</v>
      </c>
      <c r="AP10" s="4">
        <v>80120000</v>
      </c>
      <c r="AQ10" s="4">
        <v>0</v>
      </c>
    </row>
    <row r="11" spans="1:43" s="4" customFormat="1" x14ac:dyDescent="0.25">
      <c r="A11" s="3">
        <v>4603546</v>
      </c>
      <c r="B11" s="3" t="s">
        <v>133</v>
      </c>
      <c r="C11" s="3" t="s">
        <v>107</v>
      </c>
      <c r="D11" s="3">
        <v>10003386</v>
      </c>
      <c r="E11" s="4">
        <v>4532897</v>
      </c>
      <c r="F11" s="3" t="s">
        <v>49</v>
      </c>
      <c r="G11" s="4" t="s">
        <v>134</v>
      </c>
      <c r="H11" s="4" t="s">
        <v>135</v>
      </c>
      <c r="I11" s="5">
        <v>707534.99</v>
      </c>
      <c r="J11" s="3" t="s">
        <v>136</v>
      </c>
      <c r="K11" s="3" t="s">
        <v>137</v>
      </c>
      <c r="L11" s="3" t="s">
        <v>119</v>
      </c>
      <c r="M11" s="4" t="s">
        <v>138</v>
      </c>
      <c r="N11" s="3" t="s">
        <v>56</v>
      </c>
      <c r="O11" s="3" t="s">
        <v>139</v>
      </c>
      <c r="P11" s="4" t="s">
        <v>140</v>
      </c>
      <c r="Q11" s="3"/>
      <c r="R11" s="3"/>
      <c r="Y11" s="4" t="s">
        <v>120</v>
      </c>
      <c r="Z11" s="4" t="s">
        <v>141</v>
      </c>
      <c r="AB11" s="3"/>
      <c r="AC11" s="3"/>
      <c r="AD11" s="3" t="s">
        <v>122</v>
      </c>
      <c r="AE11" s="3">
        <v>1000</v>
      </c>
      <c r="AI11" s="4" t="s">
        <v>123</v>
      </c>
      <c r="AJ11" s="4" t="s">
        <v>142</v>
      </c>
      <c r="AK11" s="3" t="s">
        <v>143</v>
      </c>
      <c r="AL11" s="4">
        <v>41275</v>
      </c>
      <c r="AM11" s="5">
        <v>707534.99</v>
      </c>
      <c r="AN11" s="4" t="s">
        <v>124</v>
      </c>
      <c r="AO11" s="4">
        <v>99</v>
      </c>
      <c r="AQ11" s="5">
        <v>102425</v>
      </c>
    </row>
    <row r="12" spans="1:43" s="4" customFormat="1" x14ac:dyDescent="0.25">
      <c r="A12" s="3">
        <v>4603721</v>
      </c>
      <c r="B12" s="3" t="s">
        <v>634</v>
      </c>
      <c r="C12" s="3" t="s">
        <v>1042</v>
      </c>
      <c r="D12" s="3">
        <v>10003578</v>
      </c>
      <c r="E12" s="4">
        <v>4533072</v>
      </c>
      <c r="F12" s="3" t="s">
        <v>49</v>
      </c>
      <c r="G12" s="4" t="s">
        <v>1174</v>
      </c>
      <c r="H12" s="4" t="s">
        <v>1175</v>
      </c>
      <c r="I12" s="5">
        <v>644000</v>
      </c>
      <c r="J12" s="3" t="s">
        <v>631</v>
      </c>
      <c r="K12" s="3" t="s">
        <v>575</v>
      </c>
      <c r="L12" s="3" t="s">
        <v>119</v>
      </c>
      <c r="M12" s="4" t="s">
        <v>1175</v>
      </c>
      <c r="N12" s="3" t="s">
        <v>56</v>
      </c>
      <c r="O12" s="3" t="s">
        <v>139</v>
      </c>
      <c r="P12" s="4" t="s">
        <v>282</v>
      </c>
      <c r="Q12" s="3"/>
      <c r="R12" s="3"/>
      <c r="Y12" s="4" t="s">
        <v>1176</v>
      </c>
      <c r="Z12" s="4" t="s">
        <v>565</v>
      </c>
      <c r="AA12" s="4" t="s">
        <v>754</v>
      </c>
      <c r="AB12" s="3" t="s">
        <v>1177</v>
      </c>
      <c r="AC12" s="3" t="s">
        <v>756</v>
      </c>
      <c r="AD12" s="3" t="s">
        <v>527</v>
      </c>
      <c r="AE12" s="3">
        <v>1000</v>
      </c>
      <c r="AI12" s="4" t="s">
        <v>1178</v>
      </c>
      <c r="AJ12" s="4" t="s">
        <v>569</v>
      </c>
      <c r="AK12" s="3" t="s">
        <v>286</v>
      </c>
      <c r="AL12" s="4">
        <v>42811</v>
      </c>
      <c r="AM12" s="5">
        <v>644000</v>
      </c>
      <c r="AN12" s="4" t="s">
        <v>124</v>
      </c>
      <c r="AO12" s="4">
        <v>99</v>
      </c>
      <c r="AP12" s="4">
        <v>80101510</v>
      </c>
      <c r="AQ12" s="5">
        <v>79939</v>
      </c>
    </row>
    <row r="13" spans="1:43" s="4" customFormat="1" x14ac:dyDescent="0.25">
      <c r="A13" s="3">
        <v>4603855</v>
      </c>
      <c r="B13" s="3" t="s">
        <v>636</v>
      </c>
      <c r="C13" s="3" t="s">
        <v>1042</v>
      </c>
      <c r="D13" s="3">
        <v>10003664</v>
      </c>
      <c r="E13" s="4">
        <v>4533206</v>
      </c>
      <c r="F13" s="3" t="s">
        <v>49</v>
      </c>
      <c r="G13" s="4" t="s">
        <v>1197</v>
      </c>
      <c r="H13" s="4" t="s">
        <v>1198</v>
      </c>
      <c r="I13" s="5">
        <v>48682.7</v>
      </c>
      <c r="J13" s="3" t="s">
        <v>631</v>
      </c>
      <c r="K13" s="3" t="s">
        <v>575</v>
      </c>
      <c r="L13" s="3" t="s">
        <v>196</v>
      </c>
      <c r="M13" s="4" t="s">
        <v>1199</v>
      </c>
      <c r="N13" s="3" t="s">
        <v>25</v>
      </c>
      <c r="O13" s="3" t="s">
        <v>139</v>
      </c>
      <c r="P13" s="4" t="s">
        <v>282</v>
      </c>
      <c r="Q13" s="3"/>
      <c r="R13" s="3"/>
      <c r="Y13" s="4" t="s">
        <v>1200</v>
      </c>
      <c r="Z13" s="4" t="s">
        <v>1200</v>
      </c>
      <c r="AA13" s="4" t="s">
        <v>1201</v>
      </c>
      <c r="AB13" s="3"/>
      <c r="AC13" s="3"/>
      <c r="AD13" s="3" t="s">
        <v>634</v>
      </c>
      <c r="AE13" s="3">
        <v>1000</v>
      </c>
      <c r="AI13" s="4" t="s">
        <v>1202</v>
      </c>
      <c r="AJ13" s="4" t="s">
        <v>1202</v>
      </c>
      <c r="AK13" s="3" t="s">
        <v>286</v>
      </c>
      <c r="AL13" s="4">
        <v>140121</v>
      </c>
      <c r="AM13" s="5">
        <v>48682.7</v>
      </c>
      <c r="AN13" s="4" t="s">
        <v>124</v>
      </c>
      <c r="AO13" s="4">
        <v>99</v>
      </c>
      <c r="AP13" s="4">
        <v>84111600</v>
      </c>
      <c r="AQ13" s="5">
        <v>12230.93</v>
      </c>
    </row>
    <row r="14" spans="1:43" s="4" customFormat="1" x14ac:dyDescent="0.25">
      <c r="A14" s="3">
        <v>4603856</v>
      </c>
      <c r="B14" s="3" t="s">
        <v>636</v>
      </c>
      <c r="C14" s="3" t="s">
        <v>1042</v>
      </c>
      <c r="D14" s="3">
        <v>10003662</v>
      </c>
      <c r="E14" s="4">
        <v>4533207</v>
      </c>
      <c r="F14" s="3" t="s">
        <v>49</v>
      </c>
      <c r="G14" s="4" t="s">
        <v>1203</v>
      </c>
      <c r="H14" s="4" t="s">
        <v>1204</v>
      </c>
      <c r="I14" s="5">
        <v>90151.6</v>
      </c>
      <c r="J14" s="3" t="s">
        <v>631</v>
      </c>
      <c r="K14" s="3" t="s">
        <v>575</v>
      </c>
      <c r="L14" s="3" t="s">
        <v>196</v>
      </c>
      <c r="M14" s="4" t="s">
        <v>1204</v>
      </c>
      <c r="N14" s="3" t="s">
        <v>25</v>
      </c>
      <c r="O14" s="3" t="s">
        <v>139</v>
      </c>
      <c r="P14" s="4" t="s">
        <v>282</v>
      </c>
      <c r="Q14" s="3"/>
      <c r="R14" s="3"/>
      <c r="Y14" s="4" t="s">
        <v>1200</v>
      </c>
      <c r="Z14" s="4" t="s">
        <v>1200</v>
      </c>
      <c r="AA14" s="4" t="s">
        <v>1205</v>
      </c>
      <c r="AB14" s="3"/>
      <c r="AC14" s="3"/>
      <c r="AD14" s="3" t="s">
        <v>634</v>
      </c>
      <c r="AE14" s="3">
        <v>1000</v>
      </c>
      <c r="AI14" s="4" t="s">
        <v>1202</v>
      </c>
      <c r="AJ14" s="4" t="s">
        <v>1202</v>
      </c>
      <c r="AK14" s="3" t="s">
        <v>286</v>
      </c>
      <c r="AL14" s="4">
        <v>49532</v>
      </c>
      <c r="AM14" s="5">
        <v>90151.6</v>
      </c>
      <c r="AN14" s="4" t="s">
        <v>124</v>
      </c>
      <c r="AO14" s="4">
        <v>99</v>
      </c>
      <c r="AP14" s="4">
        <v>84111600</v>
      </c>
      <c r="AQ14" s="5">
        <v>15015.55</v>
      </c>
    </row>
    <row r="15" spans="1:43" s="4" customFormat="1" x14ac:dyDescent="0.25">
      <c r="A15" s="3">
        <v>4604190</v>
      </c>
      <c r="B15" s="3" t="s">
        <v>2331</v>
      </c>
      <c r="C15" s="3" t="s">
        <v>2273</v>
      </c>
      <c r="D15" s="3">
        <v>10003943</v>
      </c>
      <c r="E15" s="4">
        <v>4533541</v>
      </c>
      <c r="F15" s="3" t="s">
        <v>49</v>
      </c>
      <c r="G15" s="4" t="s">
        <v>2300</v>
      </c>
      <c r="I15" s="5">
        <v>5500</v>
      </c>
      <c r="J15" s="3" t="s">
        <v>2331</v>
      </c>
      <c r="K15" s="3" t="s">
        <v>807</v>
      </c>
      <c r="L15" s="3" t="s">
        <v>1046</v>
      </c>
      <c r="M15" s="4" t="s">
        <v>2332</v>
      </c>
      <c r="N15" s="3" t="s">
        <v>25</v>
      </c>
      <c r="O15" s="3" t="s">
        <v>139</v>
      </c>
      <c r="P15" s="4" t="s">
        <v>2207</v>
      </c>
      <c r="Q15" s="3"/>
      <c r="R15" s="3"/>
      <c r="Y15" s="4" t="s">
        <v>2277</v>
      </c>
      <c r="Z15" s="4" t="s">
        <v>2293</v>
      </c>
      <c r="AB15" s="3"/>
      <c r="AC15" s="3"/>
      <c r="AD15" s="3" t="s">
        <v>258</v>
      </c>
      <c r="AE15" s="3">
        <v>1000</v>
      </c>
      <c r="AI15" s="4" t="s">
        <v>2281</v>
      </c>
      <c r="AJ15" s="4" t="s">
        <v>2298</v>
      </c>
      <c r="AK15" s="3" t="s">
        <v>2210</v>
      </c>
      <c r="AL15" s="4">
        <v>30080</v>
      </c>
      <c r="AM15" s="5">
        <v>5500</v>
      </c>
      <c r="AN15" s="4" t="s">
        <v>2282</v>
      </c>
      <c r="AQ15" s="5">
        <v>2061.7600000000002</v>
      </c>
    </row>
    <row r="16" spans="1:43" s="4" customFormat="1" x14ac:dyDescent="0.25">
      <c r="A16" s="3">
        <v>4604212</v>
      </c>
      <c r="B16" s="3" t="s">
        <v>718</v>
      </c>
      <c r="C16" s="3" t="s">
        <v>2273</v>
      </c>
      <c r="D16" s="3">
        <v>10003961</v>
      </c>
      <c r="E16" s="4">
        <v>4533563</v>
      </c>
      <c r="F16" s="3" t="s">
        <v>49</v>
      </c>
      <c r="G16" s="4" t="s">
        <v>2333</v>
      </c>
      <c r="H16" s="4" t="s">
        <v>2301</v>
      </c>
      <c r="I16" s="5">
        <v>3000000</v>
      </c>
      <c r="J16" s="3" t="s">
        <v>718</v>
      </c>
      <c r="K16" s="3" t="s">
        <v>77</v>
      </c>
      <c r="L16" s="3" t="s">
        <v>1046</v>
      </c>
      <c r="M16" s="4" t="s">
        <v>2334</v>
      </c>
      <c r="N16" s="3" t="s">
        <v>25</v>
      </c>
      <c r="O16" s="3" t="s">
        <v>139</v>
      </c>
      <c r="P16" s="4" t="s">
        <v>2207</v>
      </c>
      <c r="Q16" s="3" t="s">
        <v>139</v>
      </c>
      <c r="R16" s="3" t="s">
        <v>427</v>
      </c>
      <c r="S16" s="4" t="s">
        <v>428</v>
      </c>
      <c r="U16" s="4" t="s">
        <v>139</v>
      </c>
      <c r="V16" s="4" t="s">
        <v>427</v>
      </c>
      <c r="W16" s="4" t="s">
        <v>428</v>
      </c>
      <c r="Y16" s="4" t="s">
        <v>2277</v>
      </c>
      <c r="Z16" s="4" t="s">
        <v>2293</v>
      </c>
      <c r="AB16" s="3"/>
      <c r="AC16" s="3"/>
      <c r="AD16" s="3" t="s">
        <v>543</v>
      </c>
      <c r="AE16" s="3">
        <v>1000</v>
      </c>
      <c r="AI16" s="4" t="s">
        <v>2281</v>
      </c>
      <c r="AJ16" s="4" t="s">
        <v>2298</v>
      </c>
      <c r="AK16" s="3" t="s">
        <v>2210</v>
      </c>
      <c r="AL16" s="4">
        <v>141591</v>
      </c>
      <c r="AM16" s="5">
        <v>3000000</v>
      </c>
      <c r="AN16" s="4" t="s">
        <v>2282</v>
      </c>
      <c r="AO16" s="4">
        <v>94</v>
      </c>
      <c r="AP16" s="4">
        <v>80120000</v>
      </c>
      <c r="AQ16" s="5">
        <v>2309463.5699999998</v>
      </c>
    </row>
    <row r="17" spans="1:43" s="4" customFormat="1" x14ac:dyDescent="0.25">
      <c r="A17" s="3">
        <v>4604247</v>
      </c>
      <c r="B17" s="3" t="s">
        <v>1247</v>
      </c>
      <c r="C17" s="3" t="s">
        <v>2273</v>
      </c>
      <c r="D17" s="3">
        <v>10004001</v>
      </c>
      <c r="E17" s="4">
        <v>4533598</v>
      </c>
      <c r="F17" s="3" t="s">
        <v>49</v>
      </c>
      <c r="G17" s="4" t="s">
        <v>2300</v>
      </c>
      <c r="H17" s="4" t="s">
        <v>2301</v>
      </c>
      <c r="I17" s="5">
        <v>49800</v>
      </c>
      <c r="J17" s="3" t="s">
        <v>1247</v>
      </c>
      <c r="K17" s="3" t="s">
        <v>77</v>
      </c>
      <c r="L17" s="3" t="s">
        <v>1046</v>
      </c>
      <c r="M17" s="4" t="s">
        <v>2335</v>
      </c>
      <c r="N17" s="3" t="s">
        <v>25</v>
      </c>
      <c r="O17" s="3" t="s">
        <v>139</v>
      </c>
      <c r="P17" s="4" t="s">
        <v>282</v>
      </c>
      <c r="Q17" s="3"/>
      <c r="R17" s="3"/>
      <c r="U17" s="4" t="s">
        <v>139</v>
      </c>
      <c r="V17" s="4" t="s">
        <v>427</v>
      </c>
      <c r="W17" s="4" t="s">
        <v>428</v>
      </c>
      <c r="Y17" s="4" t="s">
        <v>2277</v>
      </c>
      <c r="Z17" s="4" t="s">
        <v>2293</v>
      </c>
      <c r="AB17" s="3"/>
      <c r="AC17" s="3"/>
      <c r="AD17" s="3" t="s">
        <v>535</v>
      </c>
      <c r="AE17" s="3">
        <v>1000</v>
      </c>
      <c r="AI17" s="4" t="s">
        <v>2281</v>
      </c>
      <c r="AJ17" s="4" t="s">
        <v>2298</v>
      </c>
      <c r="AK17" s="3" t="s">
        <v>286</v>
      </c>
      <c r="AL17" s="4">
        <v>30080</v>
      </c>
      <c r="AM17" s="5">
        <v>49800</v>
      </c>
      <c r="AN17" s="4" t="s">
        <v>2282</v>
      </c>
      <c r="AO17" s="4">
        <v>97</v>
      </c>
      <c r="AP17" s="4">
        <v>80120000</v>
      </c>
      <c r="AQ17" s="5">
        <v>19164.75</v>
      </c>
    </row>
    <row r="18" spans="1:43" s="4" customFormat="1" x14ac:dyDescent="0.25">
      <c r="A18" s="3">
        <v>4604250</v>
      </c>
      <c r="B18" s="3" t="s">
        <v>2336</v>
      </c>
      <c r="C18" s="3" t="s">
        <v>2273</v>
      </c>
      <c r="D18" s="3">
        <v>10004011</v>
      </c>
      <c r="E18" s="4">
        <v>4533601</v>
      </c>
      <c r="F18" s="3" t="s">
        <v>49</v>
      </c>
      <c r="G18" s="4" t="s">
        <v>2300</v>
      </c>
      <c r="H18" s="4" t="s">
        <v>2337</v>
      </c>
      <c r="I18" s="5">
        <v>24700</v>
      </c>
      <c r="J18" s="3" t="s">
        <v>2336</v>
      </c>
      <c r="K18" s="3" t="s">
        <v>807</v>
      </c>
      <c r="L18" s="3" t="s">
        <v>1046</v>
      </c>
      <c r="M18" s="4" t="s">
        <v>2338</v>
      </c>
      <c r="N18" s="3" t="s">
        <v>25</v>
      </c>
      <c r="O18" s="3" t="s">
        <v>139</v>
      </c>
      <c r="P18" s="4" t="s">
        <v>282</v>
      </c>
      <c r="Q18" s="3" t="s">
        <v>139</v>
      </c>
      <c r="R18" s="3" t="s">
        <v>427</v>
      </c>
      <c r="S18" s="4" t="s">
        <v>428</v>
      </c>
      <c r="U18" s="4" t="s">
        <v>139</v>
      </c>
      <c r="V18" s="4" t="s">
        <v>427</v>
      </c>
      <c r="W18" s="4" t="s">
        <v>428</v>
      </c>
      <c r="Y18" s="4" t="s">
        <v>2293</v>
      </c>
      <c r="Z18" s="4" t="s">
        <v>2293</v>
      </c>
      <c r="AB18" s="3"/>
      <c r="AC18" s="3"/>
      <c r="AD18" s="3" t="s">
        <v>2228</v>
      </c>
      <c r="AE18" s="3">
        <v>1000</v>
      </c>
      <c r="AI18" s="4" t="s">
        <v>2298</v>
      </c>
      <c r="AJ18" s="4" t="s">
        <v>2298</v>
      </c>
      <c r="AK18" s="3" t="s">
        <v>286</v>
      </c>
      <c r="AL18" s="4">
        <v>30080</v>
      </c>
      <c r="AM18" s="5">
        <v>24700</v>
      </c>
      <c r="AN18" s="4" t="s">
        <v>2282</v>
      </c>
      <c r="AO18" s="4">
        <v>98</v>
      </c>
      <c r="AP18" s="4">
        <v>80120000</v>
      </c>
      <c r="AQ18" s="4">
        <v>0</v>
      </c>
    </row>
    <row r="19" spans="1:43" s="4" customFormat="1" x14ac:dyDescent="0.25">
      <c r="A19" s="3">
        <v>4604260</v>
      </c>
      <c r="B19" s="3" t="s">
        <v>2339</v>
      </c>
      <c r="C19" s="3" t="s">
        <v>2273</v>
      </c>
      <c r="D19" s="3">
        <v>10004021</v>
      </c>
      <c r="E19" s="4">
        <v>4533611</v>
      </c>
      <c r="F19" s="3" t="s">
        <v>49</v>
      </c>
      <c r="G19" s="4" t="s">
        <v>2300</v>
      </c>
      <c r="H19" s="4" t="s">
        <v>2337</v>
      </c>
      <c r="I19" s="5">
        <v>28550</v>
      </c>
      <c r="J19" s="3" t="s">
        <v>2339</v>
      </c>
      <c r="K19" s="3" t="s">
        <v>807</v>
      </c>
      <c r="L19" s="3" t="s">
        <v>1046</v>
      </c>
      <c r="M19" s="4" t="s">
        <v>2340</v>
      </c>
      <c r="N19" s="3" t="s">
        <v>25</v>
      </c>
      <c r="O19" s="3" t="s">
        <v>139</v>
      </c>
      <c r="P19" s="4" t="s">
        <v>282</v>
      </c>
      <c r="Q19" s="3" t="s">
        <v>139</v>
      </c>
      <c r="R19" s="3" t="s">
        <v>427</v>
      </c>
      <c r="S19" s="4" t="s">
        <v>428</v>
      </c>
      <c r="U19" s="4" t="s">
        <v>139</v>
      </c>
      <c r="V19" s="4" t="s">
        <v>427</v>
      </c>
      <c r="W19" s="4" t="s">
        <v>428</v>
      </c>
      <c r="Y19" s="4" t="s">
        <v>2293</v>
      </c>
      <c r="Z19" s="4" t="s">
        <v>2293</v>
      </c>
      <c r="AB19" s="3"/>
      <c r="AC19" s="3"/>
      <c r="AD19" s="3" t="s">
        <v>2228</v>
      </c>
      <c r="AE19" s="3">
        <v>1000</v>
      </c>
      <c r="AI19" s="4" t="s">
        <v>2298</v>
      </c>
      <c r="AJ19" s="4" t="s">
        <v>2298</v>
      </c>
      <c r="AK19" s="3" t="s">
        <v>286</v>
      </c>
      <c r="AL19" s="4">
        <v>30080</v>
      </c>
      <c r="AM19" s="5">
        <v>28550</v>
      </c>
      <c r="AN19" s="4" t="s">
        <v>2282</v>
      </c>
      <c r="AO19" s="4">
        <v>98</v>
      </c>
      <c r="AP19" s="4">
        <v>80120000</v>
      </c>
      <c r="AQ19" s="4">
        <v>0</v>
      </c>
    </row>
    <row r="20" spans="1:43" s="4" customFormat="1" x14ac:dyDescent="0.25">
      <c r="A20" s="3">
        <v>4604269</v>
      </c>
      <c r="B20" s="3" t="s">
        <v>2341</v>
      </c>
      <c r="C20" s="3" t="s">
        <v>2342</v>
      </c>
      <c r="D20" s="3">
        <v>10004026</v>
      </c>
      <c r="E20" s="4">
        <v>4533620</v>
      </c>
      <c r="F20" s="3" t="s">
        <v>49</v>
      </c>
      <c r="G20" s="4" t="s">
        <v>2300</v>
      </c>
      <c r="H20" s="4" t="s">
        <v>2301</v>
      </c>
      <c r="I20" s="5">
        <v>253000</v>
      </c>
      <c r="J20" s="3" t="s">
        <v>2341</v>
      </c>
      <c r="K20" s="3" t="s">
        <v>807</v>
      </c>
      <c r="L20" s="3" t="s">
        <v>1046</v>
      </c>
      <c r="M20" s="4" t="s">
        <v>2343</v>
      </c>
      <c r="N20" s="3" t="s">
        <v>25</v>
      </c>
      <c r="O20" s="3" t="s">
        <v>139</v>
      </c>
      <c r="P20" s="4" t="s">
        <v>282</v>
      </c>
      <c r="Q20" s="3" t="s">
        <v>139</v>
      </c>
      <c r="R20" s="3" t="s">
        <v>427</v>
      </c>
      <c r="S20" s="4" t="s">
        <v>428</v>
      </c>
      <c r="U20" s="4" t="s">
        <v>139</v>
      </c>
      <c r="V20" s="4" t="s">
        <v>427</v>
      </c>
      <c r="W20" s="4" t="s">
        <v>428</v>
      </c>
      <c r="Y20" s="4" t="s">
        <v>2277</v>
      </c>
      <c r="Z20" s="4" t="s">
        <v>2293</v>
      </c>
      <c r="AB20" s="3"/>
      <c r="AC20" s="3"/>
      <c r="AD20" s="3" t="s">
        <v>53</v>
      </c>
      <c r="AE20" s="3">
        <v>1000</v>
      </c>
      <c r="AI20" s="4" t="s">
        <v>2281</v>
      </c>
      <c r="AJ20" s="4" t="s">
        <v>2298</v>
      </c>
      <c r="AK20" s="3" t="s">
        <v>286</v>
      </c>
      <c r="AL20" s="4">
        <v>30080</v>
      </c>
      <c r="AM20" s="5">
        <v>253000</v>
      </c>
      <c r="AN20" s="4" t="s">
        <v>2282</v>
      </c>
      <c r="AO20" s="4">
        <v>94</v>
      </c>
      <c r="AP20" s="4">
        <v>80120000</v>
      </c>
      <c r="AQ20" s="5">
        <v>138444.98000000001</v>
      </c>
    </row>
    <row r="21" spans="1:43" s="4" customFormat="1" x14ac:dyDescent="0.25">
      <c r="A21" s="3">
        <v>4604273</v>
      </c>
      <c r="B21" s="3" t="s">
        <v>718</v>
      </c>
      <c r="C21" s="3" t="s">
        <v>2342</v>
      </c>
      <c r="D21" s="3">
        <v>10004032</v>
      </c>
      <c r="E21" s="4">
        <v>4533624</v>
      </c>
      <c r="F21" s="3" t="s">
        <v>49</v>
      </c>
      <c r="G21" s="4" t="s">
        <v>2333</v>
      </c>
      <c r="H21" s="4" t="s">
        <v>2305</v>
      </c>
      <c r="I21" s="5">
        <v>237000</v>
      </c>
      <c r="J21" s="3" t="s">
        <v>718</v>
      </c>
      <c r="K21" s="3" t="s">
        <v>77</v>
      </c>
      <c r="L21" s="3" t="s">
        <v>1046</v>
      </c>
      <c r="M21" s="4" t="s">
        <v>2344</v>
      </c>
      <c r="N21" s="3" t="s">
        <v>25</v>
      </c>
      <c r="O21" s="3" t="s">
        <v>139</v>
      </c>
      <c r="P21" s="4" t="s">
        <v>282</v>
      </c>
      <c r="Q21" s="3" t="s">
        <v>139</v>
      </c>
      <c r="R21" s="3" t="s">
        <v>427</v>
      </c>
      <c r="S21" s="4" t="s">
        <v>428</v>
      </c>
      <c r="U21" s="4" t="s">
        <v>139</v>
      </c>
      <c r="V21" s="4" t="s">
        <v>427</v>
      </c>
      <c r="W21" s="4" t="s">
        <v>428</v>
      </c>
      <c r="Y21" s="4" t="s">
        <v>2277</v>
      </c>
      <c r="Z21" s="4" t="s">
        <v>2293</v>
      </c>
      <c r="AB21" s="3"/>
      <c r="AC21" s="3"/>
      <c r="AD21" s="3" t="s">
        <v>1704</v>
      </c>
      <c r="AE21" s="3">
        <v>1000</v>
      </c>
      <c r="AI21" s="4" t="s">
        <v>2281</v>
      </c>
      <c r="AJ21" s="4" t="s">
        <v>2298</v>
      </c>
      <c r="AK21" s="3" t="s">
        <v>286</v>
      </c>
      <c r="AL21" s="4">
        <v>141591</v>
      </c>
      <c r="AM21" s="5">
        <v>237000</v>
      </c>
      <c r="AN21" s="4" t="s">
        <v>2282</v>
      </c>
      <c r="AO21" s="4">
        <v>96</v>
      </c>
      <c r="AP21" s="4">
        <v>80120000</v>
      </c>
      <c r="AQ21" s="5">
        <v>51915.17</v>
      </c>
    </row>
    <row r="22" spans="1:43" s="4" customFormat="1" x14ac:dyDescent="0.25">
      <c r="A22" s="3">
        <v>4604315</v>
      </c>
      <c r="B22" s="3" t="s">
        <v>492</v>
      </c>
      <c r="C22" s="3" t="s">
        <v>1278</v>
      </c>
      <c r="D22" s="3">
        <v>10004089</v>
      </c>
      <c r="E22" s="4">
        <v>4533666</v>
      </c>
      <c r="F22" s="3" t="s">
        <v>49</v>
      </c>
      <c r="G22" s="4" t="s">
        <v>1174</v>
      </c>
      <c r="H22" s="4" t="s">
        <v>1281</v>
      </c>
      <c r="I22" s="5">
        <v>8897</v>
      </c>
      <c r="J22" s="3" t="s">
        <v>1282</v>
      </c>
      <c r="K22" s="3" t="s">
        <v>137</v>
      </c>
      <c r="L22" s="3" t="s">
        <v>119</v>
      </c>
      <c r="M22" s="4" t="s">
        <v>1283</v>
      </c>
      <c r="N22" s="3" t="s">
        <v>56</v>
      </c>
      <c r="O22" s="3" t="s">
        <v>139</v>
      </c>
      <c r="P22" s="4" t="s">
        <v>140</v>
      </c>
      <c r="Q22" s="3"/>
      <c r="R22" s="3"/>
      <c r="Y22" s="4" t="s">
        <v>260</v>
      </c>
      <c r="Z22" s="4" t="s">
        <v>38</v>
      </c>
      <c r="AA22" s="4" t="s">
        <v>1284</v>
      </c>
      <c r="AB22" s="3" t="s">
        <v>1285</v>
      </c>
      <c r="AC22" s="3" t="s">
        <v>1286</v>
      </c>
      <c r="AD22" s="3" t="s">
        <v>492</v>
      </c>
      <c r="AE22" s="3">
        <v>1000</v>
      </c>
      <c r="AI22" s="4" t="s">
        <v>261</v>
      </c>
      <c r="AJ22" s="4" t="s">
        <v>40</v>
      </c>
      <c r="AK22" s="3" t="s">
        <v>143</v>
      </c>
      <c r="AL22" s="4">
        <v>42811</v>
      </c>
      <c r="AM22" s="5">
        <v>8897</v>
      </c>
      <c r="AN22" s="4" t="s">
        <v>124</v>
      </c>
      <c r="AO22" s="4">
        <v>99</v>
      </c>
      <c r="AP22" s="4">
        <v>80100000</v>
      </c>
      <c r="AQ22" s="4">
        <v>0</v>
      </c>
    </row>
    <row r="23" spans="1:43" s="4" customFormat="1" x14ac:dyDescent="0.25">
      <c r="A23" s="3">
        <v>4604316</v>
      </c>
      <c r="B23" s="3" t="s">
        <v>1282</v>
      </c>
      <c r="C23" s="3" t="s">
        <v>1278</v>
      </c>
      <c r="D23" s="3">
        <v>10004089</v>
      </c>
      <c r="E23" s="4">
        <v>4533667</v>
      </c>
      <c r="F23" s="3" t="s">
        <v>49</v>
      </c>
      <c r="G23" s="4" t="s">
        <v>1174</v>
      </c>
      <c r="H23" s="4" t="s">
        <v>1287</v>
      </c>
      <c r="I23" s="5">
        <v>15252</v>
      </c>
      <c r="J23" s="3" t="s">
        <v>1282</v>
      </c>
      <c r="K23" s="3" t="s">
        <v>137</v>
      </c>
      <c r="L23" s="3" t="s">
        <v>119</v>
      </c>
      <c r="M23" s="4" t="s">
        <v>1287</v>
      </c>
      <c r="N23" s="3" t="s">
        <v>56</v>
      </c>
      <c r="O23" s="3" t="s">
        <v>139</v>
      </c>
      <c r="P23" s="4" t="s">
        <v>140</v>
      </c>
      <c r="Q23" s="3"/>
      <c r="R23" s="3"/>
      <c r="Y23" s="4" t="s">
        <v>38</v>
      </c>
      <c r="Z23" s="4" t="s">
        <v>38</v>
      </c>
      <c r="AA23" s="4" t="s">
        <v>1284</v>
      </c>
      <c r="AB23" s="3" t="s">
        <v>1285</v>
      </c>
      <c r="AC23" s="3" t="s">
        <v>1286</v>
      </c>
      <c r="AD23" s="3" t="s">
        <v>847</v>
      </c>
      <c r="AE23" s="3">
        <v>1000</v>
      </c>
      <c r="AI23" s="4" t="s">
        <v>40</v>
      </c>
      <c r="AJ23" s="4" t="s">
        <v>40</v>
      </c>
      <c r="AK23" s="3" t="s">
        <v>143</v>
      </c>
      <c r="AL23" s="4">
        <v>42811</v>
      </c>
      <c r="AM23" s="5">
        <v>15252</v>
      </c>
      <c r="AN23" s="4" t="s">
        <v>124</v>
      </c>
      <c r="AO23" s="4">
        <v>99</v>
      </c>
      <c r="AP23" s="4">
        <v>80100000</v>
      </c>
      <c r="AQ23" s="5">
        <v>7625.99</v>
      </c>
    </row>
    <row r="24" spans="1:43" s="4" customFormat="1" x14ac:dyDescent="0.25">
      <c r="A24" s="3">
        <v>4604319</v>
      </c>
      <c r="B24" s="3" t="s">
        <v>1052</v>
      </c>
      <c r="C24" s="3" t="s">
        <v>2158</v>
      </c>
      <c r="D24" s="3">
        <v>10004087</v>
      </c>
      <c r="E24" s="4">
        <v>4533670</v>
      </c>
      <c r="F24" s="3" t="s">
        <v>49</v>
      </c>
      <c r="G24" s="4" t="s">
        <v>2159</v>
      </c>
      <c r="H24" s="4" t="s">
        <v>2160</v>
      </c>
      <c r="I24" s="5">
        <v>5800000</v>
      </c>
      <c r="J24" s="3" t="s">
        <v>1282</v>
      </c>
      <c r="K24" s="3" t="s">
        <v>374</v>
      </c>
      <c r="L24" s="3" t="s">
        <v>119</v>
      </c>
      <c r="M24" s="4" t="s">
        <v>2161</v>
      </c>
      <c r="N24" s="3" t="s">
        <v>25</v>
      </c>
      <c r="O24" s="3" t="s">
        <v>139</v>
      </c>
      <c r="P24" s="4" t="s">
        <v>282</v>
      </c>
      <c r="Q24" s="3"/>
      <c r="R24" s="3"/>
      <c r="U24" s="4" t="s">
        <v>139</v>
      </c>
      <c r="V24" s="4" t="s">
        <v>119</v>
      </c>
      <c r="W24" s="4" t="s">
        <v>217</v>
      </c>
      <c r="X24" s="4" t="s">
        <v>2162</v>
      </c>
      <c r="Y24" s="4" t="s">
        <v>2163</v>
      </c>
      <c r="Z24" s="4" t="s">
        <v>2164</v>
      </c>
      <c r="AA24" s="4" t="s">
        <v>2165</v>
      </c>
      <c r="AB24" s="3"/>
      <c r="AC24" s="3"/>
      <c r="AD24" s="3" t="s">
        <v>1052</v>
      </c>
      <c r="AE24" s="3">
        <v>1000</v>
      </c>
      <c r="AI24" s="4" t="s">
        <v>2166</v>
      </c>
      <c r="AJ24" s="4" t="s">
        <v>2167</v>
      </c>
      <c r="AK24" s="3" t="s">
        <v>286</v>
      </c>
      <c r="AL24" s="4">
        <v>141658</v>
      </c>
      <c r="AM24" s="5">
        <v>5800000</v>
      </c>
      <c r="AN24" s="4" t="s">
        <v>124</v>
      </c>
      <c r="AO24" s="4">
        <v>98</v>
      </c>
      <c r="AP24" s="4">
        <v>80101504</v>
      </c>
      <c r="AQ24" s="5">
        <v>1821428.56</v>
      </c>
    </row>
    <row r="25" spans="1:43" s="4" customFormat="1" x14ac:dyDescent="0.25">
      <c r="A25" s="3">
        <v>4604362</v>
      </c>
      <c r="B25" s="3" t="s">
        <v>2345</v>
      </c>
      <c r="C25" s="3" t="s">
        <v>2342</v>
      </c>
      <c r="D25" s="3">
        <v>10004141</v>
      </c>
      <c r="E25" s="4">
        <v>4533713</v>
      </c>
      <c r="F25" s="3" t="s">
        <v>49</v>
      </c>
      <c r="G25" s="4" t="s">
        <v>2300</v>
      </c>
      <c r="H25" s="4" t="s">
        <v>2301</v>
      </c>
      <c r="I25" s="5">
        <v>45000</v>
      </c>
      <c r="J25" s="3" t="s">
        <v>2345</v>
      </c>
      <c r="K25" s="3" t="s">
        <v>832</v>
      </c>
      <c r="L25" s="3" t="s">
        <v>1046</v>
      </c>
      <c r="M25" s="4" t="s">
        <v>2346</v>
      </c>
      <c r="N25" s="3" t="s">
        <v>25</v>
      </c>
      <c r="O25" s="3" t="s">
        <v>139</v>
      </c>
      <c r="P25" s="4" t="s">
        <v>282</v>
      </c>
      <c r="Q25" s="3" t="s">
        <v>139</v>
      </c>
      <c r="R25" s="3" t="s">
        <v>427</v>
      </c>
      <c r="S25" s="4" t="s">
        <v>428</v>
      </c>
      <c r="U25" s="4" t="s">
        <v>139</v>
      </c>
      <c r="V25" s="4" t="s">
        <v>427</v>
      </c>
      <c r="W25" s="4" t="s">
        <v>428</v>
      </c>
      <c r="Y25" s="4" t="s">
        <v>2286</v>
      </c>
      <c r="Z25" s="4" t="s">
        <v>2293</v>
      </c>
      <c r="AB25" s="3"/>
      <c r="AC25" s="3"/>
      <c r="AD25" s="3" t="s">
        <v>2228</v>
      </c>
      <c r="AE25" s="3">
        <v>1000</v>
      </c>
      <c r="AI25" s="4" t="s">
        <v>2288</v>
      </c>
      <c r="AJ25" s="4" t="s">
        <v>2298</v>
      </c>
      <c r="AK25" s="3" t="s">
        <v>286</v>
      </c>
      <c r="AL25" s="4">
        <v>30080</v>
      </c>
      <c r="AM25" s="5">
        <v>45000</v>
      </c>
      <c r="AN25" s="4" t="s">
        <v>2282</v>
      </c>
      <c r="AO25" s="4">
        <v>99</v>
      </c>
      <c r="AP25" s="4">
        <v>80120000</v>
      </c>
      <c r="AQ25" s="5">
        <v>3507.9</v>
      </c>
    </row>
    <row r="26" spans="1:43" s="4" customFormat="1" x14ac:dyDescent="0.25">
      <c r="A26" s="3">
        <v>4604366</v>
      </c>
      <c r="B26" s="3" t="s">
        <v>2179</v>
      </c>
      <c r="C26" s="3" t="s">
        <v>2158</v>
      </c>
      <c r="D26" s="3">
        <v>10004151</v>
      </c>
      <c r="E26" s="4">
        <v>4533717</v>
      </c>
      <c r="F26" s="3" t="s">
        <v>49</v>
      </c>
      <c r="G26" s="4" t="s">
        <v>372</v>
      </c>
      <c r="H26" s="4" t="s">
        <v>2180</v>
      </c>
      <c r="I26" s="5">
        <v>783225</v>
      </c>
      <c r="J26" s="3" t="s">
        <v>2179</v>
      </c>
      <c r="K26" s="3" t="s">
        <v>2181</v>
      </c>
      <c r="L26" s="3" t="s">
        <v>119</v>
      </c>
      <c r="M26" s="4" t="s">
        <v>2182</v>
      </c>
      <c r="N26" s="3" t="s">
        <v>56</v>
      </c>
      <c r="O26" s="3" t="s">
        <v>139</v>
      </c>
      <c r="P26" s="4" t="s">
        <v>140</v>
      </c>
      <c r="Q26" s="3"/>
      <c r="R26" s="3"/>
      <c r="Y26" s="4" t="s">
        <v>2183</v>
      </c>
      <c r="Z26" s="4" t="s">
        <v>1886</v>
      </c>
      <c r="AA26" s="4" t="s">
        <v>356</v>
      </c>
      <c r="AB26" s="3" t="s">
        <v>375</v>
      </c>
      <c r="AC26" s="3" t="s">
        <v>358</v>
      </c>
      <c r="AD26" s="3" t="s">
        <v>385</v>
      </c>
      <c r="AE26" s="3">
        <v>1000</v>
      </c>
      <c r="AI26" s="4" t="s">
        <v>2184</v>
      </c>
      <c r="AJ26" s="4" t="s">
        <v>1888</v>
      </c>
      <c r="AK26" s="3" t="s">
        <v>143</v>
      </c>
      <c r="AL26" s="4">
        <v>43825</v>
      </c>
      <c r="AM26" s="5">
        <v>783225</v>
      </c>
      <c r="AN26" s="4" t="s">
        <v>124</v>
      </c>
      <c r="AO26" s="4">
        <v>96</v>
      </c>
      <c r="AP26" s="4">
        <v>80100000</v>
      </c>
      <c r="AQ26" s="5">
        <v>201781.1</v>
      </c>
    </row>
    <row r="27" spans="1:43" s="4" customFormat="1" x14ac:dyDescent="0.25">
      <c r="A27" s="3">
        <v>4604367</v>
      </c>
      <c r="B27" s="3" t="s">
        <v>2347</v>
      </c>
      <c r="C27" s="3" t="s">
        <v>2342</v>
      </c>
      <c r="D27" s="3">
        <v>10004152</v>
      </c>
      <c r="E27" s="4">
        <v>4533718</v>
      </c>
      <c r="F27" s="3" t="s">
        <v>49</v>
      </c>
      <c r="G27" s="4" t="s">
        <v>2300</v>
      </c>
      <c r="H27" s="4" t="s">
        <v>2301</v>
      </c>
      <c r="I27" s="5">
        <v>20000</v>
      </c>
      <c r="J27" s="3" t="s">
        <v>2348</v>
      </c>
      <c r="K27" s="3" t="s">
        <v>807</v>
      </c>
      <c r="L27" s="3" t="s">
        <v>1046</v>
      </c>
      <c r="M27" s="4" t="s">
        <v>2349</v>
      </c>
      <c r="N27" s="3" t="s">
        <v>25</v>
      </c>
      <c r="O27" s="3" t="s">
        <v>139</v>
      </c>
      <c r="P27" s="4" t="s">
        <v>282</v>
      </c>
      <c r="Q27" s="3" t="s">
        <v>139</v>
      </c>
      <c r="R27" s="3" t="s">
        <v>427</v>
      </c>
      <c r="S27" s="4" t="s">
        <v>428</v>
      </c>
      <c r="U27" s="4" t="s">
        <v>139</v>
      </c>
      <c r="V27" s="4" t="s">
        <v>427</v>
      </c>
      <c r="W27" s="4" t="s">
        <v>428</v>
      </c>
      <c r="Y27" s="4" t="s">
        <v>2277</v>
      </c>
      <c r="Z27" s="4" t="s">
        <v>2293</v>
      </c>
      <c r="AB27" s="3"/>
      <c r="AC27" s="3"/>
      <c r="AD27" s="3" t="s">
        <v>768</v>
      </c>
      <c r="AE27" s="3">
        <v>1000</v>
      </c>
      <c r="AI27" s="4" t="s">
        <v>2281</v>
      </c>
      <c r="AJ27" s="4" t="s">
        <v>2298</v>
      </c>
      <c r="AK27" s="3" t="s">
        <v>286</v>
      </c>
      <c r="AL27" s="4">
        <v>30080</v>
      </c>
      <c r="AM27" s="5">
        <v>20000</v>
      </c>
      <c r="AN27" s="4" t="s">
        <v>2282</v>
      </c>
      <c r="AO27" s="4">
        <v>99</v>
      </c>
      <c r="AP27" s="4">
        <v>80120000</v>
      </c>
      <c r="AQ27" s="5">
        <v>4419.8</v>
      </c>
    </row>
    <row r="28" spans="1:43" s="4" customFormat="1" x14ac:dyDescent="0.25">
      <c r="A28" s="3">
        <v>4604369</v>
      </c>
      <c r="B28" s="3" t="s">
        <v>928</v>
      </c>
      <c r="C28" s="3" t="s">
        <v>2342</v>
      </c>
      <c r="D28" s="3">
        <v>10004154</v>
      </c>
      <c r="E28" s="4">
        <v>4533720</v>
      </c>
      <c r="F28" s="3" t="s">
        <v>49</v>
      </c>
      <c r="G28" s="4" t="s">
        <v>2290</v>
      </c>
      <c r="H28" s="4" t="s">
        <v>2301</v>
      </c>
      <c r="I28" s="5">
        <v>16378</v>
      </c>
      <c r="J28" s="3" t="s">
        <v>928</v>
      </c>
      <c r="K28" s="3" t="s">
        <v>1194</v>
      </c>
      <c r="L28" s="3" t="s">
        <v>1046</v>
      </c>
      <c r="M28" s="4" t="s">
        <v>2350</v>
      </c>
      <c r="N28" s="3" t="s">
        <v>25</v>
      </c>
      <c r="O28" s="3" t="s">
        <v>139</v>
      </c>
      <c r="P28" s="4" t="s">
        <v>282</v>
      </c>
      <c r="Q28" s="3" t="s">
        <v>139</v>
      </c>
      <c r="R28" s="3" t="s">
        <v>215</v>
      </c>
      <c r="S28" s="4" t="s">
        <v>216</v>
      </c>
      <c r="U28" s="4" t="s">
        <v>139</v>
      </c>
      <c r="V28" s="4" t="s">
        <v>427</v>
      </c>
      <c r="W28" s="4" t="s">
        <v>428</v>
      </c>
      <c r="Y28" s="4" t="s">
        <v>2277</v>
      </c>
      <c r="Z28" s="4" t="s">
        <v>2293</v>
      </c>
      <c r="AB28" s="3"/>
      <c r="AC28" s="3"/>
      <c r="AD28" s="3" t="s">
        <v>1613</v>
      </c>
      <c r="AE28" s="3">
        <v>1000</v>
      </c>
      <c r="AI28" s="4" t="s">
        <v>2281</v>
      </c>
      <c r="AJ28" s="4" t="s">
        <v>2298</v>
      </c>
      <c r="AK28" s="3" t="s">
        <v>286</v>
      </c>
      <c r="AL28" s="4">
        <v>140444</v>
      </c>
      <c r="AM28" s="5">
        <v>16378</v>
      </c>
      <c r="AN28" s="4" t="s">
        <v>2282</v>
      </c>
      <c r="AO28" s="4">
        <v>99</v>
      </c>
      <c r="AP28" s="4">
        <v>80120000</v>
      </c>
      <c r="AQ28" s="5">
        <v>6477.72</v>
      </c>
    </row>
    <row r="29" spans="1:43" s="4" customFormat="1" x14ac:dyDescent="0.25">
      <c r="A29" s="3">
        <v>4604413</v>
      </c>
      <c r="B29" s="3" t="s">
        <v>2351</v>
      </c>
      <c r="C29" s="3" t="s">
        <v>2342</v>
      </c>
      <c r="D29" s="3">
        <v>10004199</v>
      </c>
      <c r="E29" s="4">
        <v>4533764</v>
      </c>
      <c r="F29" s="3" t="s">
        <v>49</v>
      </c>
      <c r="G29" s="4" t="s">
        <v>2352</v>
      </c>
      <c r="H29" s="4" t="s">
        <v>2353</v>
      </c>
      <c r="I29" s="5">
        <v>55000</v>
      </c>
      <c r="J29" s="3" t="s">
        <v>2351</v>
      </c>
      <c r="K29" s="3" t="s">
        <v>832</v>
      </c>
      <c r="L29" s="3" t="s">
        <v>1046</v>
      </c>
      <c r="M29" s="4" t="s">
        <v>2354</v>
      </c>
      <c r="N29" s="3" t="s">
        <v>25</v>
      </c>
      <c r="O29" s="3" t="s">
        <v>139</v>
      </c>
      <c r="P29" s="4" t="s">
        <v>282</v>
      </c>
      <c r="Q29" s="3" t="s">
        <v>139</v>
      </c>
      <c r="R29" s="3" t="s">
        <v>427</v>
      </c>
      <c r="S29" s="4" t="s">
        <v>428</v>
      </c>
      <c r="U29" s="4" t="s">
        <v>139</v>
      </c>
      <c r="V29" s="4" t="s">
        <v>427</v>
      </c>
      <c r="W29" s="4" t="s">
        <v>428</v>
      </c>
      <c r="Y29" s="4" t="s">
        <v>2286</v>
      </c>
      <c r="Z29" s="4" t="s">
        <v>2293</v>
      </c>
      <c r="AB29" s="3"/>
      <c r="AC29" s="3"/>
      <c r="AD29" s="3" t="s">
        <v>2228</v>
      </c>
      <c r="AE29" s="3">
        <v>1000</v>
      </c>
      <c r="AI29" s="4" t="s">
        <v>2288</v>
      </c>
      <c r="AJ29" s="4" t="s">
        <v>2298</v>
      </c>
      <c r="AK29" s="3" t="s">
        <v>286</v>
      </c>
      <c r="AL29" s="4">
        <v>44024</v>
      </c>
      <c r="AM29" s="5">
        <v>55000</v>
      </c>
      <c r="AN29" s="4" t="s">
        <v>2282</v>
      </c>
      <c r="AO29" s="4">
        <v>99</v>
      </c>
      <c r="AP29" s="4">
        <v>80120000</v>
      </c>
      <c r="AQ29" s="5">
        <v>32414.5</v>
      </c>
    </row>
    <row r="30" spans="1:43" s="4" customFormat="1" x14ac:dyDescent="0.25">
      <c r="A30" s="3">
        <v>4604429</v>
      </c>
      <c r="B30" s="3" t="s">
        <v>2355</v>
      </c>
      <c r="C30" s="3" t="s">
        <v>2342</v>
      </c>
      <c r="D30" s="3">
        <v>10004220</v>
      </c>
      <c r="E30" s="4">
        <v>4533780</v>
      </c>
      <c r="F30" s="3" t="s">
        <v>49</v>
      </c>
      <c r="G30" s="4" t="s">
        <v>1672</v>
      </c>
      <c r="I30" s="5">
        <v>7700</v>
      </c>
      <c r="J30" s="3" t="s">
        <v>2355</v>
      </c>
      <c r="K30" s="3" t="s">
        <v>77</v>
      </c>
      <c r="L30" s="3" t="s">
        <v>1046</v>
      </c>
      <c r="M30" s="4" t="s">
        <v>2356</v>
      </c>
      <c r="N30" s="3" t="s">
        <v>25</v>
      </c>
      <c r="O30" s="3" t="s">
        <v>139</v>
      </c>
      <c r="P30" s="4" t="s">
        <v>2207</v>
      </c>
      <c r="Q30" s="3"/>
      <c r="R30" s="3"/>
      <c r="Y30" s="4" t="s">
        <v>2286</v>
      </c>
      <c r="Z30" s="4" t="s">
        <v>2293</v>
      </c>
      <c r="AB30" s="3"/>
      <c r="AC30" s="3"/>
      <c r="AD30" s="3" t="s">
        <v>774</v>
      </c>
      <c r="AE30" s="3">
        <v>1000</v>
      </c>
      <c r="AI30" s="4" t="s">
        <v>2288</v>
      </c>
      <c r="AJ30" s="4" t="s">
        <v>2298</v>
      </c>
      <c r="AK30" s="3" t="s">
        <v>2210</v>
      </c>
      <c r="AL30" s="4">
        <v>30068</v>
      </c>
      <c r="AM30" s="5">
        <v>7700</v>
      </c>
      <c r="AN30" s="4" t="s">
        <v>2282</v>
      </c>
      <c r="AQ30" s="5">
        <v>4609.7299999999996</v>
      </c>
    </row>
    <row r="31" spans="1:43" s="4" customFormat="1" x14ac:dyDescent="0.25">
      <c r="A31" s="3">
        <v>4604435</v>
      </c>
      <c r="B31" s="3" t="s">
        <v>2195</v>
      </c>
      <c r="C31" s="3" t="s">
        <v>2158</v>
      </c>
      <c r="D31" s="3">
        <v>10004224</v>
      </c>
      <c r="E31" s="4">
        <v>4533786</v>
      </c>
      <c r="F31" s="3" t="s">
        <v>49</v>
      </c>
      <c r="G31" s="4" t="s">
        <v>2196</v>
      </c>
      <c r="H31" s="4" t="s">
        <v>2197</v>
      </c>
      <c r="I31" s="5">
        <v>15000</v>
      </c>
      <c r="J31" s="3" t="s">
        <v>2195</v>
      </c>
      <c r="K31" s="3" t="s">
        <v>223</v>
      </c>
      <c r="L31" s="3" t="s">
        <v>196</v>
      </c>
      <c r="M31" s="4" t="s">
        <v>2197</v>
      </c>
      <c r="N31" s="3" t="s">
        <v>25</v>
      </c>
      <c r="O31" s="3" t="s">
        <v>139</v>
      </c>
      <c r="P31" s="4" t="s">
        <v>140</v>
      </c>
      <c r="Q31" s="3"/>
      <c r="R31" s="3"/>
      <c r="Y31" s="4" t="s">
        <v>307</v>
      </c>
      <c r="Z31" s="4" t="s">
        <v>307</v>
      </c>
      <c r="AB31" s="3"/>
      <c r="AC31" s="3"/>
      <c r="AD31" s="3" t="s">
        <v>1601</v>
      </c>
      <c r="AE31" s="3">
        <v>1000</v>
      </c>
      <c r="AI31" s="4" t="s">
        <v>309</v>
      </c>
      <c r="AJ31" s="4" t="s">
        <v>309</v>
      </c>
      <c r="AK31" s="3" t="s">
        <v>143</v>
      </c>
      <c r="AL31" s="4">
        <v>141718</v>
      </c>
      <c r="AM31" s="5">
        <v>15000</v>
      </c>
      <c r="AN31" s="4" t="s">
        <v>124</v>
      </c>
      <c r="AO31" s="4">
        <v>99</v>
      </c>
      <c r="AP31" s="4">
        <v>80100000</v>
      </c>
      <c r="AQ31" s="5">
        <v>3325</v>
      </c>
    </row>
    <row r="32" spans="1:43" s="4" customFormat="1" x14ac:dyDescent="0.25">
      <c r="A32" s="3">
        <v>4604436</v>
      </c>
      <c r="B32" s="3" t="s">
        <v>2357</v>
      </c>
      <c r="C32" s="3" t="s">
        <v>2342</v>
      </c>
      <c r="D32" s="3">
        <v>10004227</v>
      </c>
      <c r="E32" s="4">
        <v>4533787</v>
      </c>
      <c r="F32" s="3" t="s">
        <v>49</v>
      </c>
      <c r="G32" s="4" t="s">
        <v>2300</v>
      </c>
      <c r="I32" s="5">
        <v>9350</v>
      </c>
      <c r="J32" s="3" t="s">
        <v>2357</v>
      </c>
      <c r="K32" s="3" t="s">
        <v>807</v>
      </c>
      <c r="L32" s="3" t="s">
        <v>1046</v>
      </c>
      <c r="M32" s="4" t="s">
        <v>2358</v>
      </c>
      <c r="N32" s="3" t="s">
        <v>25</v>
      </c>
      <c r="O32" s="3" t="s">
        <v>139</v>
      </c>
      <c r="P32" s="4" t="s">
        <v>282</v>
      </c>
      <c r="Q32" s="3"/>
      <c r="R32" s="3"/>
      <c r="Y32" s="4" t="s">
        <v>2292</v>
      </c>
      <c r="Z32" s="4" t="s">
        <v>2293</v>
      </c>
      <c r="AB32" s="3"/>
      <c r="AC32" s="3"/>
      <c r="AD32" s="3" t="s">
        <v>1691</v>
      </c>
      <c r="AE32" s="3">
        <v>1000</v>
      </c>
      <c r="AI32" s="4" t="s">
        <v>2297</v>
      </c>
      <c r="AJ32" s="4" t="s">
        <v>2298</v>
      </c>
      <c r="AK32" s="3" t="s">
        <v>286</v>
      </c>
      <c r="AL32" s="4">
        <v>30080</v>
      </c>
      <c r="AM32" s="5">
        <v>9350</v>
      </c>
      <c r="AN32" s="4" t="s">
        <v>2282</v>
      </c>
      <c r="AQ32" s="5">
        <v>7155.56</v>
      </c>
    </row>
    <row r="33" spans="1:43" s="25" customFormat="1" x14ac:dyDescent="0.25">
      <c r="A33" s="24">
        <v>4604437</v>
      </c>
      <c r="B33" s="24" t="s">
        <v>2198</v>
      </c>
      <c r="C33" s="24" t="s">
        <v>2158</v>
      </c>
      <c r="D33" s="24">
        <v>10004226</v>
      </c>
      <c r="E33" s="25">
        <v>4533788</v>
      </c>
      <c r="F33" s="24" t="s">
        <v>49</v>
      </c>
      <c r="G33" s="25" t="s">
        <v>2199</v>
      </c>
      <c r="H33" s="25" t="s">
        <v>2200</v>
      </c>
      <c r="I33" s="26">
        <v>57250</v>
      </c>
      <c r="J33" s="24" t="s">
        <v>2198</v>
      </c>
      <c r="K33" s="24" t="s">
        <v>223</v>
      </c>
      <c r="L33" s="24" t="s">
        <v>196</v>
      </c>
      <c r="M33" s="25" t="s">
        <v>2201</v>
      </c>
      <c r="N33" s="24" t="s">
        <v>25</v>
      </c>
      <c r="O33" s="24" t="s">
        <v>139</v>
      </c>
      <c r="P33" s="25" t="s">
        <v>282</v>
      </c>
      <c r="Q33" s="24" t="s">
        <v>139</v>
      </c>
      <c r="R33" s="24" t="s">
        <v>427</v>
      </c>
      <c r="S33" s="25" t="s">
        <v>428</v>
      </c>
      <c r="U33" s="25" t="s">
        <v>139</v>
      </c>
      <c r="V33" s="25" t="s">
        <v>427</v>
      </c>
      <c r="W33" s="25" t="s">
        <v>428</v>
      </c>
      <c r="Y33" s="25" t="s">
        <v>307</v>
      </c>
      <c r="Z33" s="25" t="s">
        <v>307</v>
      </c>
      <c r="AB33" s="24"/>
      <c r="AC33" s="24"/>
      <c r="AD33" s="24" t="s">
        <v>1543</v>
      </c>
      <c r="AE33" s="24">
        <v>1000</v>
      </c>
      <c r="AI33" s="25" t="s">
        <v>309</v>
      </c>
      <c r="AJ33" s="25" t="s">
        <v>309</v>
      </c>
      <c r="AK33" s="24" t="s">
        <v>286</v>
      </c>
      <c r="AL33" s="25">
        <v>141720</v>
      </c>
      <c r="AM33" s="26">
        <v>57250</v>
      </c>
      <c r="AN33" s="25" t="s">
        <v>124</v>
      </c>
      <c r="AO33" s="25">
        <v>99</v>
      </c>
      <c r="AP33" s="25">
        <v>80100000</v>
      </c>
      <c r="AQ33" s="5">
        <v>2992.3</v>
      </c>
    </row>
    <row r="34" spans="1:43" s="4" customFormat="1" x14ac:dyDescent="0.25">
      <c r="A34" s="3">
        <v>4604444</v>
      </c>
      <c r="B34" s="3" t="s">
        <v>2359</v>
      </c>
      <c r="C34" s="3" t="s">
        <v>2342</v>
      </c>
      <c r="D34" s="3">
        <v>10004239</v>
      </c>
      <c r="E34" s="4">
        <v>4533795</v>
      </c>
      <c r="F34" s="3" t="s">
        <v>49</v>
      </c>
      <c r="G34" s="4" t="s">
        <v>2300</v>
      </c>
      <c r="I34" s="5">
        <v>5500</v>
      </c>
      <c r="J34" s="3" t="s">
        <v>2359</v>
      </c>
      <c r="K34" s="3" t="s">
        <v>807</v>
      </c>
      <c r="L34" s="3" t="s">
        <v>1046</v>
      </c>
      <c r="M34" s="4" t="s">
        <v>2360</v>
      </c>
      <c r="N34" s="3" t="s">
        <v>25</v>
      </c>
      <c r="O34" s="3" t="s">
        <v>139</v>
      </c>
      <c r="P34" s="4" t="s">
        <v>2207</v>
      </c>
      <c r="Q34" s="3"/>
      <c r="R34" s="3"/>
      <c r="Y34" s="4" t="s">
        <v>2292</v>
      </c>
      <c r="Z34" s="4" t="s">
        <v>2293</v>
      </c>
      <c r="AB34" s="3"/>
      <c r="AC34" s="3"/>
      <c r="AD34" s="3" t="s">
        <v>2228</v>
      </c>
      <c r="AE34" s="3">
        <v>1000</v>
      </c>
      <c r="AI34" s="4" t="s">
        <v>2297</v>
      </c>
      <c r="AJ34" s="4" t="s">
        <v>2298</v>
      </c>
      <c r="AK34" s="3" t="s">
        <v>2210</v>
      </c>
      <c r="AL34" s="4">
        <v>30080</v>
      </c>
      <c r="AM34" s="5">
        <v>5500</v>
      </c>
      <c r="AN34" s="4" t="s">
        <v>2282</v>
      </c>
      <c r="AQ34" s="4">
        <v>529.1</v>
      </c>
    </row>
    <row r="35" spans="1:43" s="4" customFormat="1" x14ac:dyDescent="0.25">
      <c r="A35" s="3">
        <v>4604456</v>
      </c>
      <c r="B35" s="3" t="s">
        <v>200</v>
      </c>
      <c r="C35" s="3" t="s">
        <v>2158</v>
      </c>
      <c r="D35" s="3">
        <v>10004224</v>
      </c>
      <c r="E35" s="4">
        <v>4533807</v>
      </c>
      <c r="F35" s="3" t="s">
        <v>49</v>
      </c>
      <c r="G35" s="4" t="s">
        <v>2202</v>
      </c>
      <c r="H35" s="4" t="s">
        <v>2197</v>
      </c>
      <c r="I35" s="5">
        <v>22500</v>
      </c>
      <c r="J35" s="3" t="s">
        <v>2195</v>
      </c>
      <c r="K35" s="3" t="s">
        <v>223</v>
      </c>
      <c r="L35" s="3" t="s">
        <v>196</v>
      </c>
      <c r="M35" s="4" t="s">
        <v>2197</v>
      </c>
      <c r="N35" s="3" t="s">
        <v>25</v>
      </c>
      <c r="O35" s="3" t="s">
        <v>139</v>
      </c>
      <c r="P35" s="4" t="s">
        <v>140</v>
      </c>
      <c r="Q35" s="3"/>
      <c r="R35" s="3"/>
      <c r="Y35" s="4" t="s">
        <v>307</v>
      </c>
      <c r="Z35" s="4" t="s">
        <v>307</v>
      </c>
      <c r="AB35" s="3"/>
      <c r="AC35" s="3"/>
      <c r="AD35" s="3" t="s">
        <v>1601</v>
      </c>
      <c r="AE35" s="3">
        <v>1000</v>
      </c>
      <c r="AI35" s="4" t="s">
        <v>309</v>
      </c>
      <c r="AJ35" s="4" t="s">
        <v>309</v>
      </c>
      <c r="AK35" s="3" t="s">
        <v>143</v>
      </c>
      <c r="AL35" s="4">
        <v>141726</v>
      </c>
      <c r="AM35" s="5">
        <v>22500</v>
      </c>
      <c r="AN35" s="4" t="s">
        <v>124</v>
      </c>
      <c r="AO35" s="4">
        <v>99</v>
      </c>
      <c r="AP35" s="4">
        <v>80100000</v>
      </c>
      <c r="AQ35" s="5">
        <v>5600</v>
      </c>
    </row>
    <row r="36" spans="1:43" s="4" customFormat="1" x14ac:dyDescent="0.25">
      <c r="A36" s="3">
        <v>4604466</v>
      </c>
      <c r="B36" s="3" t="s">
        <v>200</v>
      </c>
      <c r="C36" s="3" t="s">
        <v>2158</v>
      </c>
      <c r="D36" s="3">
        <v>10004224</v>
      </c>
      <c r="E36" s="4">
        <v>4533817</v>
      </c>
      <c r="F36" s="3" t="s">
        <v>49</v>
      </c>
      <c r="G36" s="4" t="s">
        <v>2203</v>
      </c>
      <c r="H36" s="4" t="s">
        <v>2197</v>
      </c>
      <c r="I36" s="5">
        <v>22500</v>
      </c>
      <c r="J36" s="3" t="s">
        <v>2195</v>
      </c>
      <c r="K36" s="3" t="s">
        <v>223</v>
      </c>
      <c r="L36" s="3" t="s">
        <v>196</v>
      </c>
      <c r="M36" s="4" t="s">
        <v>2197</v>
      </c>
      <c r="N36" s="3" t="s">
        <v>25</v>
      </c>
      <c r="O36" s="3" t="s">
        <v>139</v>
      </c>
      <c r="P36" s="4" t="s">
        <v>140</v>
      </c>
      <c r="Q36" s="3"/>
      <c r="R36" s="3"/>
      <c r="Y36" s="4" t="s">
        <v>307</v>
      </c>
      <c r="Z36" s="4" t="s">
        <v>307</v>
      </c>
      <c r="AB36" s="3"/>
      <c r="AC36" s="3"/>
      <c r="AD36" s="3" t="s">
        <v>1601</v>
      </c>
      <c r="AE36" s="3">
        <v>1000</v>
      </c>
      <c r="AI36" s="4" t="s">
        <v>309</v>
      </c>
      <c r="AJ36" s="4" t="s">
        <v>309</v>
      </c>
      <c r="AK36" s="3" t="s">
        <v>143</v>
      </c>
      <c r="AL36" s="4">
        <v>141732</v>
      </c>
      <c r="AM36" s="5">
        <v>22500</v>
      </c>
      <c r="AN36" s="4" t="s">
        <v>124</v>
      </c>
      <c r="AO36" s="4">
        <v>99</v>
      </c>
      <c r="AP36" s="4">
        <v>80100000</v>
      </c>
      <c r="AQ36" s="5">
        <v>1925</v>
      </c>
    </row>
    <row r="37" spans="1:43" s="4" customFormat="1" x14ac:dyDescent="0.25">
      <c r="A37" s="3">
        <v>4604473</v>
      </c>
      <c r="B37" s="3" t="s">
        <v>732</v>
      </c>
      <c r="C37" s="3" t="s">
        <v>560</v>
      </c>
      <c r="D37" s="3">
        <v>10004235</v>
      </c>
      <c r="E37" s="4">
        <v>4533824</v>
      </c>
      <c r="F37" s="3" t="s">
        <v>49</v>
      </c>
      <c r="G37" s="4" t="s">
        <v>733</v>
      </c>
      <c r="H37" s="4" t="s">
        <v>734</v>
      </c>
      <c r="I37" s="5">
        <v>73436</v>
      </c>
      <c r="J37" s="3" t="s">
        <v>735</v>
      </c>
      <c r="K37" s="3" t="s">
        <v>736</v>
      </c>
      <c r="L37" s="3" t="s">
        <v>119</v>
      </c>
      <c r="M37" s="4" t="s">
        <v>734</v>
      </c>
      <c r="N37" s="3" t="s">
        <v>56</v>
      </c>
      <c r="O37" s="3" t="s">
        <v>139</v>
      </c>
      <c r="P37" s="4" t="s">
        <v>140</v>
      </c>
      <c r="Q37" s="3"/>
      <c r="R37" s="3"/>
      <c r="Y37" s="4" t="s">
        <v>737</v>
      </c>
      <c r="Z37" s="4" t="s">
        <v>738</v>
      </c>
      <c r="AA37" s="4" t="s">
        <v>356</v>
      </c>
      <c r="AB37" s="3" t="s">
        <v>739</v>
      </c>
      <c r="AC37" s="3" t="s">
        <v>358</v>
      </c>
      <c r="AD37" s="3" t="s">
        <v>265</v>
      </c>
      <c r="AE37" s="3">
        <v>1000</v>
      </c>
      <c r="AI37" s="4" t="s">
        <v>740</v>
      </c>
      <c r="AJ37" s="4" t="s">
        <v>741</v>
      </c>
      <c r="AK37" s="3" t="s">
        <v>143</v>
      </c>
      <c r="AL37" s="4">
        <v>141735</v>
      </c>
      <c r="AM37" s="5">
        <v>73436</v>
      </c>
      <c r="AN37" s="4" t="s">
        <v>124</v>
      </c>
      <c r="AO37" s="4">
        <v>99</v>
      </c>
      <c r="AP37" s="4">
        <v>80141500</v>
      </c>
      <c r="AQ37" s="5">
        <v>63136</v>
      </c>
    </row>
    <row r="38" spans="1:43" s="4" customFormat="1" x14ac:dyDescent="0.25">
      <c r="A38" s="3">
        <v>4604486</v>
      </c>
      <c r="B38" s="3" t="s">
        <v>1410</v>
      </c>
      <c r="C38" s="3" t="s">
        <v>2158</v>
      </c>
      <c r="D38" s="3">
        <v>10004278</v>
      </c>
      <c r="E38" s="4">
        <v>4533837</v>
      </c>
      <c r="F38" s="3" t="s">
        <v>49</v>
      </c>
      <c r="G38" s="4" t="s">
        <v>470</v>
      </c>
      <c r="H38" s="4" t="s">
        <v>2204</v>
      </c>
      <c r="I38" s="5">
        <v>100015</v>
      </c>
      <c r="J38" s="3" t="s">
        <v>1410</v>
      </c>
      <c r="K38" s="3" t="s">
        <v>997</v>
      </c>
      <c r="L38" s="3" t="s">
        <v>119</v>
      </c>
      <c r="M38" s="4" t="s">
        <v>2204</v>
      </c>
      <c r="N38" s="3" t="s">
        <v>56</v>
      </c>
      <c r="O38" s="3" t="s">
        <v>139</v>
      </c>
      <c r="P38" s="4" t="s">
        <v>282</v>
      </c>
      <c r="Q38" s="3"/>
      <c r="R38" s="3"/>
      <c r="Y38" s="4" t="s">
        <v>307</v>
      </c>
      <c r="Z38" s="4" t="s">
        <v>307</v>
      </c>
      <c r="AA38" s="4" t="s">
        <v>356</v>
      </c>
      <c r="AB38" s="3" t="s">
        <v>473</v>
      </c>
      <c r="AC38" s="3" t="s">
        <v>358</v>
      </c>
      <c r="AD38" s="3" t="s">
        <v>385</v>
      </c>
      <c r="AE38" s="3">
        <v>1000</v>
      </c>
      <c r="AI38" s="4" t="s">
        <v>309</v>
      </c>
      <c r="AJ38" s="4" t="s">
        <v>309</v>
      </c>
      <c r="AK38" s="3" t="s">
        <v>286</v>
      </c>
      <c r="AL38" s="4">
        <v>41344</v>
      </c>
      <c r="AM38" s="5">
        <v>100015</v>
      </c>
      <c r="AN38" s="4" t="s">
        <v>124</v>
      </c>
      <c r="AO38" s="4">
        <v>98</v>
      </c>
      <c r="AP38" s="4">
        <v>80100000</v>
      </c>
      <c r="AQ38" s="5">
        <v>41530.19</v>
      </c>
    </row>
    <row r="39" spans="1:43" s="4" customFormat="1" x14ac:dyDescent="0.25">
      <c r="A39" s="3">
        <v>4604494</v>
      </c>
      <c r="B39" s="3" t="s">
        <v>2362</v>
      </c>
      <c r="C39" s="3" t="s">
        <v>2342</v>
      </c>
      <c r="D39" s="3">
        <v>10004286</v>
      </c>
      <c r="E39" s="4">
        <v>4533845</v>
      </c>
      <c r="F39" s="3" t="s">
        <v>49</v>
      </c>
      <c r="G39" s="4" t="s">
        <v>2364</v>
      </c>
      <c r="H39" s="4" t="s">
        <v>2365</v>
      </c>
      <c r="I39" s="5">
        <v>302579.42</v>
      </c>
      <c r="J39" s="3" t="s">
        <v>2362</v>
      </c>
      <c r="K39" s="3" t="s">
        <v>77</v>
      </c>
      <c r="L39" s="3" t="s">
        <v>1046</v>
      </c>
      <c r="M39" s="4" t="s">
        <v>2366</v>
      </c>
      <c r="N39" s="3" t="s">
        <v>25</v>
      </c>
      <c r="O39" s="3" t="s">
        <v>139</v>
      </c>
      <c r="P39" s="4" t="s">
        <v>282</v>
      </c>
      <c r="Q39" s="3"/>
      <c r="R39" s="3"/>
      <c r="U39" s="4" t="s">
        <v>139</v>
      </c>
      <c r="V39" s="4" t="s">
        <v>427</v>
      </c>
      <c r="W39" s="4" t="s">
        <v>428</v>
      </c>
      <c r="Y39" s="4" t="s">
        <v>2286</v>
      </c>
      <c r="Z39" s="4" t="s">
        <v>2293</v>
      </c>
      <c r="AB39" s="3"/>
      <c r="AC39" s="3"/>
      <c r="AD39" s="3" t="s">
        <v>494</v>
      </c>
      <c r="AE39" s="3">
        <v>1000</v>
      </c>
      <c r="AI39" s="4" t="s">
        <v>2288</v>
      </c>
      <c r="AJ39" s="4" t="s">
        <v>2298</v>
      </c>
      <c r="AK39" s="3" t="s">
        <v>286</v>
      </c>
      <c r="AL39" s="4">
        <v>141746</v>
      </c>
      <c r="AM39" s="5">
        <v>302579.42</v>
      </c>
      <c r="AN39" s="4" t="s">
        <v>2282</v>
      </c>
      <c r="AO39" s="4">
        <v>97</v>
      </c>
      <c r="AP39" s="4">
        <v>80120000</v>
      </c>
      <c r="AQ39" s="5">
        <v>113929.42</v>
      </c>
    </row>
    <row r="40" spans="1:43" s="4" customFormat="1" x14ac:dyDescent="0.25">
      <c r="A40" s="3">
        <v>4604502</v>
      </c>
      <c r="B40" s="3" t="s">
        <v>748</v>
      </c>
      <c r="C40" s="3" t="s">
        <v>2342</v>
      </c>
      <c r="D40" s="3">
        <v>10004294</v>
      </c>
      <c r="E40" s="4">
        <v>4533853</v>
      </c>
      <c r="F40" s="3" t="s">
        <v>49</v>
      </c>
      <c r="G40" s="4" t="s">
        <v>2367</v>
      </c>
      <c r="H40" s="4" t="s">
        <v>2301</v>
      </c>
      <c r="I40" s="5">
        <v>67648</v>
      </c>
      <c r="J40" s="3" t="s">
        <v>748</v>
      </c>
      <c r="K40" s="3" t="s">
        <v>77</v>
      </c>
      <c r="L40" s="3" t="s">
        <v>1046</v>
      </c>
      <c r="M40" s="4" t="s">
        <v>2368</v>
      </c>
      <c r="N40" s="3" t="s">
        <v>25</v>
      </c>
      <c r="O40" s="3" t="s">
        <v>139</v>
      </c>
      <c r="P40" s="4" t="s">
        <v>282</v>
      </c>
      <c r="Q40" s="3"/>
      <c r="R40" s="3"/>
      <c r="U40" s="4" t="s">
        <v>139</v>
      </c>
      <c r="V40" s="4" t="s">
        <v>427</v>
      </c>
      <c r="W40" s="4" t="s">
        <v>428</v>
      </c>
      <c r="Y40" s="4" t="s">
        <v>2286</v>
      </c>
      <c r="Z40" s="4" t="s">
        <v>2293</v>
      </c>
      <c r="AB40" s="3"/>
      <c r="AC40" s="3"/>
      <c r="AD40" s="3" t="s">
        <v>486</v>
      </c>
      <c r="AE40" s="3">
        <v>1000</v>
      </c>
      <c r="AI40" s="4" t="s">
        <v>2288</v>
      </c>
      <c r="AJ40" s="4" t="s">
        <v>2298</v>
      </c>
      <c r="AK40" s="3" t="s">
        <v>286</v>
      </c>
      <c r="AL40" s="4">
        <v>49623</v>
      </c>
      <c r="AM40" s="5">
        <v>67648</v>
      </c>
      <c r="AN40" s="4" t="s">
        <v>2282</v>
      </c>
      <c r="AO40" s="4">
        <v>98</v>
      </c>
      <c r="AP40" s="4">
        <v>80120000</v>
      </c>
      <c r="AQ40" s="5">
        <v>24596</v>
      </c>
    </row>
    <row r="41" spans="1:43" s="4" customFormat="1" x14ac:dyDescent="0.25">
      <c r="A41" s="3">
        <v>4604531</v>
      </c>
      <c r="B41" s="3" t="s">
        <v>896</v>
      </c>
      <c r="C41" s="3" t="s">
        <v>2342</v>
      </c>
      <c r="D41" s="3">
        <v>10004321</v>
      </c>
      <c r="E41" s="4">
        <v>4533882</v>
      </c>
      <c r="F41" s="3" t="s">
        <v>49</v>
      </c>
      <c r="G41" s="4" t="s">
        <v>2300</v>
      </c>
      <c r="H41" s="4" t="s">
        <v>2369</v>
      </c>
      <c r="I41" s="5">
        <v>75000</v>
      </c>
      <c r="J41" s="3" t="s">
        <v>896</v>
      </c>
      <c r="K41" s="3" t="s">
        <v>807</v>
      </c>
      <c r="L41" s="3" t="s">
        <v>1046</v>
      </c>
      <c r="M41" s="4" t="s">
        <v>2370</v>
      </c>
      <c r="N41" s="3" t="s">
        <v>25</v>
      </c>
      <c r="O41" s="3" t="s">
        <v>139</v>
      </c>
      <c r="P41" s="4" t="s">
        <v>282</v>
      </c>
      <c r="Q41" s="3" t="s">
        <v>139</v>
      </c>
      <c r="R41" s="3" t="s">
        <v>215</v>
      </c>
      <c r="S41" s="4" t="s">
        <v>216</v>
      </c>
      <c r="U41" s="4" t="s">
        <v>139</v>
      </c>
      <c r="V41" s="4" t="s">
        <v>427</v>
      </c>
      <c r="W41" s="4" t="s">
        <v>428</v>
      </c>
      <c r="Y41" s="4" t="s">
        <v>2277</v>
      </c>
      <c r="Z41" s="4" t="s">
        <v>2293</v>
      </c>
      <c r="AB41" s="3"/>
      <c r="AC41" s="3"/>
      <c r="AD41" s="3" t="s">
        <v>774</v>
      </c>
      <c r="AE41" s="3">
        <v>1000</v>
      </c>
      <c r="AI41" s="4" t="s">
        <v>2281</v>
      </c>
      <c r="AJ41" s="4" t="s">
        <v>2298</v>
      </c>
      <c r="AK41" s="3" t="s">
        <v>286</v>
      </c>
      <c r="AL41" s="4">
        <v>30080</v>
      </c>
      <c r="AM41" s="5">
        <v>75000</v>
      </c>
      <c r="AN41" s="4" t="s">
        <v>2282</v>
      </c>
      <c r="AO41" s="4">
        <v>99</v>
      </c>
      <c r="AP41" s="4">
        <v>80120000</v>
      </c>
      <c r="AQ41" s="5">
        <v>26092.31</v>
      </c>
    </row>
    <row r="42" spans="1:43" s="4" customFormat="1" x14ac:dyDescent="0.25">
      <c r="A42" s="3">
        <v>4604539</v>
      </c>
      <c r="B42" s="3" t="s">
        <v>265</v>
      </c>
      <c r="C42" s="3" t="s">
        <v>1278</v>
      </c>
      <c r="D42" s="3">
        <v>10004326</v>
      </c>
      <c r="E42" s="4">
        <v>4533890</v>
      </c>
      <c r="F42" s="3" t="s">
        <v>49</v>
      </c>
      <c r="G42" s="4" t="s">
        <v>1388</v>
      </c>
      <c r="H42" s="4" t="s">
        <v>1389</v>
      </c>
      <c r="I42" s="5">
        <v>25200</v>
      </c>
      <c r="J42" s="3" t="s">
        <v>265</v>
      </c>
      <c r="K42" s="3" t="s">
        <v>494</v>
      </c>
      <c r="L42" s="3" t="s">
        <v>119</v>
      </c>
      <c r="M42" s="4" t="s">
        <v>1389</v>
      </c>
      <c r="N42" s="3" t="s">
        <v>56</v>
      </c>
      <c r="O42" s="3" t="s">
        <v>139</v>
      </c>
      <c r="P42" s="4" t="s">
        <v>282</v>
      </c>
      <c r="Q42" s="3"/>
      <c r="R42" s="3"/>
      <c r="Y42" s="4" t="s">
        <v>1200</v>
      </c>
      <c r="Z42" s="4" t="s">
        <v>1200</v>
      </c>
      <c r="AA42" s="4" t="s">
        <v>1284</v>
      </c>
      <c r="AB42" s="3" t="s">
        <v>1390</v>
      </c>
      <c r="AC42" s="3" t="s">
        <v>1286</v>
      </c>
      <c r="AD42" s="3" t="s">
        <v>324</v>
      </c>
      <c r="AE42" s="3">
        <v>1000</v>
      </c>
      <c r="AI42" s="4" t="s">
        <v>1202</v>
      </c>
      <c r="AJ42" s="4" t="s">
        <v>1202</v>
      </c>
      <c r="AK42" s="3" t="s">
        <v>286</v>
      </c>
      <c r="AL42" s="4">
        <v>141312</v>
      </c>
      <c r="AM42" s="5">
        <v>25200</v>
      </c>
      <c r="AN42" s="4" t="s">
        <v>124</v>
      </c>
      <c r="AO42" s="4">
        <v>99</v>
      </c>
      <c r="AP42" s="4">
        <v>80101510</v>
      </c>
      <c r="AQ42" s="5">
        <v>12600</v>
      </c>
    </row>
    <row r="43" spans="1:43" s="4" customFormat="1" x14ac:dyDescent="0.25">
      <c r="A43" s="3">
        <v>4604565</v>
      </c>
      <c r="B43" s="3" t="s">
        <v>1410</v>
      </c>
      <c r="C43" s="3" t="s">
        <v>1278</v>
      </c>
      <c r="D43" s="3">
        <v>10004228</v>
      </c>
      <c r="E43" s="4">
        <v>4533916</v>
      </c>
      <c r="F43" s="3" t="s">
        <v>49</v>
      </c>
      <c r="G43" s="4" t="s">
        <v>1174</v>
      </c>
      <c r="H43" s="4" t="s">
        <v>1411</v>
      </c>
      <c r="I43" s="5">
        <v>85000</v>
      </c>
      <c r="J43" s="3" t="s">
        <v>735</v>
      </c>
      <c r="K43" s="3" t="s">
        <v>223</v>
      </c>
      <c r="L43" s="3" t="s">
        <v>119</v>
      </c>
      <c r="M43" s="4" t="s">
        <v>1411</v>
      </c>
      <c r="N43" s="3" t="s">
        <v>56</v>
      </c>
      <c r="O43" s="3" t="s">
        <v>139</v>
      </c>
      <c r="P43" s="4" t="s">
        <v>282</v>
      </c>
      <c r="Q43" s="3"/>
      <c r="R43" s="3"/>
      <c r="Y43" s="4" t="s">
        <v>1344</v>
      </c>
      <c r="Z43" s="4" t="s">
        <v>1344</v>
      </c>
      <c r="AA43" s="4" t="s">
        <v>754</v>
      </c>
      <c r="AB43" s="3" t="s">
        <v>1177</v>
      </c>
      <c r="AC43" s="3" t="s">
        <v>756</v>
      </c>
      <c r="AD43" s="3" t="s">
        <v>202</v>
      </c>
      <c r="AE43" s="3">
        <v>1000</v>
      </c>
      <c r="AI43" s="4" t="s">
        <v>1346</v>
      </c>
      <c r="AJ43" s="4" t="s">
        <v>1346</v>
      </c>
      <c r="AK43" s="3" t="s">
        <v>286</v>
      </c>
      <c r="AL43" s="4">
        <v>42811</v>
      </c>
      <c r="AM43" s="5">
        <v>85000</v>
      </c>
      <c r="AN43" s="4" t="s">
        <v>124</v>
      </c>
      <c r="AO43" s="4">
        <v>99</v>
      </c>
      <c r="AP43" s="4">
        <v>84111500</v>
      </c>
      <c r="AQ43" s="5">
        <v>80000</v>
      </c>
    </row>
    <row r="44" spans="1:43" s="4" customFormat="1" x14ac:dyDescent="0.25">
      <c r="A44" s="3">
        <v>4604577</v>
      </c>
      <c r="B44" s="3" t="s">
        <v>1110</v>
      </c>
      <c r="C44" s="3" t="s">
        <v>2342</v>
      </c>
      <c r="D44" s="3">
        <v>10004357</v>
      </c>
      <c r="E44" s="4">
        <v>4533928</v>
      </c>
      <c r="F44" s="3" t="s">
        <v>49</v>
      </c>
      <c r="G44" s="4" t="s">
        <v>2274</v>
      </c>
      <c r="H44" s="4" t="s">
        <v>2301</v>
      </c>
      <c r="I44" s="5">
        <v>195800</v>
      </c>
      <c r="J44" s="3" t="s">
        <v>1110</v>
      </c>
      <c r="K44" s="3" t="s">
        <v>807</v>
      </c>
      <c r="L44" s="3" t="s">
        <v>1046</v>
      </c>
      <c r="M44" s="4" t="s">
        <v>2371</v>
      </c>
      <c r="N44" s="3" t="s">
        <v>25</v>
      </c>
      <c r="O44" s="3" t="s">
        <v>139</v>
      </c>
      <c r="P44" s="4" t="s">
        <v>2207</v>
      </c>
      <c r="Q44" s="3" t="s">
        <v>139</v>
      </c>
      <c r="R44" s="3" t="s">
        <v>215</v>
      </c>
      <c r="S44" s="4" t="s">
        <v>216</v>
      </c>
      <c r="U44" s="4" t="s">
        <v>139</v>
      </c>
      <c r="V44" s="4" t="s">
        <v>427</v>
      </c>
      <c r="W44" s="4" t="s">
        <v>428</v>
      </c>
      <c r="Y44" s="4" t="s">
        <v>2293</v>
      </c>
      <c r="Z44" s="4" t="s">
        <v>2293</v>
      </c>
      <c r="AB44" s="3"/>
      <c r="AC44" s="3"/>
      <c r="AD44" s="3" t="s">
        <v>200</v>
      </c>
      <c r="AE44" s="3">
        <v>1000</v>
      </c>
      <c r="AI44" s="4" t="s">
        <v>2298</v>
      </c>
      <c r="AJ44" s="4" t="s">
        <v>2298</v>
      </c>
      <c r="AK44" s="3" t="s">
        <v>2210</v>
      </c>
      <c r="AL44" s="4">
        <v>48301</v>
      </c>
      <c r="AM44" s="5">
        <v>195800</v>
      </c>
      <c r="AN44" s="4" t="s">
        <v>2282</v>
      </c>
      <c r="AO44" s="4">
        <v>99</v>
      </c>
      <c r="AP44" s="4">
        <v>80120000</v>
      </c>
      <c r="AQ44" s="5">
        <v>127262.96</v>
      </c>
    </row>
    <row r="45" spans="1:43" s="4" customFormat="1" x14ac:dyDescent="0.25">
      <c r="A45" s="3">
        <v>4604593</v>
      </c>
      <c r="B45" s="3" t="s">
        <v>200</v>
      </c>
      <c r="C45" s="3" t="s">
        <v>2158</v>
      </c>
      <c r="D45" s="3">
        <v>10004373</v>
      </c>
      <c r="E45" s="4">
        <v>4533944</v>
      </c>
      <c r="F45" s="3" t="s">
        <v>49</v>
      </c>
      <c r="G45" s="4" t="s">
        <v>2205</v>
      </c>
      <c r="H45" s="4" t="s">
        <v>2206</v>
      </c>
      <c r="I45" s="5">
        <v>10000</v>
      </c>
      <c r="J45" s="3" t="s">
        <v>200</v>
      </c>
      <c r="K45" s="3" t="s">
        <v>1543</v>
      </c>
      <c r="L45" s="3" t="s">
        <v>196</v>
      </c>
      <c r="M45" s="4" t="s">
        <v>2206</v>
      </c>
      <c r="N45" s="3" t="s">
        <v>25</v>
      </c>
      <c r="O45" s="3" t="s">
        <v>139</v>
      </c>
      <c r="P45" s="4" t="s">
        <v>2207</v>
      </c>
      <c r="Q45" s="3"/>
      <c r="R45" s="3"/>
      <c r="Y45" s="4" t="s">
        <v>2208</v>
      </c>
      <c r="Z45" s="4" t="s">
        <v>2208</v>
      </c>
      <c r="AB45" s="3"/>
      <c r="AC45" s="3"/>
      <c r="AD45" s="3" t="s">
        <v>223</v>
      </c>
      <c r="AE45" s="3">
        <v>1000</v>
      </c>
      <c r="AI45" s="4" t="s">
        <v>2209</v>
      </c>
      <c r="AJ45" s="4" t="s">
        <v>2209</v>
      </c>
      <c r="AK45" s="3" t="s">
        <v>2210</v>
      </c>
      <c r="AL45" s="4">
        <v>141765</v>
      </c>
      <c r="AM45" s="5">
        <v>10000</v>
      </c>
      <c r="AN45" s="4" t="s">
        <v>124</v>
      </c>
      <c r="AO45" s="4">
        <v>99</v>
      </c>
      <c r="AP45" s="4">
        <v>80101505</v>
      </c>
      <c r="AQ45" s="5">
        <v>10000</v>
      </c>
    </row>
    <row r="46" spans="1:43" s="4" customFormat="1" x14ac:dyDescent="0.25">
      <c r="A46" s="3">
        <v>4604637</v>
      </c>
      <c r="B46" s="3" t="s">
        <v>436</v>
      </c>
      <c r="C46" s="3" t="s">
        <v>1278</v>
      </c>
      <c r="D46" s="3">
        <v>10004435</v>
      </c>
      <c r="E46" s="4">
        <v>4533988</v>
      </c>
      <c r="F46" s="3" t="s">
        <v>49</v>
      </c>
      <c r="G46" s="4" t="s">
        <v>1551</v>
      </c>
      <c r="H46" s="4" t="s">
        <v>1552</v>
      </c>
      <c r="I46" s="5">
        <v>26176.42</v>
      </c>
      <c r="J46" s="3" t="s">
        <v>223</v>
      </c>
      <c r="K46" s="3" t="s">
        <v>832</v>
      </c>
      <c r="L46" s="3" t="s">
        <v>196</v>
      </c>
      <c r="M46" s="4" t="s">
        <v>1552</v>
      </c>
      <c r="N46" s="3" t="s">
        <v>25</v>
      </c>
      <c r="O46" s="3" t="s">
        <v>139</v>
      </c>
      <c r="P46" s="4" t="s">
        <v>140</v>
      </c>
      <c r="Q46" s="3"/>
      <c r="R46" s="3"/>
      <c r="Y46" s="4" t="s">
        <v>1079</v>
      </c>
      <c r="Z46" s="4" t="s">
        <v>1430</v>
      </c>
      <c r="AB46" s="3"/>
      <c r="AC46" s="3"/>
      <c r="AD46" s="3" t="s">
        <v>436</v>
      </c>
      <c r="AE46" s="3">
        <v>1000</v>
      </c>
      <c r="AI46" s="4" t="s">
        <v>1083</v>
      </c>
      <c r="AJ46" s="4" t="s">
        <v>1432</v>
      </c>
      <c r="AK46" s="3" t="s">
        <v>143</v>
      </c>
      <c r="AL46" s="4">
        <v>141105</v>
      </c>
      <c r="AM46" s="5">
        <v>26176.42</v>
      </c>
      <c r="AN46" s="4" t="s">
        <v>124</v>
      </c>
      <c r="AO46" s="4">
        <v>99</v>
      </c>
      <c r="AP46" s="4">
        <v>80101505</v>
      </c>
      <c r="AQ46" s="5">
        <v>26176.42</v>
      </c>
    </row>
    <row r="47" spans="1:43" s="4" customFormat="1" x14ac:dyDescent="0.25">
      <c r="A47" s="3">
        <v>4604646</v>
      </c>
      <c r="B47" s="3" t="s">
        <v>259</v>
      </c>
      <c r="C47" s="3" t="s">
        <v>2158</v>
      </c>
      <c r="D47" s="3">
        <v>10004433</v>
      </c>
      <c r="E47" s="4">
        <v>4533997</v>
      </c>
      <c r="F47" s="3" t="s">
        <v>49</v>
      </c>
      <c r="G47" s="4" t="s">
        <v>2211</v>
      </c>
      <c r="H47" s="4" t="s">
        <v>2212</v>
      </c>
      <c r="I47" s="5">
        <v>75086.06</v>
      </c>
      <c r="J47" s="3" t="s">
        <v>259</v>
      </c>
      <c r="K47" s="3" t="s">
        <v>832</v>
      </c>
      <c r="L47" s="3" t="s">
        <v>196</v>
      </c>
      <c r="M47" s="4" t="s">
        <v>2213</v>
      </c>
      <c r="N47" s="3" t="s">
        <v>25</v>
      </c>
      <c r="O47" s="3" t="s">
        <v>139</v>
      </c>
      <c r="P47" s="4" t="s">
        <v>282</v>
      </c>
      <c r="Q47" s="3"/>
      <c r="R47" s="3"/>
      <c r="U47" s="4" t="s">
        <v>139</v>
      </c>
      <c r="V47" s="4" t="s">
        <v>119</v>
      </c>
      <c r="W47" s="4" t="s">
        <v>217</v>
      </c>
      <c r="X47" s="4" t="s">
        <v>2214</v>
      </c>
      <c r="Y47" s="4" t="s">
        <v>2215</v>
      </c>
      <c r="Z47" s="4" t="s">
        <v>2215</v>
      </c>
      <c r="AB47" s="3"/>
      <c r="AC47" s="3"/>
      <c r="AD47" s="3" t="s">
        <v>1629</v>
      </c>
      <c r="AE47" s="3">
        <v>1000</v>
      </c>
      <c r="AI47" s="4" t="s">
        <v>2216</v>
      </c>
      <c r="AJ47" s="4" t="s">
        <v>2216</v>
      </c>
      <c r="AK47" s="3" t="s">
        <v>286</v>
      </c>
      <c r="AL47" s="4">
        <v>141778</v>
      </c>
      <c r="AM47" s="5">
        <v>75086.06</v>
      </c>
      <c r="AN47" s="4" t="s">
        <v>124</v>
      </c>
      <c r="AO47" s="4">
        <v>98</v>
      </c>
      <c r="AP47" s="4">
        <v>80100000</v>
      </c>
      <c r="AQ47" s="5">
        <v>75086.06</v>
      </c>
    </row>
    <row r="48" spans="1:43" s="4" customFormat="1" x14ac:dyDescent="0.25">
      <c r="A48" s="3">
        <v>4604652</v>
      </c>
      <c r="B48" s="3" t="s">
        <v>214</v>
      </c>
      <c r="C48" s="3" t="s">
        <v>255</v>
      </c>
      <c r="D48" s="3">
        <v>10004434</v>
      </c>
      <c r="E48" s="4">
        <v>4534003</v>
      </c>
      <c r="F48" s="3" t="s">
        <v>49</v>
      </c>
      <c r="G48" s="4" t="s">
        <v>279</v>
      </c>
      <c r="H48" s="4" t="s">
        <v>280</v>
      </c>
      <c r="I48" s="5">
        <v>50000</v>
      </c>
      <c r="J48" s="3" t="s">
        <v>214</v>
      </c>
      <c r="K48" s="3" t="s">
        <v>187</v>
      </c>
      <c r="L48" s="3" t="s">
        <v>196</v>
      </c>
      <c r="M48" s="4" t="s">
        <v>281</v>
      </c>
      <c r="N48" s="3" t="s">
        <v>25</v>
      </c>
      <c r="O48" s="3" t="s">
        <v>139</v>
      </c>
      <c r="P48" s="4" t="s">
        <v>282</v>
      </c>
      <c r="Q48" s="3"/>
      <c r="R48" s="3"/>
      <c r="Y48" s="4" t="s">
        <v>283</v>
      </c>
      <c r="Z48" s="4" t="s">
        <v>283</v>
      </c>
      <c r="AB48" s="3"/>
      <c r="AC48" s="3"/>
      <c r="AD48" s="3" t="s">
        <v>284</v>
      </c>
      <c r="AE48" s="3">
        <v>1000</v>
      </c>
      <c r="AI48" s="4" t="s">
        <v>285</v>
      </c>
      <c r="AJ48" s="4" t="s">
        <v>285</v>
      </c>
      <c r="AK48" s="3" t="s">
        <v>286</v>
      </c>
      <c r="AL48" s="4">
        <v>141759</v>
      </c>
      <c r="AM48" s="5">
        <v>50000</v>
      </c>
      <c r="AN48" s="4" t="s">
        <v>124</v>
      </c>
      <c r="AO48" s="4">
        <v>98</v>
      </c>
      <c r="AP48" s="4">
        <v>80101504</v>
      </c>
      <c r="AQ48" s="5">
        <v>41582.449999999997</v>
      </c>
    </row>
    <row r="49" spans="1:43" s="4" customFormat="1" x14ac:dyDescent="0.25">
      <c r="A49" s="3">
        <v>4604653</v>
      </c>
      <c r="B49" s="3" t="s">
        <v>214</v>
      </c>
      <c r="C49" s="3" t="s">
        <v>2342</v>
      </c>
      <c r="D49" s="3">
        <v>10004448</v>
      </c>
      <c r="E49" s="4">
        <v>4534004</v>
      </c>
      <c r="F49" s="3" t="s">
        <v>49</v>
      </c>
      <c r="G49" s="4" t="s">
        <v>2300</v>
      </c>
      <c r="I49" s="5">
        <v>5000</v>
      </c>
      <c r="J49" s="3" t="s">
        <v>214</v>
      </c>
      <c r="K49" s="3" t="s">
        <v>807</v>
      </c>
      <c r="L49" s="3" t="s">
        <v>1046</v>
      </c>
      <c r="M49" s="4" t="s">
        <v>2375</v>
      </c>
      <c r="N49" s="3" t="s">
        <v>25</v>
      </c>
      <c r="O49" s="3" t="s">
        <v>139</v>
      </c>
      <c r="P49" s="4" t="s">
        <v>282</v>
      </c>
      <c r="Q49" s="3"/>
      <c r="R49" s="3"/>
      <c r="Y49" s="4" t="s">
        <v>2277</v>
      </c>
      <c r="Z49" s="4" t="s">
        <v>2293</v>
      </c>
      <c r="AB49" s="3"/>
      <c r="AC49" s="3"/>
      <c r="AD49" s="3" t="s">
        <v>2376</v>
      </c>
      <c r="AE49" s="3">
        <v>1000</v>
      </c>
      <c r="AI49" s="4" t="s">
        <v>2281</v>
      </c>
      <c r="AJ49" s="4" t="s">
        <v>2298</v>
      </c>
      <c r="AK49" s="3" t="s">
        <v>286</v>
      </c>
      <c r="AL49" s="4">
        <v>30080</v>
      </c>
      <c r="AM49" s="5">
        <v>5000</v>
      </c>
      <c r="AN49" s="4" t="s">
        <v>2282</v>
      </c>
      <c r="AQ49" s="5">
        <v>1509.2</v>
      </c>
    </row>
    <row r="50" spans="1:43" s="4" customFormat="1" x14ac:dyDescent="0.25">
      <c r="A50" s="3">
        <v>4604654</v>
      </c>
      <c r="B50" s="3" t="s">
        <v>214</v>
      </c>
      <c r="C50" s="3" t="s">
        <v>2342</v>
      </c>
      <c r="D50" s="3">
        <v>10004449</v>
      </c>
      <c r="E50" s="4">
        <v>4534005</v>
      </c>
      <c r="F50" s="3" t="s">
        <v>49</v>
      </c>
      <c r="G50" s="4" t="s">
        <v>2300</v>
      </c>
      <c r="I50" s="5">
        <v>9000</v>
      </c>
      <c r="J50" s="3" t="s">
        <v>214</v>
      </c>
      <c r="K50" s="3" t="s">
        <v>807</v>
      </c>
      <c r="L50" s="3" t="s">
        <v>1046</v>
      </c>
      <c r="M50" s="4" t="s">
        <v>2377</v>
      </c>
      <c r="N50" s="3" t="s">
        <v>25</v>
      </c>
      <c r="O50" s="3" t="s">
        <v>139</v>
      </c>
      <c r="P50" s="4" t="s">
        <v>282</v>
      </c>
      <c r="Q50" s="3"/>
      <c r="R50" s="3"/>
      <c r="Y50" s="4" t="s">
        <v>2277</v>
      </c>
      <c r="Z50" s="4" t="s">
        <v>2293</v>
      </c>
      <c r="AB50" s="3"/>
      <c r="AC50" s="3"/>
      <c r="AD50" s="3" t="s">
        <v>2378</v>
      </c>
      <c r="AE50" s="3">
        <v>1000</v>
      </c>
      <c r="AI50" s="4" t="s">
        <v>2281</v>
      </c>
      <c r="AJ50" s="4" t="s">
        <v>2298</v>
      </c>
      <c r="AK50" s="3" t="s">
        <v>286</v>
      </c>
      <c r="AL50" s="4">
        <v>30080</v>
      </c>
      <c r="AM50" s="5">
        <v>9000</v>
      </c>
      <c r="AN50" s="4" t="s">
        <v>2282</v>
      </c>
      <c r="AQ50" s="5">
        <v>7783.05</v>
      </c>
    </row>
    <row r="51" spans="1:43" s="4" customFormat="1" x14ac:dyDescent="0.25">
      <c r="A51" s="3">
        <v>4604655</v>
      </c>
      <c r="B51" s="3" t="s">
        <v>2379</v>
      </c>
      <c r="C51" s="3" t="s">
        <v>2342</v>
      </c>
      <c r="D51" s="3">
        <v>10004450</v>
      </c>
      <c r="E51" s="4">
        <v>4534006</v>
      </c>
      <c r="F51" s="3" t="s">
        <v>49</v>
      </c>
      <c r="G51" s="4" t="s">
        <v>2300</v>
      </c>
      <c r="H51" s="4" t="s">
        <v>2380</v>
      </c>
      <c r="I51" s="5">
        <v>25824.2</v>
      </c>
      <c r="J51" s="3" t="s">
        <v>2379</v>
      </c>
      <c r="K51" s="3" t="s">
        <v>807</v>
      </c>
      <c r="L51" s="3" t="s">
        <v>1046</v>
      </c>
      <c r="M51" s="4" t="s">
        <v>2381</v>
      </c>
      <c r="N51" s="3" t="s">
        <v>25</v>
      </c>
      <c r="O51" s="3" t="s">
        <v>139</v>
      </c>
      <c r="P51" s="4" t="s">
        <v>282</v>
      </c>
      <c r="Q51" s="3" t="s">
        <v>139</v>
      </c>
      <c r="R51" s="3" t="s">
        <v>215</v>
      </c>
      <c r="S51" s="4" t="s">
        <v>216</v>
      </c>
      <c r="U51" s="4" t="s">
        <v>139</v>
      </c>
      <c r="V51" s="4" t="s">
        <v>427</v>
      </c>
      <c r="W51" s="4" t="s">
        <v>428</v>
      </c>
      <c r="Y51" s="4" t="s">
        <v>2277</v>
      </c>
      <c r="Z51" s="4" t="s">
        <v>2293</v>
      </c>
      <c r="AB51" s="3"/>
      <c r="AC51" s="3"/>
      <c r="AD51" s="3" t="s">
        <v>2097</v>
      </c>
      <c r="AE51" s="3">
        <v>1000</v>
      </c>
      <c r="AI51" s="4" t="s">
        <v>2281</v>
      </c>
      <c r="AJ51" s="4" t="s">
        <v>2298</v>
      </c>
      <c r="AK51" s="3" t="s">
        <v>286</v>
      </c>
      <c r="AL51" s="4">
        <v>30080</v>
      </c>
      <c r="AM51" s="5">
        <v>25824.2</v>
      </c>
      <c r="AN51" s="4" t="s">
        <v>2282</v>
      </c>
      <c r="AO51" s="4">
        <v>98</v>
      </c>
      <c r="AP51" s="4">
        <v>80120000</v>
      </c>
      <c r="AQ51" s="5">
        <v>14162.5</v>
      </c>
    </row>
    <row r="52" spans="1:43" s="4" customFormat="1" x14ac:dyDescent="0.25">
      <c r="A52" s="3">
        <v>4604672</v>
      </c>
      <c r="B52" s="3" t="s">
        <v>1601</v>
      </c>
      <c r="C52" s="3" t="s">
        <v>2342</v>
      </c>
      <c r="D52" s="3">
        <v>10004462</v>
      </c>
      <c r="E52" s="4">
        <v>4534023</v>
      </c>
      <c r="F52" s="3" t="s">
        <v>49</v>
      </c>
      <c r="G52" s="4" t="s">
        <v>2372</v>
      </c>
      <c r="H52" s="4" t="s">
        <v>2382</v>
      </c>
      <c r="I52" s="5">
        <v>13500</v>
      </c>
      <c r="J52" s="3" t="s">
        <v>1601</v>
      </c>
      <c r="K52" s="3" t="s">
        <v>1608</v>
      </c>
      <c r="L52" s="3" t="s">
        <v>196</v>
      </c>
      <c r="M52" s="4" t="s">
        <v>2382</v>
      </c>
      <c r="N52" s="3" t="s">
        <v>25</v>
      </c>
      <c r="O52" s="3" t="s">
        <v>139</v>
      </c>
      <c r="P52" s="4" t="s">
        <v>282</v>
      </c>
      <c r="Q52" s="3"/>
      <c r="R52" s="3"/>
      <c r="Y52" s="4" t="s">
        <v>2277</v>
      </c>
      <c r="Z52" s="4" t="s">
        <v>2293</v>
      </c>
      <c r="AB52" s="3"/>
      <c r="AC52" s="3"/>
      <c r="AD52" s="3" t="s">
        <v>1822</v>
      </c>
      <c r="AE52" s="3">
        <v>1000</v>
      </c>
      <c r="AI52" s="4" t="s">
        <v>2281</v>
      </c>
      <c r="AJ52" s="4" t="s">
        <v>2298</v>
      </c>
      <c r="AK52" s="3" t="s">
        <v>286</v>
      </c>
      <c r="AL52" s="4">
        <v>30353</v>
      </c>
      <c r="AM52" s="5">
        <v>13500</v>
      </c>
      <c r="AN52" s="4" t="s">
        <v>124</v>
      </c>
      <c r="AO52" s="4">
        <v>99</v>
      </c>
      <c r="AP52" s="4">
        <v>86000000</v>
      </c>
      <c r="AQ52" s="5">
        <v>13500</v>
      </c>
    </row>
    <row r="53" spans="1:43" s="4" customFormat="1" x14ac:dyDescent="0.25">
      <c r="A53" s="3">
        <v>4604674</v>
      </c>
      <c r="B53" s="3" t="s">
        <v>191</v>
      </c>
      <c r="C53" s="3" t="s">
        <v>2342</v>
      </c>
      <c r="D53" s="3">
        <v>10004470</v>
      </c>
      <c r="E53" s="4">
        <v>4534025</v>
      </c>
      <c r="F53" s="3" t="s">
        <v>49</v>
      </c>
      <c r="G53" s="4" t="s">
        <v>2300</v>
      </c>
      <c r="I53" s="5">
        <v>8000</v>
      </c>
      <c r="J53" s="3" t="s">
        <v>191</v>
      </c>
      <c r="K53" s="3" t="s">
        <v>807</v>
      </c>
      <c r="L53" s="3" t="s">
        <v>1046</v>
      </c>
      <c r="M53" s="4" t="s">
        <v>2383</v>
      </c>
      <c r="N53" s="3" t="s">
        <v>25</v>
      </c>
      <c r="O53" s="3" t="s">
        <v>139</v>
      </c>
      <c r="P53" s="4" t="s">
        <v>282</v>
      </c>
      <c r="Q53" s="3"/>
      <c r="R53" s="3"/>
      <c r="Y53" s="4" t="s">
        <v>2293</v>
      </c>
      <c r="Z53" s="4" t="s">
        <v>2293</v>
      </c>
      <c r="AB53" s="3"/>
      <c r="AC53" s="3"/>
      <c r="AD53" s="3" t="s">
        <v>1608</v>
      </c>
      <c r="AE53" s="3">
        <v>1000</v>
      </c>
      <c r="AI53" s="4" t="s">
        <v>2298</v>
      </c>
      <c r="AJ53" s="4" t="s">
        <v>2298</v>
      </c>
      <c r="AK53" s="3" t="s">
        <v>286</v>
      </c>
      <c r="AL53" s="4">
        <v>30080</v>
      </c>
      <c r="AM53" s="5">
        <v>8000</v>
      </c>
      <c r="AN53" s="4" t="s">
        <v>2282</v>
      </c>
      <c r="AQ53" s="4">
        <v>0</v>
      </c>
    </row>
    <row r="54" spans="1:43" s="4" customFormat="1" x14ac:dyDescent="0.25">
      <c r="A54" s="3">
        <v>4604676</v>
      </c>
      <c r="B54" s="3" t="s">
        <v>191</v>
      </c>
      <c r="C54" s="3" t="s">
        <v>2342</v>
      </c>
      <c r="D54" s="3">
        <v>10004473</v>
      </c>
      <c r="E54" s="4">
        <v>4534027</v>
      </c>
      <c r="F54" s="3" t="s">
        <v>49</v>
      </c>
      <c r="G54" s="4" t="s">
        <v>2300</v>
      </c>
      <c r="H54" s="4" t="s">
        <v>2301</v>
      </c>
      <c r="I54" s="5">
        <v>15000</v>
      </c>
      <c r="J54" s="3" t="s">
        <v>191</v>
      </c>
      <c r="K54" s="3" t="s">
        <v>807</v>
      </c>
      <c r="L54" s="3" t="s">
        <v>1046</v>
      </c>
      <c r="M54" s="4" t="s">
        <v>2384</v>
      </c>
      <c r="N54" s="3" t="s">
        <v>25</v>
      </c>
      <c r="O54" s="3" t="s">
        <v>139</v>
      </c>
      <c r="P54" s="4" t="s">
        <v>282</v>
      </c>
      <c r="Q54" s="3" t="s">
        <v>139</v>
      </c>
      <c r="R54" s="3" t="s">
        <v>215</v>
      </c>
      <c r="S54" s="4" t="s">
        <v>216</v>
      </c>
      <c r="U54" s="4" t="s">
        <v>139</v>
      </c>
      <c r="V54" s="4" t="s">
        <v>427</v>
      </c>
      <c r="W54" s="4" t="s">
        <v>428</v>
      </c>
      <c r="Y54" s="4" t="s">
        <v>2293</v>
      </c>
      <c r="Z54" s="4" t="s">
        <v>2293</v>
      </c>
      <c r="AB54" s="3"/>
      <c r="AC54" s="3"/>
      <c r="AD54" s="3" t="s">
        <v>1608</v>
      </c>
      <c r="AE54" s="3">
        <v>1000</v>
      </c>
      <c r="AI54" s="4" t="s">
        <v>2298</v>
      </c>
      <c r="AJ54" s="4" t="s">
        <v>2298</v>
      </c>
      <c r="AK54" s="3" t="s">
        <v>286</v>
      </c>
      <c r="AL54" s="4">
        <v>30080</v>
      </c>
      <c r="AM54" s="5">
        <v>15000</v>
      </c>
      <c r="AN54" s="4" t="s">
        <v>2282</v>
      </c>
      <c r="AO54" s="4">
        <v>99</v>
      </c>
      <c r="AP54" s="4">
        <v>80120000</v>
      </c>
      <c r="AQ54" s="5">
        <v>9161.9</v>
      </c>
    </row>
    <row r="55" spans="1:43" s="4" customFormat="1" x14ac:dyDescent="0.25">
      <c r="A55" s="3">
        <v>4604697</v>
      </c>
      <c r="B55" s="3" t="s">
        <v>787</v>
      </c>
      <c r="C55" s="3" t="s">
        <v>560</v>
      </c>
      <c r="D55" s="3">
        <v>10004478</v>
      </c>
      <c r="E55" s="4">
        <v>4534048</v>
      </c>
      <c r="F55" s="3" t="s">
        <v>49</v>
      </c>
      <c r="G55" s="4" t="s">
        <v>546</v>
      </c>
      <c r="H55" s="4" t="s">
        <v>788</v>
      </c>
      <c r="I55" s="5">
        <v>106057</v>
      </c>
      <c r="J55" s="3" t="s">
        <v>787</v>
      </c>
      <c r="K55" s="3" t="s">
        <v>395</v>
      </c>
      <c r="L55" s="3" t="s">
        <v>119</v>
      </c>
      <c r="M55" s="4" t="s">
        <v>788</v>
      </c>
      <c r="N55" s="3" t="s">
        <v>56</v>
      </c>
      <c r="O55" s="3" t="s">
        <v>139</v>
      </c>
      <c r="P55" s="4" t="s">
        <v>282</v>
      </c>
      <c r="Q55" s="3" t="s">
        <v>139</v>
      </c>
      <c r="R55" s="3" t="s">
        <v>119</v>
      </c>
      <c r="S55" s="4" t="s">
        <v>217</v>
      </c>
      <c r="T55" s="4" t="s">
        <v>789</v>
      </c>
      <c r="U55" s="4" t="s">
        <v>139</v>
      </c>
      <c r="V55" s="4" t="s">
        <v>119</v>
      </c>
      <c r="W55" s="4" t="s">
        <v>217</v>
      </c>
      <c r="X55" s="4" t="s">
        <v>789</v>
      </c>
      <c r="Y55" s="4" t="s">
        <v>790</v>
      </c>
      <c r="Z55" s="4" t="s">
        <v>790</v>
      </c>
      <c r="AA55" s="4" t="s">
        <v>356</v>
      </c>
      <c r="AB55" s="3" t="s">
        <v>551</v>
      </c>
      <c r="AC55" s="3" t="s">
        <v>358</v>
      </c>
      <c r="AD55" s="3" t="s">
        <v>452</v>
      </c>
      <c r="AE55" s="3">
        <v>1000</v>
      </c>
      <c r="AI55" s="4" t="s">
        <v>791</v>
      </c>
      <c r="AJ55" s="4" t="s">
        <v>791</v>
      </c>
      <c r="AK55" s="3" t="s">
        <v>286</v>
      </c>
      <c r="AL55" s="4">
        <v>140499</v>
      </c>
      <c r="AM55" s="5">
        <v>106057</v>
      </c>
      <c r="AN55" s="4" t="s">
        <v>124</v>
      </c>
      <c r="AO55" s="4">
        <v>99</v>
      </c>
      <c r="AP55" s="4">
        <v>80100000</v>
      </c>
      <c r="AQ55" s="5">
        <v>106057</v>
      </c>
    </row>
    <row r="56" spans="1:43" s="4" customFormat="1" x14ac:dyDescent="0.25">
      <c r="A56" s="3">
        <v>4604713</v>
      </c>
      <c r="B56" s="3" t="s">
        <v>1538</v>
      </c>
      <c r="C56" s="3" t="s">
        <v>2342</v>
      </c>
      <c r="D56" s="3">
        <v>10004509</v>
      </c>
      <c r="E56" s="4">
        <v>4534064</v>
      </c>
      <c r="F56" s="3" t="s">
        <v>49</v>
      </c>
      <c r="G56" s="4" t="s">
        <v>2300</v>
      </c>
      <c r="I56" s="5">
        <v>8000</v>
      </c>
      <c r="J56" s="3" t="s">
        <v>301</v>
      </c>
      <c r="K56" s="3" t="s">
        <v>404</v>
      </c>
      <c r="L56" s="3" t="s">
        <v>119</v>
      </c>
      <c r="M56" s="4" t="s">
        <v>2388</v>
      </c>
      <c r="N56" s="3" t="s">
        <v>56</v>
      </c>
      <c r="O56" s="3" t="s">
        <v>139</v>
      </c>
      <c r="P56" s="4" t="s">
        <v>282</v>
      </c>
      <c r="Q56" s="3"/>
      <c r="R56" s="3"/>
      <c r="Y56" s="4" t="s">
        <v>2286</v>
      </c>
      <c r="Z56" s="4" t="s">
        <v>2286</v>
      </c>
      <c r="AB56" s="3"/>
      <c r="AC56" s="3"/>
      <c r="AD56" s="3" t="s">
        <v>301</v>
      </c>
      <c r="AE56" s="3">
        <v>1000</v>
      </c>
      <c r="AI56" s="4" t="s">
        <v>2288</v>
      </c>
      <c r="AJ56" s="4" t="s">
        <v>2288</v>
      </c>
      <c r="AK56" s="3" t="s">
        <v>286</v>
      </c>
      <c r="AL56" s="4">
        <v>30080</v>
      </c>
      <c r="AM56" s="5">
        <v>8000</v>
      </c>
      <c r="AN56" s="4" t="s">
        <v>2282</v>
      </c>
      <c r="AQ56" s="5">
        <v>8000</v>
      </c>
    </row>
    <row r="57" spans="1:43" s="4" customFormat="1" x14ac:dyDescent="0.25">
      <c r="A57" s="3">
        <v>4604723</v>
      </c>
      <c r="B57" s="3" t="s">
        <v>1623</v>
      </c>
      <c r="C57" s="3" t="s">
        <v>2342</v>
      </c>
      <c r="D57" s="3">
        <v>10004515</v>
      </c>
      <c r="E57" s="4">
        <v>4534074</v>
      </c>
      <c r="F57" s="3" t="s">
        <v>49</v>
      </c>
      <c r="G57" s="4" t="s">
        <v>2389</v>
      </c>
      <c r="I57" s="5">
        <v>4000</v>
      </c>
      <c r="J57" s="3" t="s">
        <v>1623</v>
      </c>
      <c r="K57" s="3" t="s">
        <v>301</v>
      </c>
      <c r="L57" s="3" t="s">
        <v>1046</v>
      </c>
      <c r="M57" s="4" t="s">
        <v>2390</v>
      </c>
      <c r="N57" s="3" t="s">
        <v>25</v>
      </c>
      <c r="O57" s="3" t="s">
        <v>139</v>
      </c>
      <c r="P57" s="4" t="s">
        <v>282</v>
      </c>
      <c r="Q57" s="3"/>
      <c r="R57" s="3"/>
      <c r="Y57" s="4" t="s">
        <v>2386</v>
      </c>
      <c r="Z57" s="4" t="s">
        <v>2386</v>
      </c>
      <c r="AB57" s="3"/>
      <c r="AC57" s="3"/>
      <c r="AD57" s="3" t="s">
        <v>324</v>
      </c>
      <c r="AE57" s="3">
        <v>1000</v>
      </c>
      <c r="AI57" s="4" t="s">
        <v>2387</v>
      </c>
      <c r="AJ57" s="4" t="s">
        <v>2387</v>
      </c>
      <c r="AK57" s="3" t="s">
        <v>286</v>
      </c>
      <c r="AL57" s="4">
        <v>141806</v>
      </c>
      <c r="AM57" s="5">
        <v>4000</v>
      </c>
      <c r="AN57" s="4" t="s">
        <v>2282</v>
      </c>
      <c r="AQ57" s="5">
        <v>4000</v>
      </c>
    </row>
    <row r="58" spans="1:43" s="4" customFormat="1" x14ac:dyDescent="0.25">
      <c r="A58" s="3">
        <v>4604758</v>
      </c>
      <c r="B58" s="3" t="s">
        <v>500</v>
      </c>
      <c r="C58" s="3" t="s">
        <v>1278</v>
      </c>
      <c r="D58" s="3">
        <v>10004519</v>
      </c>
      <c r="E58" s="4">
        <v>4534109</v>
      </c>
      <c r="F58" s="3" t="s">
        <v>49</v>
      </c>
      <c r="G58" s="4" t="s">
        <v>1551</v>
      </c>
      <c r="H58" s="4" t="s">
        <v>1705</v>
      </c>
      <c r="I58" s="5">
        <v>61640.2</v>
      </c>
      <c r="J58" s="3" t="s">
        <v>1650</v>
      </c>
      <c r="K58" s="3" t="s">
        <v>436</v>
      </c>
      <c r="L58" s="3" t="s">
        <v>196</v>
      </c>
      <c r="M58" s="4" t="s">
        <v>1705</v>
      </c>
      <c r="N58" s="3" t="s">
        <v>25</v>
      </c>
      <c r="O58" s="3" t="s">
        <v>139</v>
      </c>
      <c r="P58" s="4" t="s">
        <v>140</v>
      </c>
      <c r="Q58" s="3"/>
      <c r="R58" s="3"/>
      <c r="Y58" s="4" t="s">
        <v>540</v>
      </c>
      <c r="Z58" s="4" t="s">
        <v>540</v>
      </c>
      <c r="AB58" s="3"/>
      <c r="AC58" s="3"/>
      <c r="AD58" s="3" t="s">
        <v>500</v>
      </c>
      <c r="AE58" s="3">
        <v>1000</v>
      </c>
      <c r="AI58" s="4" t="s">
        <v>542</v>
      </c>
      <c r="AJ58" s="4" t="s">
        <v>542</v>
      </c>
      <c r="AK58" s="3" t="s">
        <v>143</v>
      </c>
      <c r="AL58" s="4">
        <v>141105</v>
      </c>
      <c r="AM58" s="5">
        <v>61640.2</v>
      </c>
      <c r="AN58" s="4" t="s">
        <v>124</v>
      </c>
      <c r="AO58" s="4">
        <v>99</v>
      </c>
      <c r="AP58" s="4">
        <v>80101505</v>
      </c>
      <c r="AQ58" s="5">
        <v>61640.2</v>
      </c>
    </row>
    <row r="59" spans="1:43" s="4" customFormat="1" x14ac:dyDescent="0.25">
      <c r="A59" s="3">
        <v>4604761</v>
      </c>
      <c r="B59" s="3" t="s">
        <v>1593</v>
      </c>
      <c r="C59" s="3" t="s">
        <v>2158</v>
      </c>
      <c r="D59" s="3">
        <v>10004474</v>
      </c>
      <c r="E59" s="4">
        <v>4534112</v>
      </c>
      <c r="F59" s="3" t="s">
        <v>49</v>
      </c>
      <c r="G59" s="4" t="s">
        <v>2218</v>
      </c>
      <c r="H59" s="4" t="s">
        <v>2219</v>
      </c>
      <c r="I59" s="5">
        <v>43415.59</v>
      </c>
      <c r="J59" s="3" t="s">
        <v>2220</v>
      </c>
      <c r="K59" s="3" t="s">
        <v>910</v>
      </c>
      <c r="L59" s="3" t="s">
        <v>196</v>
      </c>
      <c r="M59" s="4" t="s">
        <v>2221</v>
      </c>
      <c r="N59" s="3" t="s">
        <v>25</v>
      </c>
      <c r="O59" s="3" t="s">
        <v>139</v>
      </c>
      <c r="P59" s="4" t="s">
        <v>282</v>
      </c>
      <c r="Q59" s="3"/>
      <c r="R59" s="3"/>
      <c r="U59" s="4" t="s">
        <v>139</v>
      </c>
      <c r="V59" s="4" t="s">
        <v>119</v>
      </c>
      <c r="W59" s="4" t="s">
        <v>217</v>
      </c>
      <c r="X59" s="4" t="s">
        <v>2222</v>
      </c>
      <c r="Y59" s="4" t="s">
        <v>2223</v>
      </c>
      <c r="Z59" s="4" t="s">
        <v>2223</v>
      </c>
      <c r="AB59" s="3"/>
      <c r="AC59" s="3"/>
      <c r="AD59" s="3" t="s">
        <v>910</v>
      </c>
      <c r="AE59" s="3">
        <v>1000</v>
      </c>
      <c r="AI59" s="4" t="s">
        <v>2224</v>
      </c>
      <c r="AJ59" s="4" t="s">
        <v>2224</v>
      </c>
      <c r="AK59" s="3" t="s">
        <v>286</v>
      </c>
      <c r="AL59" s="4">
        <v>141816</v>
      </c>
      <c r="AM59" s="5">
        <v>43415.59</v>
      </c>
      <c r="AN59" s="4" t="s">
        <v>124</v>
      </c>
      <c r="AO59" s="4">
        <v>99</v>
      </c>
      <c r="AQ59" s="5">
        <v>43415.59</v>
      </c>
    </row>
    <row r="60" spans="1:43" s="4" customFormat="1" x14ac:dyDescent="0.25">
      <c r="A60" s="3">
        <v>4604762</v>
      </c>
      <c r="B60" s="3" t="s">
        <v>259</v>
      </c>
      <c r="C60" s="3" t="s">
        <v>2158</v>
      </c>
      <c r="D60" s="3">
        <v>10004433</v>
      </c>
      <c r="E60" s="4">
        <v>4534113</v>
      </c>
      <c r="F60" s="3" t="s">
        <v>49</v>
      </c>
      <c r="G60" s="4" t="s">
        <v>2225</v>
      </c>
      <c r="H60" s="4" t="s">
        <v>2219</v>
      </c>
      <c r="I60" s="5">
        <v>90599.34</v>
      </c>
      <c r="J60" s="3" t="s">
        <v>259</v>
      </c>
      <c r="K60" s="3" t="s">
        <v>910</v>
      </c>
      <c r="L60" s="3" t="s">
        <v>196</v>
      </c>
      <c r="M60" s="4" t="s">
        <v>2213</v>
      </c>
      <c r="N60" s="3" t="s">
        <v>25</v>
      </c>
      <c r="O60" s="3" t="s">
        <v>139</v>
      </c>
      <c r="P60" s="4" t="s">
        <v>282</v>
      </c>
      <c r="Q60" s="3"/>
      <c r="R60" s="3"/>
      <c r="U60" s="4" t="s">
        <v>139</v>
      </c>
      <c r="V60" s="4" t="s">
        <v>119</v>
      </c>
      <c r="W60" s="4" t="s">
        <v>217</v>
      </c>
      <c r="X60" s="4" t="s">
        <v>2226</v>
      </c>
      <c r="Y60" s="4" t="s">
        <v>2223</v>
      </c>
      <c r="Z60" s="4" t="s">
        <v>2223</v>
      </c>
      <c r="AB60" s="3"/>
      <c r="AC60" s="3"/>
      <c r="AD60" s="3" t="s">
        <v>932</v>
      </c>
      <c r="AE60" s="3">
        <v>1000</v>
      </c>
      <c r="AI60" s="4" t="s">
        <v>2224</v>
      </c>
      <c r="AJ60" s="4" t="s">
        <v>2224</v>
      </c>
      <c r="AK60" s="3" t="s">
        <v>286</v>
      </c>
      <c r="AL60" s="4">
        <v>141815</v>
      </c>
      <c r="AM60" s="5">
        <v>90599.34</v>
      </c>
      <c r="AN60" s="4" t="s">
        <v>124</v>
      </c>
      <c r="AO60" s="4">
        <v>99</v>
      </c>
      <c r="AQ60" s="5">
        <v>90599.34</v>
      </c>
    </row>
    <row r="61" spans="1:43" s="4" customFormat="1" x14ac:dyDescent="0.25">
      <c r="A61" s="3">
        <v>4604781</v>
      </c>
      <c r="B61" s="3" t="s">
        <v>416</v>
      </c>
      <c r="C61" s="3" t="s">
        <v>2415</v>
      </c>
      <c r="D61" s="3">
        <v>10004576</v>
      </c>
      <c r="E61" s="4">
        <v>4534132</v>
      </c>
      <c r="F61" s="3" t="s">
        <v>49</v>
      </c>
      <c r="G61" s="4" t="s">
        <v>2417</v>
      </c>
      <c r="H61" s="4" t="s">
        <v>2418</v>
      </c>
      <c r="I61" s="5">
        <v>74440</v>
      </c>
      <c r="J61" s="3" t="s">
        <v>416</v>
      </c>
      <c r="K61" s="3" t="s">
        <v>480</v>
      </c>
      <c r="L61" s="3" t="s">
        <v>196</v>
      </c>
      <c r="M61" s="4" t="s">
        <v>2419</v>
      </c>
      <c r="N61" s="3" t="s">
        <v>25</v>
      </c>
      <c r="O61" s="3" t="s">
        <v>139</v>
      </c>
      <c r="P61" s="4" t="s">
        <v>140</v>
      </c>
      <c r="Q61" s="3"/>
      <c r="R61" s="3"/>
      <c r="Y61" s="4" t="s">
        <v>2420</v>
      </c>
      <c r="Z61" s="4" t="s">
        <v>2394</v>
      </c>
      <c r="AB61" s="3"/>
      <c r="AC61" s="3"/>
      <c r="AD61" s="3" t="s">
        <v>424</v>
      </c>
      <c r="AE61" s="3">
        <v>1000</v>
      </c>
      <c r="AI61" s="4" t="s">
        <v>2421</v>
      </c>
      <c r="AJ61" s="4" t="s">
        <v>2395</v>
      </c>
      <c r="AK61" s="3" t="s">
        <v>143</v>
      </c>
      <c r="AL61" s="4">
        <v>141833</v>
      </c>
      <c r="AM61" s="5">
        <v>74440</v>
      </c>
      <c r="AN61" s="4" t="s">
        <v>124</v>
      </c>
      <c r="AO61" s="4">
        <v>99</v>
      </c>
      <c r="AP61" s="4">
        <v>80101600</v>
      </c>
      <c r="AQ61" s="5">
        <v>62077.17</v>
      </c>
    </row>
    <row r="62" spans="1:43" s="4" customFormat="1" x14ac:dyDescent="0.25">
      <c r="A62" s="3">
        <v>4604782</v>
      </c>
      <c r="B62" s="3" t="s">
        <v>391</v>
      </c>
      <c r="C62" s="3" t="s">
        <v>2342</v>
      </c>
      <c r="D62" s="3">
        <v>10004581</v>
      </c>
      <c r="E62" s="4">
        <v>4534133</v>
      </c>
      <c r="F62" s="3" t="s">
        <v>49</v>
      </c>
      <c r="G62" s="4" t="s">
        <v>2391</v>
      </c>
      <c r="H62" s="4" t="s">
        <v>2301</v>
      </c>
      <c r="I62" s="5">
        <v>100000</v>
      </c>
      <c r="J62" s="3" t="s">
        <v>832</v>
      </c>
      <c r="K62" s="3" t="s">
        <v>77</v>
      </c>
      <c r="L62" s="3" t="s">
        <v>1046</v>
      </c>
      <c r="M62" s="4" t="s">
        <v>2392</v>
      </c>
      <c r="N62" s="3" t="s">
        <v>25</v>
      </c>
      <c r="O62" s="3" t="s">
        <v>139</v>
      </c>
      <c r="P62" s="4" t="s">
        <v>282</v>
      </c>
      <c r="Q62" s="3" t="s">
        <v>139</v>
      </c>
      <c r="R62" s="3" t="s">
        <v>427</v>
      </c>
      <c r="S62" s="4" t="s">
        <v>428</v>
      </c>
      <c r="U62" s="4" t="s">
        <v>139</v>
      </c>
      <c r="V62" s="4" t="s">
        <v>427</v>
      </c>
      <c r="W62" s="4" t="s">
        <v>428</v>
      </c>
      <c r="Y62" s="4" t="s">
        <v>2386</v>
      </c>
      <c r="Z62" s="4" t="s">
        <v>2386</v>
      </c>
      <c r="AB62" s="3"/>
      <c r="AC62" s="3"/>
      <c r="AD62" s="3" t="s">
        <v>2378</v>
      </c>
      <c r="AE62" s="3">
        <v>1000</v>
      </c>
      <c r="AI62" s="4" t="s">
        <v>2387</v>
      </c>
      <c r="AJ62" s="4" t="s">
        <v>2387</v>
      </c>
      <c r="AK62" s="3" t="s">
        <v>286</v>
      </c>
      <c r="AL62" s="4">
        <v>49172</v>
      </c>
      <c r="AM62" s="5">
        <v>100000</v>
      </c>
      <c r="AN62" s="4" t="s">
        <v>2282</v>
      </c>
      <c r="AO62" s="4">
        <v>99</v>
      </c>
      <c r="AP62" s="4">
        <v>80120000</v>
      </c>
      <c r="AQ62" s="5">
        <v>26588.1</v>
      </c>
    </row>
    <row r="63" spans="1:43" s="4" customFormat="1" x14ac:dyDescent="0.25">
      <c r="A63" s="3">
        <v>4604794</v>
      </c>
      <c r="B63" s="3" t="s">
        <v>424</v>
      </c>
      <c r="C63" s="3" t="s">
        <v>392</v>
      </c>
      <c r="D63" s="3">
        <v>10004584</v>
      </c>
      <c r="E63" s="4">
        <v>4534145</v>
      </c>
      <c r="F63" s="3" t="s">
        <v>49</v>
      </c>
      <c r="G63" s="4" t="s">
        <v>425</v>
      </c>
      <c r="H63" s="4" t="s">
        <v>426</v>
      </c>
      <c r="I63" s="5">
        <v>33000</v>
      </c>
      <c r="J63" s="3" t="s">
        <v>424</v>
      </c>
      <c r="K63" s="3" t="s">
        <v>419</v>
      </c>
      <c r="L63" s="3" t="s">
        <v>196</v>
      </c>
      <c r="M63" s="4" t="s">
        <v>426</v>
      </c>
      <c r="N63" s="3" t="s">
        <v>25</v>
      </c>
      <c r="O63" s="3" t="s">
        <v>139</v>
      </c>
      <c r="P63" s="4" t="s">
        <v>140</v>
      </c>
      <c r="Q63" s="3" t="s">
        <v>139</v>
      </c>
      <c r="R63" s="3" t="s">
        <v>427</v>
      </c>
      <c r="S63" s="4" t="s">
        <v>428</v>
      </c>
      <c r="U63" s="4" t="s">
        <v>139</v>
      </c>
      <c r="V63" s="4" t="s">
        <v>119</v>
      </c>
      <c r="W63" s="4" t="s">
        <v>217</v>
      </c>
      <c r="X63" s="4" t="s">
        <v>429</v>
      </c>
      <c r="Y63" s="4" t="s">
        <v>430</v>
      </c>
      <c r="Z63" s="4" t="s">
        <v>431</v>
      </c>
      <c r="AB63" s="3"/>
      <c r="AC63" s="3"/>
      <c r="AD63" s="3" t="s">
        <v>432</v>
      </c>
      <c r="AE63" s="3">
        <v>1000</v>
      </c>
      <c r="AI63" s="4" t="s">
        <v>433</v>
      </c>
      <c r="AJ63" s="4" t="s">
        <v>434</v>
      </c>
      <c r="AK63" s="3" t="s">
        <v>143</v>
      </c>
      <c r="AL63" s="4">
        <v>141839</v>
      </c>
      <c r="AM63" s="5">
        <v>33000</v>
      </c>
      <c r="AN63" s="4" t="s">
        <v>124</v>
      </c>
      <c r="AO63" s="4">
        <v>99</v>
      </c>
      <c r="AP63" s="4">
        <v>80141500</v>
      </c>
      <c r="AQ63" s="5">
        <v>32702.65</v>
      </c>
    </row>
    <row r="64" spans="1:43" s="4" customFormat="1" x14ac:dyDescent="0.25">
      <c r="A64" s="3">
        <v>4604796</v>
      </c>
      <c r="B64" s="3" t="s">
        <v>327</v>
      </c>
      <c r="C64" s="3" t="s">
        <v>2158</v>
      </c>
      <c r="D64" s="3">
        <v>10004547</v>
      </c>
      <c r="E64" s="4">
        <v>4534147</v>
      </c>
      <c r="F64" s="3" t="s">
        <v>49</v>
      </c>
      <c r="G64" s="4" t="s">
        <v>372</v>
      </c>
      <c r="H64" s="4" t="s">
        <v>2229</v>
      </c>
      <c r="I64" s="5">
        <v>220000</v>
      </c>
      <c r="J64" s="3" t="s">
        <v>292</v>
      </c>
      <c r="K64" s="3" t="s">
        <v>480</v>
      </c>
      <c r="L64" s="3" t="s">
        <v>119</v>
      </c>
      <c r="M64" s="4" t="s">
        <v>2230</v>
      </c>
      <c r="N64" s="3" t="s">
        <v>56</v>
      </c>
      <c r="O64" s="3" t="s">
        <v>139</v>
      </c>
      <c r="P64" s="4" t="s">
        <v>2207</v>
      </c>
      <c r="Q64" s="3"/>
      <c r="R64" s="3"/>
      <c r="Y64" s="4" t="s">
        <v>556</v>
      </c>
      <c r="Z64" s="4" t="s">
        <v>2231</v>
      </c>
      <c r="AA64" s="4" t="s">
        <v>356</v>
      </c>
      <c r="AB64" s="3" t="s">
        <v>375</v>
      </c>
      <c r="AC64" s="3" t="s">
        <v>358</v>
      </c>
      <c r="AD64" s="3" t="s">
        <v>448</v>
      </c>
      <c r="AE64" s="3">
        <v>1000</v>
      </c>
      <c r="AI64" s="4" t="s">
        <v>558</v>
      </c>
      <c r="AJ64" s="4" t="s">
        <v>2232</v>
      </c>
      <c r="AK64" s="3" t="s">
        <v>2210</v>
      </c>
      <c r="AL64" s="4">
        <v>43825</v>
      </c>
      <c r="AM64" s="5">
        <v>220000</v>
      </c>
      <c r="AN64" s="4" t="s">
        <v>124</v>
      </c>
      <c r="AO64" s="4">
        <v>98</v>
      </c>
      <c r="AP64" s="4">
        <v>81121500</v>
      </c>
      <c r="AQ64" s="5">
        <v>218625</v>
      </c>
    </row>
    <row r="65" spans="1:43" s="4" customFormat="1" x14ac:dyDescent="0.25">
      <c r="A65" s="3">
        <v>4604809</v>
      </c>
      <c r="B65" s="3" t="s">
        <v>1134</v>
      </c>
      <c r="C65" s="3" t="s">
        <v>2342</v>
      </c>
      <c r="D65" s="3">
        <v>10004609</v>
      </c>
      <c r="E65" s="4">
        <v>4534160</v>
      </c>
      <c r="F65" s="3" t="s">
        <v>49</v>
      </c>
      <c r="G65" s="4" t="s">
        <v>2300</v>
      </c>
      <c r="I65" s="5">
        <v>5634.75</v>
      </c>
      <c r="J65" s="3" t="s">
        <v>1134</v>
      </c>
      <c r="K65" s="3" t="s">
        <v>2378</v>
      </c>
      <c r="L65" s="3" t="s">
        <v>1046</v>
      </c>
      <c r="M65" s="4" t="s">
        <v>2393</v>
      </c>
      <c r="N65" s="3" t="s">
        <v>56</v>
      </c>
      <c r="O65" s="3" t="s">
        <v>139</v>
      </c>
      <c r="P65" s="4" t="s">
        <v>282</v>
      </c>
      <c r="Q65" s="3"/>
      <c r="R65" s="3"/>
      <c r="Y65" s="4" t="s">
        <v>2394</v>
      </c>
      <c r="Z65" s="4" t="s">
        <v>2394</v>
      </c>
      <c r="AB65" s="3"/>
      <c r="AC65" s="3"/>
      <c r="AD65" s="3" t="s">
        <v>1964</v>
      </c>
      <c r="AE65" s="3">
        <v>1000</v>
      </c>
      <c r="AI65" s="4" t="s">
        <v>2395</v>
      </c>
      <c r="AJ65" s="4" t="s">
        <v>2395</v>
      </c>
      <c r="AK65" s="3" t="s">
        <v>286</v>
      </c>
      <c r="AL65" s="4">
        <v>30080</v>
      </c>
      <c r="AM65" s="5">
        <v>5634.75</v>
      </c>
      <c r="AN65" s="4" t="s">
        <v>2282</v>
      </c>
      <c r="AQ65" s="5">
        <v>5634.75</v>
      </c>
    </row>
    <row r="66" spans="1:43" s="4" customFormat="1" x14ac:dyDescent="0.25">
      <c r="A66" s="3">
        <v>4604815</v>
      </c>
      <c r="B66" s="3" t="s">
        <v>442</v>
      </c>
      <c r="C66" s="3" t="s">
        <v>392</v>
      </c>
      <c r="D66" s="3">
        <v>10004616</v>
      </c>
      <c r="E66" s="4">
        <v>4534166</v>
      </c>
      <c r="F66" s="3" t="s">
        <v>49</v>
      </c>
      <c r="G66" s="4" t="s">
        <v>372</v>
      </c>
      <c r="H66" s="4" t="s">
        <v>443</v>
      </c>
      <c r="I66" s="5">
        <v>127587</v>
      </c>
      <c r="J66" s="3" t="s">
        <v>442</v>
      </c>
      <c r="K66" s="3" t="s">
        <v>444</v>
      </c>
      <c r="L66" s="3" t="s">
        <v>119</v>
      </c>
      <c r="M66" s="4" t="s">
        <v>443</v>
      </c>
      <c r="N66" s="3" t="s">
        <v>56</v>
      </c>
      <c r="O66" s="3" t="s">
        <v>139</v>
      </c>
      <c r="P66" s="4" t="s">
        <v>140</v>
      </c>
      <c r="Q66" s="3"/>
      <c r="R66" s="3"/>
      <c r="U66" s="4" t="s">
        <v>139</v>
      </c>
      <c r="V66" s="4" t="s">
        <v>119</v>
      </c>
      <c r="W66" s="4" t="s">
        <v>217</v>
      </c>
      <c r="X66" s="4" t="s">
        <v>445</v>
      </c>
      <c r="Y66" s="4" t="s">
        <v>431</v>
      </c>
      <c r="Z66" s="4" t="s">
        <v>431</v>
      </c>
      <c r="AA66" s="4" t="s">
        <v>356</v>
      </c>
      <c r="AB66" s="3" t="s">
        <v>375</v>
      </c>
      <c r="AC66" s="3" t="s">
        <v>358</v>
      </c>
      <c r="AD66" s="3" t="s">
        <v>327</v>
      </c>
      <c r="AE66" s="3">
        <v>1000</v>
      </c>
      <c r="AI66" s="4" t="s">
        <v>434</v>
      </c>
      <c r="AJ66" s="4" t="s">
        <v>434</v>
      </c>
      <c r="AK66" s="3" t="s">
        <v>143</v>
      </c>
      <c r="AL66" s="4">
        <v>43825</v>
      </c>
      <c r="AM66" s="5">
        <v>127587</v>
      </c>
      <c r="AN66" s="4" t="s">
        <v>124</v>
      </c>
      <c r="AO66" s="4">
        <v>99</v>
      </c>
      <c r="AP66" s="4">
        <v>81120000</v>
      </c>
      <c r="AQ66" s="5">
        <v>127587</v>
      </c>
    </row>
    <row r="67" spans="1:43" s="4" customFormat="1" x14ac:dyDescent="0.25">
      <c r="A67" s="3">
        <v>4604833</v>
      </c>
      <c r="B67" s="3" t="s">
        <v>402</v>
      </c>
      <c r="C67" s="3" t="s">
        <v>392</v>
      </c>
      <c r="D67" s="3">
        <v>10004590</v>
      </c>
      <c r="E67" s="4">
        <v>4534184</v>
      </c>
      <c r="F67" s="3" t="s">
        <v>49</v>
      </c>
      <c r="G67" s="4" t="s">
        <v>372</v>
      </c>
      <c r="H67" s="4" t="s">
        <v>446</v>
      </c>
      <c r="I67" s="5">
        <v>36850</v>
      </c>
      <c r="J67" s="3" t="s">
        <v>447</v>
      </c>
      <c r="K67" s="3" t="s">
        <v>448</v>
      </c>
      <c r="L67" s="3" t="s">
        <v>119</v>
      </c>
      <c r="M67" s="4" t="s">
        <v>446</v>
      </c>
      <c r="N67" s="3" t="s">
        <v>56</v>
      </c>
      <c r="O67" s="3" t="s">
        <v>139</v>
      </c>
      <c r="P67" s="4" t="s">
        <v>140</v>
      </c>
      <c r="Q67" s="3"/>
      <c r="R67" s="3"/>
      <c r="Y67" s="4" t="s">
        <v>420</v>
      </c>
      <c r="Z67" s="4" t="s">
        <v>420</v>
      </c>
      <c r="AA67" s="4" t="s">
        <v>356</v>
      </c>
      <c r="AB67" s="3" t="s">
        <v>375</v>
      </c>
      <c r="AC67" s="3" t="s">
        <v>358</v>
      </c>
      <c r="AD67" s="3" t="s">
        <v>449</v>
      </c>
      <c r="AE67" s="3">
        <v>1000</v>
      </c>
      <c r="AI67" s="4" t="s">
        <v>423</v>
      </c>
      <c r="AJ67" s="4" t="s">
        <v>423</v>
      </c>
      <c r="AK67" s="3" t="s">
        <v>143</v>
      </c>
      <c r="AL67" s="4">
        <v>43825</v>
      </c>
      <c r="AM67" s="5">
        <v>36850</v>
      </c>
      <c r="AN67" s="4" t="s">
        <v>124</v>
      </c>
      <c r="AO67" s="4">
        <v>99</v>
      </c>
      <c r="AP67" s="4">
        <v>81121500</v>
      </c>
      <c r="AQ67" s="5">
        <v>36850</v>
      </c>
    </row>
    <row r="68" spans="1:43" s="4" customFormat="1" x14ac:dyDescent="0.25">
      <c r="A68" s="3">
        <v>4604850</v>
      </c>
      <c r="B68" s="3" t="s">
        <v>2233</v>
      </c>
      <c r="C68" s="3" t="s">
        <v>2158</v>
      </c>
      <c r="D68" s="3">
        <v>10004655</v>
      </c>
      <c r="E68" s="4">
        <v>4534201</v>
      </c>
      <c r="F68" s="3" t="s">
        <v>49</v>
      </c>
      <c r="G68" s="4" t="s">
        <v>2211</v>
      </c>
      <c r="H68" s="4" t="s">
        <v>2234</v>
      </c>
      <c r="I68" s="5">
        <v>40000</v>
      </c>
      <c r="J68" s="3" t="s">
        <v>2233</v>
      </c>
      <c r="K68" s="3" t="s">
        <v>1877</v>
      </c>
      <c r="L68" s="3" t="s">
        <v>196</v>
      </c>
      <c r="M68" s="4" t="s">
        <v>2234</v>
      </c>
      <c r="N68" s="3" t="s">
        <v>25</v>
      </c>
      <c r="O68" s="3" t="s">
        <v>139</v>
      </c>
      <c r="P68" s="4" t="s">
        <v>140</v>
      </c>
      <c r="Q68" s="3"/>
      <c r="R68" s="3"/>
      <c r="Y68" s="4" t="s">
        <v>2235</v>
      </c>
      <c r="Z68" s="4" t="s">
        <v>2235</v>
      </c>
      <c r="AB68" s="3"/>
      <c r="AC68" s="3"/>
      <c r="AD68" s="3" t="s">
        <v>467</v>
      </c>
      <c r="AE68" s="3">
        <v>1000</v>
      </c>
      <c r="AI68" s="4" t="s">
        <v>2236</v>
      </c>
      <c r="AJ68" s="4" t="s">
        <v>2236</v>
      </c>
      <c r="AK68" s="3" t="s">
        <v>143</v>
      </c>
      <c r="AL68" s="4">
        <v>141778</v>
      </c>
      <c r="AM68" s="5">
        <v>40000</v>
      </c>
      <c r="AN68" s="4" t="s">
        <v>124</v>
      </c>
      <c r="AO68" s="4">
        <v>99</v>
      </c>
      <c r="AP68" s="4">
        <v>80100000</v>
      </c>
      <c r="AQ68" s="5">
        <v>40000</v>
      </c>
    </row>
    <row r="69" spans="1:43" s="4" customFormat="1" x14ac:dyDescent="0.25">
      <c r="A69" s="3">
        <v>4604853</v>
      </c>
      <c r="B69" s="3" t="s">
        <v>469</v>
      </c>
      <c r="C69" s="3" t="s">
        <v>392</v>
      </c>
      <c r="D69" s="3">
        <v>10004658</v>
      </c>
      <c r="E69" s="4">
        <v>4534204</v>
      </c>
      <c r="F69" s="3" t="s">
        <v>49</v>
      </c>
      <c r="G69" s="4" t="s">
        <v>470</v>
      </c>
      <c r="H69" s="4" t="s">
        <v>471</v>
      </c>
      <c r="I69" s="5">
        <v>59200</v>
      </c>
      <c r="J69" s="3" t="s">
        <v>469</v>
      </c>
      <c r="K69" s="3" t="s">
        <v>472</v>
      </c>
      <c r="L69" s="3" t="s">
        <v>119</v>
      </c>
      <c r="M69" s="4" t="s">
        <v>471</v>
      </c>
      <c r="N69" s="3" t="s">
        <v>56</v>
      </c>
      <c r="O69" s="3" t="s">
        <v>139</v>
      </c>
      <c r="P69" s="4" t="s">
        <v>282</v>
      </c>
      <c r="Q69" s="3"/>
      <c r="R69" s="3"/>
      <c r="Y69" s="4" t="s">
        <v>466</v>
      </c>
      <c r="Z69" s="4" t="s">
        <v>406</v>
      </c>
      <c r="AA69" s="4" t="s">
        <v>356</v>
      </c>
      <c r="AB69" s="3" t="s">
        <v>473</v>
      </c>
      <c r="AC69" s="3" t="s">
        <v>358</v>
      </c>
      <c r="AD69" s="3" t="s">
        <v>474</v>
      </c>
      <c r="AE69" s="3">
        <v>1000</v>
      </c>
      <c r="AI69" s="4" t="s">
        <v>468</v>
      </c>
      <c r="AJ69" s="4" t="s">
        <v>409</v>
      </c>
      <c r="AK69" s="3" t="s">
        <v>286</v>
      </c>
      <c r="AL69" s="4">
        <v>41344</v>
      </c>
      <c r="AM69" s="5">
        <v>59200</v>
      </c>
      <c r="AN69" s="4" t="s">
        <v>124</v>
      </c>
      <c r="AO69" s="4">
        <v>99</v>
      </c>
      <c r="AP69" s="4">
        <v>80141500</v>
      </c>
      <c r="AQ69" s="5">
        <v>59200</v>
      </c>
    </row>
    <row r="70" spans="1:43" s="4" customFormat="1" x14ac:dyDescent="0.25">
      <c r="A70" s="3">
        <v>4604854</v>
      </c>
      <c r="B70" s="3" t="s">
        <v>452</v>
      </c>
      <c r="C70" s="3" t="s">
        <v>2158</v>
      </c>
      <c r="D70" s="3">
        <v>10004650</v>
      </c>
      <c r="E70" s="4">
        <v>4534205</v>
      </c>
      <c r="F70" s="3" t="s">
        <v>49</v>
      </c>
      <c r="G70" s="4" t="s">
        <v>2237</v>
      </c>
      <c r="H70" s="4" t="s">
        <v>2238</v>
      </c>
      <c r="I70" s="5">
        <v>16500</v>
      </c>
      <c r="J70" s="3" t="s">
        <v>452</v>
      </c>
      <c r="K70" s="3" t="s">
        <v>480</v>
      </c>
      <c r="L70" s="3" t="s">
        <v>196</v>
      </c>
      <c r="M70" s="4" t="s">
        <v>2238</v>
      </c>
      <c r="N70" s="3" t="s">
        <v>25</v>
      </c>
      <c r="O70" s="3" t="s">
        <v>139</v>
      </c>
      <c r="P70" s="4" t="s">
        <v>2207</v>
      </c>
      <c r="Q70" s="3"/>
      <c r="R70" s="3"/>
      <c r="Y70" s="4" t="s">
        <v>2231</v>
      </c>
      <c r="Z70" s="4" t="s">
        <v>2231</v>
      </c>
      <c r="AB70" s="3"/>
      <c r="AC70" s="3"/>
      <c r="AD70" s="3" t="s">
        <v>469</v>
      </c>
      <c r="AE70" s="3">
        <v>1000</v>
      </c>
      <c r="AI70" s="4" t="s">
        <v>2232</v>
      </c>
      <c r="AJ70" s="4" t="s">
        <v>2232</v>
      </c>
      <c r="AK70" s="3" t="s">
        <v>2210</v>
      </c>
      <c r="AL70" s="4">
        <v>141863</v>
      </c>
      <c r="AM70" s="5">
        <v>16500</v>
      </c>
      <c r="AN70" s="4" t="s">
        <v>124</v>
      </c>
      <c r="AO70" s="4">
        <v>99</v>
      </c>
      <c r="AP70" s="4">
        <v>80101505</v>
      </c>
      <c r="AQ70" s="5">
        <v>8273.86</v>
      </c>
    </row>
    <row r="71" spans="1:43" s="4" customFormat="1" x14ac:dyDescent="0.25">
      <c r="A71" s="3">
        <v>4604862</v>
      </c>
      <c r="B71" s="3" t="s">
        <v>1479</v>
      </c>
      <c r="C71" s="3" t="s">
        <v>1278</v>
      </c>
      <c r="D71" s="3">
        <v>10004675</v>
      </c>
      <c r="E71" s="4">
        <v>4534213</v>
      </c>
      <c r="F71" s="3" t="s">
        <v>49</v>
      </c>
      <c r="G71" s="4" t="s">
        <v>1174</v>
      </c>
      <c r="H71" s="4" t="s">
        <v>1832</v>
      </c>
      <c r="I71" s="5">
        <v>18810</v>
      </c>
      <c r="J71" s="3" t="s">
        <v>1833</v>
      </c>
      <c r="K71" s="3" t="s">
        <v>901</v>
      </c>
      <c r="L71" s="3" t="s">
        <v>119</v>
      </c>
      <c r="M71" s="4" t="s">
        <v>1832</v>
      </c>
      <c r="N71" s="3" t="s">
        <v>56</v>
      </c>
      <c r="O71" s="3" t="s">
        <v>139</v>
      </c>
      <c r="P71" s="4" t="s">
        <v>140</v>
      </c>
      <c r="Q71" s="3"/>
      <c r="R71" s="3"/>
      <c r="Y71" s="4" t="s">
        <v>540</v>
      </c>
      <c r="Z71" s="4" t="s">
        <v>1090</v>
      </c>
      <c r="AA71" s="4" t="s">
        <v>1284</v>
      </c>
      <c r="AB71" s="3" t="s">
        <v>1285</v>
      </c>
      <c r="AC71" s="3" t="s">
        <v>1286</v>
      </c>
      <c r="AD71" s="3" t="s">
        <v>484</v>
      </c>
      <c r="AE71" s="3">
        <v>1000</v>
      </c>
      <c r="AI71" s="4" t="s">
        <v>542</v>
      </c>
      <c r="AJ71" s="4" t="s">
        <v>1091</v>
      </c>
      <c r="AK71" s="3" t="s">
        <v>143</v>
      </c>
      <c r="AL71" s="4">
        <v>42811</v>
      </c>
      <c r="AM71" s="5">
        <v>18810</v>
      </c>
      <c r="AN71" s="4" t="s">
        <v>124</v>
      </c>
      <c r="AO71" s="4">
        <v>99</v>
      </c>
      <c r="AP71" s="4">
        <v>84111600</v>
      </c>
      <c r="AQ71" s="4">
        <v>0</v>
      </c>
    </row>
    <row r="72" spans="1:43" s="4" customFormat="1" x14ac:dyDescent="0.25">
      <c r="A72" s="3">
        <v>4604868</v>
      </c>
      <c r="B72" s="3" t="s">
        <v>1835</v>
      </c>
      <c r="C72" s="3" t="s">
        <v>1278</v>
      </c>
      <c r="D72" s="3">
        <v>10004684</v>
      </c>
      <c r="E72" s="4">
        <v>4534219</v>
      </c>
      <c r="F72" s="3" t="s">
        <v>49</v>
      </c>
      <c r="G72" s="4" t="s">
        <v>1174</v>
      </c>
      <c r="I72" s="5">
        <v>8897</v>
      </c>
      <c r="J72" s="3" t="s">
        <v>1734</v>
      </c>
      <c r="K72" s="3" t="s">
        <v>817</v>
      </c>
      <c r="L72" s="3" t="s">
        <v>119</v>
      </c>
      <c r="M72" s="4" t="s">
        <v>1283</v>
      </c>
      <c r="N72" s="3" t="s">
        <v>56</v>
      </c>
      <c r="O72" s="3" t="s">
        <v>139</v>
      </c>
      <c r="P72" s="4" t="s">
        <v>140</v>
      </c>
      <c r="Q72" s="3"/>
      <c r="R72" s="3"/>
      <c r="Y72" s="4" t="s">
        <v>1079</v>
      </c>
      <c r="Z72" s="4" t="s">
        <v>1090</v>
      </c>
      <c r="AB72" s="3"/>
      <c r="AC72" s="3"/>
      <c r="AD72" s="3" t="s">
        <v>1835</v>
      </c>
      <c r="AE72" s="3">
        <v>1000</v>
      </c>
      <c r="AI72" s="4" t="s">
        <v>1083</v>
      </c>
      <c r="AJ72" s="4" t="s">
        <v>1091</v>
      </c>
      <c r="AK72" s="3" t="s">
        <v>143</v>
      </c>
      <c r="AL72" s="4">
        <v>42811</v>
      </c>
      <c r="AM72" s="5">
        <v>8897</v>
      </c>
      <c r="AN72" s="4" t="s">
        <v>124</v>
      </c>
      <c r="AQ72" s="5">
        <v>8897</v>
      </c>
    </row>
    <row r="73" spans="1:43" s="4" customFormat="1" x14ac:dyDescent="0.25">
      <c r="A73" s="3">
        <v>4604872</v>
      </c>
      <c r="B73" s="3" t="s">
        <v>1788</v>
      </c>
      <c r="C73" s="3" t="s">
        <v>2342</v>
      </c>
      <c r="D73" s="3">
        <v>10004691</v>
      </c>
      <c r="E73" s="4">
        <v>4534223</v>
      </c>
      <c r="F73" s="3" t="s">
        <v>49</v>
      </c>
      <c r="G73" s="4" t="s">
        <v>2398</v>
      </c>
      <c r="I73" s="5">
        <v>6600</v>
      </c>
      <c r="J73" s="3" t="s">
        <v>1788</v>
      </c>
      <c r="K73" s="3" t="s">
        <v>299</v>
      </c>
      <c r="L73" s="3" t="s">
        <v>1046</v>
      </c>
      <c r="M73" s="4" t="s">
        <v>2399</v>
      </c>
      <c r="N73" s="3" t="s">
        <v>25</v>
      </c>
      <c r="O73" s="3" t="s">
        <v>139</v>
      </c>
      <c r="P73" s="4" t="s">
        <v>282</v>
      </c>
      <c r="Q73" s="3"/>
      <c r="R73" s="3"/>
      <c r="Y73" s="4" t="s">
        <v>2386</v>
      </c>
      <c r="Z73" s="4" t="s">
        <v>2386</v>
      </c>
      <c r="AB73" s="3"/>
      <c r="AC73" s="3"/>
      <c r="AD73" s="3" t="s">
        <v>486</v>
      </c>
      <c r="AE73" s="3">
        <v>1000</v>
      </c>
      <c r="AI73" s="4" t="s">
        <v>2387</v>
      </c>
      <c r="AJ73" s="4" t="s">
        <v>2387</v>
      </c>
      <c r="AK73" s="3" t="s">
        <v>286</v>
      </c>
      <c r="AL73" s="4">
        <v>47274</v>
      </c>
      <c r="AM73" s="5">
        <v>6600</v>
      </c>
      <c r="AN73" s="4" t="s">
        <v>2282</v>
      </c>
      <c r="AQ73" s="5">
        <v>6600</v>
      </c>
    </row>
    <row r="74" spans="1:43" s="4" customFormat="1" x14ac:dyDescent="0.25">
      <c r="A74" s="3">
        <v>4604891</v>
      </c>
      <c r="B74" s="3" t="s">
        <v>455</v>
      </c>
      <c r="C74" s="3" t="s">
        <v>2342</v>
      </c>
      <c r="D74" s="3">
        <v>10004705</v>
      </c>
      <c r="E74" s="4">
        <v>4534242</v>
      </c>
      <c r="F74" s="3" t="s">
        <v>49</v>
      </c>
      <c r="G74" s="4" t="s">
        <v>2300</v>
      </c>
      <c r="H74" s="4" t="s">
        <v>2301</v>
      </c>
      <c r="I74" s="5">
        <v>7748.3</v>
      </c>
      <c r="J74" s="3" t="s">
        <v>455</v>
      </c>
      <c r="K74" s="3" t="s">
        <v>77</v>
      </c>
      <c r="L74" s="3" t="s">
        <v>1046</v>
      </c>
      <c r="M74" s="4" t="s">
        <v>2400</v>
      </c>
      <c r="N74" s="3" t="s">
        <v>25</v>
      </c>
      <c r="O74" s="3" t="s">
        <v>139</v>
      </c>
      <c r="P74" s="4" t="s">
        <v>282</v>
      </c>
      <c r="Q74" s="3" t="s">
        <v>139</v>
      </c>
      <c r="R74" s="3" t="s">
        <v>427</v>
      </c>
      <c r="S74" s="4" t="s">
        <v>428</v>
      </c>
      <c r="U74" s="4" t="s">
        <v>139</v>
      </c>
      <c r="V74" s="4" t="s">
        <v>427</v>
      </c>
      <c r="W74" s="4" t="s">
        <v>428</v>
      </c>
      <c r="Y74" s="4" t="s">
        <v>2277</v>
      </c>
      <c r="Z74" s="4" t="s">
        <v>2386</v>
      </c>
      <c r="AB74" s="3"/>
      <c r="AC74" s="3"/>
      <c r="AD74" s="3" t="s">
        <v>535</v>
      </c>
      <c r="AE74" s="3">
        <v>1000</v>
      </c>
      <c r="AI74" s="4" t="s">
        <v>2281</v>
      </c>
      <c r="AJ74" s="4" t="s">
        <v>2387</v>
      </c>
      <c r="AK74" s="3" t="s">
        <v>286</v>
      </c>
      <c r="AL74" s="4">
        <v>30080</v>
      </c>
      <c r="AM74" s="5">
        <v>7748.3</v>
      </c>
      <c r="AN74" s="4" t="s">
        <v>2282</v>
      </c>
      <c r="AO74" s="4">
        <v>99</v>
      </c>
      <c r="AP74" s="4">
        <v>80120000</v>
      </c>
      <c r="AQ74" s="5">
        <v>7748.3</v>
      </c>
    </row>
    <row r="75" spans="1:43" s="4" customFormat="1" x14ac:dyDescent="0.25">
      <c r="A75" s="3">
        <v>4604896</v>
      </c>
      <c r="B75" s="3" t="s">
        <v>475</v>
      </c>
      <c r="C75" s="3" t="s">
        <v>2093</v>
      </c>
      <c r="D75" s="3">
        <v>10004680</v>
      </c>
      <c r="E75" s="4">
        <v>4534247</v>
      </c>
      <c r="F75" s="3" t="s">
        <v>49</v>
      </c>
      <c r="G75" s="4" t="s">
        <v>2119</v>
      </c>
      <c r="H75" s="4" t="s">
        <v>2120</v>
      </c>
      <c r="I75" s="5">
        <v>130680</v>
      </c>
      <c r="J75" s="3" t="s">
        <v>1479</v>
      </c>
      <c r="K75" s="3" t="s">
        <v>1227</v>
      </c>
      <c r="L75" s="3" t="s">
        <v>119</v>
      </c>
      <c r="M75" s="4" t="s">
        <v>2120</v>
      </c>
      <c r="N75" s="3" t="s">
        <v>56</v>
      </c>
      <c r="O75" s="3" t="s">
        <v>139</v>
      </c>
      <c r="P75" s="4" t="s">
        <v>282</v>
      </c>
      <c r="Q75" s="3"/>
      <c r="R75" s="3"/>
      <c r="Y75" s="4" t="s">
        <v>747</v>
      </c>
      <c r="Z75" s="4" t="s">
        <v>747</v>
      </c>
      <c r="AA75" s="4" t="s">
        <v>356</v>
      </c>
      <c r="AB75" s="3" t="s">
        <v>2121</v>
      </c>
      <c r="AC75" s="3" t="s">
        <v>358</v>
      </c>
      <c r="AD75" s="3" t="s">
        <v>371</v>
      </c>
      <c r="AE75" s="3">
        <v>1000</v>
      </c>
      <c r="AI75" s="4" t="s">
        <v>749</v>
      </c>
      <c r="AJ75" s="4" t="s">
        <v>749</v>
      </c>
      <c r="AK75" s="3" t="s">
        <v>286</v>
      </c>
      <c r="AL75" s="4">
        <v>46130</v>
      </c>
      <c r="AM75" s="5">
        <v>130680</v>
      </c>
      <c r="AN75" s="4" t="s">
        <v>124</v>
      </c>
      <c r="AO75" s="4">
        <v>99</v>
      </c>
      <c r="AP75" s="4">
        <v>80101507</v>
      </c>
      <c r="AQ75" s="5">
        <v>84051</v>
      </c>
    </row>
    <row r="76" spans="1:43" s="4" customFormat="1" x14ac:dyDescent="0.25">
      <c r="A76" s="3">
        <v>4604901</v>
      </c>
      <c r="B76" s="3" t="s">
        <v>486</v>
      </c>
      <c r="C76" s="3" t="s">
        <v>2342</v>
      </c>
      <c r="D76" s="3">
        <v>10004720</v>
      </c>
      <c r="E76" s="4">
        <v>4534252</v>
      </c>
      <c r="F76" s="3" t="s">
        <v>49</v>
      </c>
      <c r="G76" s="4" t="s">
        <v>2364</v>
      </c>
      <c r="H76" s="4" t="s">
        <v>2301</v>
      </c>
      <c r="I76" s="5">
        <v>101000</v>
      </c>
      <c r="J76" s="3" t="s">
        <v>486</v>
      </c>
      <c r="K76" s="3" t="s">
        <v>77</v>
      </c>
      <c r="L76" s="3" t="s">
        <v>1046</v>
      </c>
      <c r="M76" s="4" t="s">
        <v>2401</v>
      </c>
      <c r="N76" s="3" t="s">
        <v>25</v>
      </c>
      <c r="O76" s="3" t="s">
        <v>139</v>
      </c>
      <c r="P76" s="4" t="s">
        <v>282</v>
      </c>
      <c r="Q76" s="3" t="s">
        <v>139</v>
      </c>
      <c r="R76" s="3" t="s">
        <v>427</v>
      </c>
      <c r="S76" s="4" t="s">
        <v>428</v>
      </c>
      <c r="U76" s="4" t="s">
        <v>139</v>
      </c>
      <c r="V76" s="4" t="s">
        <v>427</v>
      </c>
      <c r="W76" s="4" t="s">
        <v>428</v>
      </c>
      <c r="Y76" s="4" t="s">
        <v>2402</v>
      </c>
      <c r="Z76" s="4" t="s">
        <v>2386</v>
      </c>
      <c r="AB76" s="3"/>
      <c r="AC76" s="3"/>
      <c r="AD76" s="3" t="s">
        <v>534</v>
      </c>
      <c r="AE76" s="3">
        <v>1000</v>
      </c>
      <c r="AI76" s="4" t="s">
        <v>2403</v>
      </c>
      <c r="AJ76" s="4" t="s">
        <v>2387</v>
      </c>
      <c r="AK76" s="3" t="s">
        <v>286</v>
      </c>
      <c r="AL76" s="4">
        <v>141746</v>
      </c>
      <c r="AM76" s="5">
        <v>101000</v>
      </c>
      <c r="AN76" s="4" t="s">
        <v>2282</v>
      </c>
      <c r="AO76" s="4">
        <v>99</v>
      </c>
      <c r="AP76" s="4">
        <v>80120000</v>
      </c>
      <c r="AQ76" s="5">
        <v>100832.26</v>
      </c>
    </row>
    <row r="77" spans="1:43" s="4" customFormat="1" x14ac:dyDescent="0.25">
      <c r="A77" s="3">
        <v>4604902</v>
      </c>
      <c r="B77" s="3" t="s">
        <v>1704</v>
      </c>
      <c r="C77" s="3" t="s">
        <v>2158</v>
      </c>
      <c r="D77" s="3">
        <v>10004710</v>
      </c>
      <c r="E77" s="4">
        <v>4534253</v>
      </c>
      <c r="F77" s="3" t="s">
        <v>49</v>
      </c>
      <c r="G77" s="4" t="s">
        <v>117</v>
      </c>
      <c r="H77" s="4" t="s">
        <v>2248</v>
      </c>
      <c r="I77" s="5">
        <v>72500</v>
      </c>
      <c r="J77" s="3" t="s">
        <v>496</v>
      </c>
      <c r="K77" s="3" t="s">
        <v>77</v>
      </c>
      <c r="L77" s="3" t="s">
        <v>119</v>
      </c>
      <c r="M77" s="4" t="s">
        <v>2249</v>
      </c>
      <c r="N77" s="3" t="s">
        <v>56</v>
      </c>
      <c r="O77" s="3" t="s">
        <v>139</v>
      </c>
      <c r="P77" s="4" t="s">
        <v>282</v>
      </c>
      <c r="Q77" s="3" t="s">
        <v>139</v>
      </c>
      <c r="R77" s="3" t="s">
        <v>427</v>
      </c>
      <c r="S77" s="4" t="s">
        <v>428</v>
      </c>
      <c r="U77" s="4" t="s">
        <v>139</v>
      </c>
      <c r="V77" s="4" t="s">
        <v>427</v>
      </c>
      <c r="W77" s="4" t="s">
        <v>428</v>
      </c>
      <c r="Y77" s="4" t="s">
        <v>738</v>
      </c>
      <c r="Z77" s="4" t="s">
        <v>738</v>
      </c>
      <c r="AA77" s="4" t="s">
        <v>1850</v>
      </c>
      <c r="AB77" s="3" t="s">
        <v>2250</v>
      </c>
      <c r="AC77" s="3" t="s">
        <v>1852</v>
      </c>
      <c r="AD77" s="3" t="s">
        <v>1159</v>
      </c>
      <c r="AE77" s="3">
        <v>1000</v>
      </c>
      <c r="AI77" s="4" t="s">
        <v>741</v>
      </c>
      <c r="AJ77" s="4" t="s">
        <v>741</v>
      </c>
      <c r="AK77" s="3" t="s">
        <v>286</v>
      </c>
      <c r="AL77" s="4">
        <v>44797</v>
      </c>
      <c r="AM77" s="5">
        <v>72500</v>
      </c>
      <c r="AN77" s="4" t="s">
        <v>124</v>
      </c>
      <c r="AO77" s="4">
        <v>98</v>
      </c>
      <c r="AP77" s="4">
        <v>80101603</v>
      </c>
      <c r="AQ77" s="5">
        <v>38000</v>
      </c>
    </row>
    <row r="78" spans="1:43" s="4" customFormat="1" x14ac:dyDescent="0.25">
      <c r="A78" s="3">
        <v>4604905</v>
      </c>
      <c r="B78" s="3" t="s">
        <v>1136</v>
      </c>
      <c r="C78" s="3" t="s">
        <v>2158</v>
      </c>
      <c r="D78" s="3">
        <v>10004711</v>
      </c>
      <c r="E78" s="4">
        <v>4534256</v>
      </c>
      <c r="F78" s="3" t="s">
        <v>49</v>
      </c>
      <c r="G78" s="4" t="s">
        <v>2251</v>
      </c>
      <c r="H78" s="4" t="s">
        <v>2252</v>
      </c>
      <c r="I78" s="5">
        <v>112060</v>
      </c>
      <c r="J78" s="3" t="s">
        <v>496</v>
      </c>
      <c r="K78" s="3" t="s">
        <v>77</v>
      </c>
      <c r="L78" s="3" t="s">
        <v>119</v>
      </c>
      <c r="M78" s="4" t="s">
        <v>2253</v>
      </c>
      <c r="N78" s="3" t="s">
        <v>56</v>
      </c>
      <c r="O78" s="3" t="s">
        <v>139</v>
      </c>
      <c r="P78" s="4" t="s">
        <v>282</v>
      </c>
      <c r="Q78" s="3" t="s">
        <v>139</v>
      </c>
      <c r="R78" s="3" t="s">
        <v>427</v>
      </c>
      <c r="S78" s="4" t="s">
        <v>428</v>
      </c>
      <c r="U78" s="4" t="s">
        <v>139</v>
      </c>
      <c r="V78" s="4" t="s">
        <v>427</v>
      </c>
      <c r="W78" s="4" t="s">
        <v>428</v>
      </c>
      <c r="Y78" s="4" t="s">
        <v>738</v>
      </c>
      <c r="Z78" s="4" t="s">
        <v>2254</v>
      </c>
      <c r="AA78" s="4" t="s">
        <v>1850</v>
      </c>
      <c r="AB78" s="3" t="s">
        <v>2255</v>
      </c>
      <c r="AC78" s="3" t="s">
        <v>1852</v>
      </c>
      <c r="AD78" s="3" t="s">
        <v>1159</v>
      </c>
      <c r="AE78" s="3">
        <v>1000</v>
      </c>
      <c r="AI78" s="4" t="s">
        <v>741</v>
      </c>
      <c r="AJ78" s="4" t="s">
        <v>2256</v>
      </c>
      <c r="AK78" s="3" t="s">
        <v>286</v>
      </c>
      <c r="AL78" s="4">
        <v>141875</v>
      </c>
      <c r="AM78" s="5">
        <v>112060</v>
      </c>
      <c r="AN78" s="4" t="s">
        <v>124</v>
      </c>
      <c r="AO78" s="4">
        <v>98</v>
      </c>
      <c r="AP78" s="4">
        <v>80101507</v>
      </c>
      <c r="AQ78" s="5">
        <v>66655.240000000005</v>
      </c>
    </row>
    <row r="79" spans="1:43" s="4" customFormat="1" x14ac:dyDescent="0.25">
      <c r="A79" s="3">
        <v>4604921</v>
      </c>
      <c r="B79" s="3" t="s">
        <v>502</v>
      </c>
      <c r="C79" s="3" t="s">
        <v>392</v>
      </c>
      <c r="D79" s="3">
        <v>10004708</v>
      </c>
      <c r="E79" s="4">
        <v>4534272</v>
      </c>
      <c r="F79" s="3" t="s">
        <v>49</v>
      </c>
      <c r="G79" s="4" t="s">
        <v>372</v>
      </c>
      <c r="H79" s="4" t="s">
        <v>503</v>
      </c>
      <c r="I79" s="5">
        <v>64500</v>
      </c>
      <c r="J79" s="3" t="s">
        <v>502</v>
      </c>
      <c r="K79" s="3" t="s">
        <v>504</v>
      </c>
      <c r="L79" s="3" t="s">
        <v>119</v>
      </c>
      <c r="M79" s="4" t="s">
        <v>503</v>
      </c>
      <c r="N79" s="3" t="s">
        <v>25</v>
      </c>
      <c r="O79" s="3" t="s">
        <v>139</v>
      </c>
      <c r="P79" s="4" t="s">
        <v>282</v>
      </c>
      <c r="Q79" s="3"/>
      <c r="R79" s="3"/>
      <c r="Y79" s="4" t="s">
        <v>505</v>
      </c>
      <c r="Z79" s="4" t="s">
        <v>505</v>
      </c>
      <c r="AA79" s="4" t="s">
        <v>506</v>
      </c>
      <c r="AB79" s="3"/>
      <c r="AC79" s="3"/>
      <c r="AD79" s="3" t="s">
        <v>500</v>
      </c>
      <c r="AE79" s="3">
        <v>1000</v>
      </c>
      <c r="AI79" s="4" t="s">
        <v>507</v>
      </c>
      <c r="AJ79" s="4" t="s">
        <v>507</v>
      </c>
      <c r="AK79" s="3" t="s">
        <v>286</v>
      </c>
      <c r="AL79" s="4">
        <v>43825</v>
      </c>
      <c r="AM79" s="5">
        <v>64500</v>
      </c>
      <c r="AN79" s="4" t="s">
        <v>124</v>
      </c>
      <c r="AO79" s="4">
        <v>99</v>
      </c>
      <c r="AP79" s="4">
        <v>80101505</v>
      </c>
      <c r="AQ79" s="5">
        <v>62734.13</v>
      </c>
    </row>
    <row r="80" spans="1:43" s="4" customFormat="1" x14ac:dyDescent="0.25">
      <c r="A80" s="3">
        <v>4604924</v>
      </c>
      <c r="B80" s="3" t="s">
        <v>502</v>
      </c>
      <c r="C80" s="3" t="s">
        <v>392</v>
      </c>
      <c r="D80" s="3">
        <v>10004708</v>
      </c>
      <c r="E80" s="4">
        <v>4534275</v>
      </c>
      <c r="F80" s="3" t="s">
        <v>49</v>
      </c>
      <c r="G80" s="4" t="s">
        <v>508</v>
      </c>
      <c r="H80" s="4" t="s">
        <v>503</v>
      </c>
      <c r="I80" s="5">
        <v>79500</v>
      </c>
      <c r="J80" s="3" t="s">
        <v>502</v>
      </c>
      <c r="K80" s="3" t="s">
        <v>504</v>
      </c>
      <c r="L80" s="3" t="s">
        <v>119</v>
      </c>
      <c r="M80" s="4" t="s">
        <v>503</v>
      </c>
      <c r="N80" s="3" t="s">
        <v>25</v>
      </c>
      <c r="O80" s="3" t="s">
        <v>139</v>
      </c>
      <c r="P80" s="4" t="s">
        <v>282</v>
      </c>
      <c r="Q80" s="3"/>
      <c r="R80" s="3"/>
      <c r="Y80" s="4" t="s">
        <v>505</v>
      </c>
      <c r="Z80" s="4" t="s">
        <v>505</v>
      </c>
      <c r="AA80" s="4" t="s">
        <v>509</v>
      </c>
      <c r="AB80" s="3"/>
      <c r="AC80" s="3"/>
      <c r="AD80" s="3" t="s">
        <v>510</v>
      </c>
      <c r="AE80" s="3">
        <v>1000</v>
      </c>
      <c r="AI80" s="4" t="s">
        <v>507</v>
      </c>
      <c r="AJ80" s="4" t="s">
        <v>507</v>
      </c>
      <c r="AK80" s="3" t="s">
        <v>286</v>
      </c>
      <c r="AL80" s="4">
        <v>140425</v>
      </c>
      <c r="AM80" s="5">
        <v>79500</v>
      </c>
      <c r="AN80" s="4" t="s">
        <v>124</v>
      </c>
      <c r="AO80" s="4">
        <v>99</v>
      </c>
      <c r="AP80" s="4">
        <v>80101505</v>
      </c>
      <c r="AQ80" s="5">
        <v>79500</v>
      </c>
    </row>
    <row r="81" spans="1:43" s="4" customFormat="1" x14ac:dyDescent="0.25">
      <c r="A81" s="3">
        <v>4604926</v>
      </c>
      <c r="B81" s="3" t="s">
        <v>510</v>
      </c>
      <c r="C81" s="3" t="s">
        <v>2342</v>
      </c>
      <c r="D81" s="3">
        <v>10004746</v>
      </c>
      <c r="E81" s="4">
        <v>4534277</v>
      </c>
      <c r="F81" s="3" t="s">
        <v>49</v>
      </c>
      <c r="G81" s="4" t="s">
        <v>2300</v>
      </c>
      <c r="H81" s="4" t="s">
        <v>2404</v>
      </c>
      <c r="I81" s="5">
        <v>15400</v>
      </c>
      <c r="J81" s="3" t="s">
        <v>510</v>
      </c>
      <c r="K81" s="3" t="s">
        <v>439</v>
      </c>
      <c r="L81" s="3" t="s">
        <v>119</v>
      </c>
      <c r="M81" s="4" t="s">
        <v>2405</v>
      </c>
      <c r="N81" s="3" t="s">
        <v>56</v>
      </c>
      <c r="O81" s="3" t="s">
        <v>139</v>
      </c>
      <c r="P81" s="4" t="s">
        <v>282</v>
      </c>
      <c r="Q81" s="3" t="s">
        <v>139</v>
      </c>
      <c r="R81" s="3" t="s">
        <v>215</v>
      </c>
      <c r="S81" s="4" t="s">
        <v>216</v>
      </c>
      <c r="U81" s="4" t="s">
        <v>139</v>
      </c>
      <c r="V81" s="4" t="s">
        <v>427</v>
      </c>
      <c r="W81" s="4" t="s">
        <v>428</v>
      </c>
      <c r="Y81" s="4" t="s">
        <v>2286</v>
      </c>
      <c r="Z81" s="4" t="s">
        <v>2286</v>
      </c>
      <c r="AA81" s="4" t="s">
        <v>2294</v>
      </c>
      <c r="AB81" s="3" t="s">
        <v>2303</v>
      </c>
      <c r="AC81" s="3" t="s">
        <v>2296</v>
      </c>
      <c r="AD81" s="3" t="s">
        <v>1227</v>
      </c>
      <c r="AE81" s="3">
        <v>1000</v>
      </c>
      <c r="AI81" s="4" t="s">
        <v>2288</v>
      </c>
      <c r="AJ81" s="4" t="s">
        <v>2288</v>
      </c>
      <c r="AK81" s="3" t="s">
        <v>286</v>
      </c>
      <c r="AL81" s="4">
        <v>30080</v>
      </c>
      <c r="AM81" s="5">
        <v>15400</v>
      </c>
      <c r="AN81" s="4" t="s">
        <v>2282</v>
      </c>
      <c r="AO81" s="4">
        <v>99</v>
      </c>
      <c r="AP81" s="4">
        <v>80120000</v>
      </c>
      <c r="AQ81" s="5">
        <v>14457.3</v>
      </c>
    </row>
    <row r="82" spans="1:43" s="4" customFormat="1" x14ac:dyDescent="0.25">
      <c r="A82" s="3">
        <v>4604936</v>
      </c>
      <c r="B82" s="3" t="s">
        <v>1903</v>
      </c>
      <c r="C82" s="3" t="s">
        <v>1278</v>
      </c>
      <c r="D82" s="3">
        <v>10004750</v>
      </c>
      <c r="E82" s="4">
        <v>4534287</v>
      </c>
      <c r="F82" s="3" t="s">
        <v>49</v>
      </c>
      <c r="G82" s="4" t="s">
        <v>1916</v>
      </c>
      <c r="H82" s="4" t="s">
        <v>1917</v>
      </c>
      <c r="I82" s="5">
        <v>18000</v>
      </c>
      <c r="J82" s="3" t="s">
        <v>1903</v>
      </c>
      <c r="K82" s="3" t="s">
        <v>77</v>
      </c>
      <c r="L82" s="3" t="s">
        <v>196</v>
      </c>
      <c r="M82" s="4" t="s">
        <v>1917</v>
      </c>
      <c r="N82" s="3" t="s">
        <v>25</v>
      </c>
      <c r="O82" s="3" t="s">
        <v>139</v>
      </c>
      <c r="P82" s="4" t="s">
        <v>282</v>
      </c>
      <c r="Q82" s="3"/>
      <c r="R82" s="3"/>
      <c r="Y82" s="4" t="s">
        <v>1176</v>
      </c>
      <c r="Z82" s="4" t="s">
        <v>1176</v>
      </c>
      <c r="AB82" s="3"/>
      <c r="AC82" s="3"/>
      <c r="AD82" s="3" t="s">
        <v>369</v>
      </c>
      <c r="AE82" s="3">
        <v>1000</v>
      </c>
      <c r="AI82" s="4" t="s">
        <v>1178</v>
      </c>
      <c r="AJ82" s="4" t="s">
        <v>1178</v>
      </c>
      <c r="AK82" s="3" t="s">
        <v>286</v>
      </c>
      <c r="AL82" s="4">
        <v>141887</v>
      </c>
      <c r="AM82" s="5">
        <v>18000</v>
      </c>
      <c r="AN82" s="4" t="s">
        <v>124</v>
      </c>
      <c r="AO82" s="4">
        <v>99</v>
      </c>
      <c r="AP82" s="4">
        <v>80100000</v>
      </c>
      <c r="AQ82" s="5">
        <v>9272.75</v>
      </c>
    </row>
    <row r="83" spans="1:43" s="4" customFormat="1" x14ac:dyDescent="0.25">
      <c r="A83" s="3">
        <v>4604944</v>
      </c>
      <c r="B83" s="3" t="s">
        <v>510</v>
      </c>
      <c r="C83" s="3" t="s">
        <v>1278</v>
      </c>
      <c r="D83" s="3">
        <v>10004740</v>
      </c>
      <c r="E83" s="4">
        <v>4534295</v>
      </c>
      <c r="F83" s="3" t="s">
        <v>49</v>
      </c>
      <c r="G83" s="4" t="s">
        <v>1744</v>
      </c>
      <c r="H83" s="4" t="s">
        <v>1920</v>
      </c>
      <c r="I83" s="5">
        <v>85410.7</v>
      </c>
      <c r="J83" s="3" t="s">
        <v>500</v>
      </c>
      <c r="K83" s="3" t="s">
        <v>77</v>
      </c>
      <c r="L83" s="3" t="s">
        <v>119</v>
      </c>
      <c r="M83" s="4" t="s">
        <v>1920</v>
      </c>
      <c r="N83" s="3" t="s">
        <v>56</v>
      </c>
      <c r="O83" s="3" t="s">
        <v>139</v>
      </c>
      <c r="P83" s="4" t="s">
        <v>140</v>
      </c>
      <c r="Q83" s="3"/>
      <c r="R83" s="3"/>
      <c r="Y83" s="4" t="s">
        <v>405</v>
      </c>
      <c r="Z83" s="4" t="s">
        <v>405</v>
      </c>
      <c r="AA83" s="4" t="s">
        <v>1284</v>
      </c>
      <c r="AB83" s="3" t="s">
        <v>1921</v>
      </c>
      <c r="AC83" s="3" t="s">
        <v>1286</v>
      </c>
      <c r="AD83" s="3" t="s">
        <v>353</v>
      </c>
      <c r="AE83" s="3">
        <v>1000</v>
      </c>
      <c r="AI83" s="4" t="s">
        <v>408</v>
      </c>
      <c r="AJ83" s="4" t="s">
        <v>408</v>
      </c>
      <c r="AK83" s="3" t="s">
        <v>143</v>
      </c>
      <c r="AL83" s="4">
        <v>140381</v>
      </c>
      <c r="AM83" s="5">
        <v>85410.7</v>
      </c>
      <c r="AN83" s="4" t="s">
        <v>124</v>
      </c>
      <c r="AO83" s="4">
        <v>99</v>
      </c>
      <c r="AP83" s="4">
        <v>80101507</v>
      </c>
      <c r="AQ83" s="4">
        <v>0</v>
      </c>
    </row>
    <row r="84" spans="1:43" s="4" customFormat="1" x14ac:dyDescent="0.25">
      <c r="A84" s="3">
        <v>4604949</v>
      </c>
      <c r="B84" s="3" t="s">
        <v>2423</v>
      </c>
      <c r="C84" s="3" t="s">
        <v>2415</v>
      </c>
      <c r="D84" s="3">
        <v>10004753</v>
      </c>
      <c r="E84" s="4">
        <v>4534300</v>
      </c>
      <c r="F84" s="3" t="s">
        <v>49</v>
      </c>
      <c r="G84" s="4" t="s">
        <v>453</v>
      </c>
      <c r="H84" s="4" t="s">
        <v>2424</v>
      </c>
      <c r="I84" s="5">
        <v>390000</v>
      </c>
      <c r="J84" s="3" t="s">
        <v>173</v>
      </c>
      <c r="K84" s="3" t="s">
        <v>77</v>
      </c>
      <c r="L84" s="3" t="s">
        <v>196</v>
      </c>
      <c r="M84" s="4" t="s">
        <v>2424</v>
      </c>
      <c r="N84" s="3" t="s">
        <v>25</v>
      </c>
      <c r="O84" s="3" t="s">
        <v>139</v>
      </c>
      <c r="P84" s="4" t="s">
        <v>140</v>
      </c>
      <c r="Q84" s="3"/>
      <c r="R84" s="3"/>
      <c r="Y84" s="4" t="s">
        <v>2425</v>
      </c>
      <c r="Z84" s="4" t="s">
        <v>2425</v>
      </c>
      <c r="AB84" s="3"/>
      <c r="AC84" s="3"/>
      <c r="AD84" s="3" t="s">
        <v>516</v>
      </c>
      <c r="AE84" s="3">
        <v>1000</v>
      </c>
      <c r="AI84" s="4" t="s">
        <v>2426</v>
      </c>
      <c r="AJ84" s="4" t="s">
        <v>2426</v>
      </c>
      <c r="AK84" s="3" t="s">
        <v>143</v>
      </c>
      <c r="AL84" s="4">
        <v>47630</v>
      </c>
      <c r="AM84" s="5">
        <v>390000</v>
      </c>
      <c r="AN84" s="4" t="s">
        <v>124</v>
      </c>
      <c r="AO84" s="4">
        <v>99</v>
      </c>
      <c r="AP84" s="4">
        <v>80100000</v>
      </c>
      <c r="AQ84" s="5">
        <v>379400</v>
      </c>
    </row>
    <row r="85" spans="1:43" s="4" customFormat="1" x14ac:dyDescent="0.25">
      <c r="A85" s="3">
        <v>4604953</v>
      </c>
      <c r="B85" s="3" t="s">
        <v>502</v>
      </c>
      <c r="C85" s="3" t="s">
        <v>392</v>
      </c>
      <c r="D85" s="3">
        <v>10004708</v>
      </c>
      <c r="E85" s="4">
        <v>4534304</v>
      </c>
      <c r="F85" s="3" t="s">
        <v>49</v>
      </c>
      <c r="G85" s="4" t="s">
        <v>525</v>
      </c>
      <c r="H85" s="4" t="s">
        <v>503</v>
      </c>
      <c r="I85" s="5">
        <v>135500</v>
      </c>
      <c r="J85" s="3" t="s">
        <v>502</v>
      </c>
      <c r="K85" s="3" t="s">
        <v>504</v>
      </c>
      <c r="L85" s="3" t="s">
        <v>119</v>
      </c>
      <c r="M85" s="4" t="s">
        <v>503</v>
      </c>
      <c r="N85" s="3" t="s">
        <v>25</v>
      </c>
      <c r="O85" s="3" t="s">
        <v>139</v>
      </c>
      <c r="P85" s="4" t="s">
        <v>282</v>
      </c>
      <c r="Q85" s="3"/>
      <c r="R85" s="3"/>
      <c r="Y85" s="4" t="s">
        <v>505</v>
      </c>
      <c r="Z85" s="4" t="s">
        <v>505</v>
      </c>
      <c r="AA85" s="4" t="s">
        <v>526</v>
      </c>
      <c r="AB85" s="3"/>
      <c r="AC85" s="3"/>
      <c r="AD85" s="3" t="s">
        <v>527</v>
      </c>
      <c r="AE85" s="3">
        <v>1000</v>
      </c>
      <c r="AI85" s="4" t="s">
        <v>507</v>
      </c>
      <c r="AJ85" s="4" t="s">
        <v>507</v>
      </c>
      <c r="AK85" s="3" t="s">
        <v>286</v>
      </c>
      <c r="AL85" s="4">
        <v>141897</v>
      </c>
      <c r="AM85" s="5">
        <v>135500</v>
      </c>
      <c r="AN85" s="4" t="s">
        <v>124</v>
      </c>
      <c r="AO85" s="4">
        <v>99</v>
      </c>
      <c r="AP85" s="4">
        <v>80101505</v>
      </c>
      <c r="AQ85" s="5">
        <v>135500</v>
      </c>
    </row>
    <row r="86" spans="1:43" s="4" customFormat="1" x14ac:dyDescent="0.25">
      <c r="A86" s="3">
        <v>4604987</v>
      </c>
      <c r="B86" s="3" t="s">
        <v>455</v>
      </c>
      <c r="C86" s="3" t="s">
        <v>2342</v>
      </c>
      <c r="D86" s="3">
        <v>10004751</v>
      </c>
      <c r="E86" s="4">
        <v>4534338</v>
      </c>
      <c r="F86" s="3" t="s">
        <v>49</v>
      </c>
      <c r="G86" s="4" t="s">
        <v>2408</v>
      </c>
      <c r="H86" s="4" t="s">
        <v>2301</v>
      </c>
      <c r="I86" s="5">
        <v>45000</v>
      </c>
      <c r="J86" s="3" t="s">
        <v>441</v>
      </c>
      <c r="K86" s="3" t="s">
        <v>77</v>
      </c>
      <c r="L86" s="3" t="s">
        <v>1046</v>
      </c>
      <c r="M86" s="4" t="s">
        <v>2409</v>
      </c>
      <c r="N86" s="3" t="s">
        <v>25</v>
      </c>
      <c r="O86" s="3" t="s">
        <v>139</v>
      </c>
      <c r="P86" s="4" t="s">
        <v>282</v>
      </c>
      <c r="Q86" s="3" t="s">
        <v>139</v>
      </c>
      <c r="R86" s="3" t="s">
        <v>427</v>
      </c>
      <c r="S86" s="4" t="s">
        <v>428</v>
      </c>
      <c r="U86" s="4" t="s">
        <v>139</v>
      </c>
      <c r="V86" s="4" t="s">
        <v>427</v>
      </c>
      <c r="W86" s="4" t="s">
        <v>428</v>
      </c>
      <c r="Y86" s="4" t="s">
        <v>2277</v>
      </c>
      <c r="Z86" s="4" t="s">
        <v>2386</v>
      </c>
      <c r="AB86" s="3"/>
      <c r="AC86" s="3"/>
      <c r="AD86" s="3" t="s">
        <v>377</v>
      </c>
      <c r="AE86" s="3">
        <v>1000</v>
      </c>
      <c r="AI86" s="4" t="s">
        <v>2281</v>
      </c>
      <c r="AJ86" s="4" t="s">
        <v>2387</v>
      </c>
      <c r="AK86" s="3" t="s">
        <v>286</v>
      </c>
      <c r="AL86" s="4">
        <v>141902</v>
      </c>
      <c r="AM86" s="5">
        <v>45000</v>
      </c>
      <c r="AN86" s="4" t="s">
        <v>2282</v>
      </c>
      <c r="AO86" s="4">
        <v>99</v>
      </c>
      <c r="AP86" s="4">
        <v>80120000</v>
      </c>
      <c r="AQ86" s="5">
        <v>26851.56</v>
      </c>
    </row>
    <row r="87" spans="1:43" s="4" customFormat="1" x14ac:dyDescent="0.25">
      <c r="A87" s="3">
        <v>4604998</v>
      </c>
      <c r="B87" s="3" t="s">
        <v>371</v>
      </c>
      <c r="C87" s="3" t="s">
        <v>288</v>
      </c>
      <c r="D87" s="3">
        <v>10004851</v>
      </c>
      <c r="E87" s="4">
        <v>4534349</v>
      </c>
      <c r="F87" s="3" t="s">
        <v>49</v>
      </c>
      <c r="G87" s="4" t="s">
        <v>372</v>
      </c>
      <c r="H87" s="4" t="s">
        <v>373</v>
      </c>
      <c r="I87" s="5">
        <v>64900</v>
      </c>
      <c r="J87" s="3" t="s">
        <v>371</v>
      </c>
      <c r="K87" s="3" t="s">
        <v>374</v>
      </c>
      <c r="L87" s="3" t="s">
        <v>119</v>
      </c>
      <c r="M87" s="4" t="s">
        <v>373</v>
      </c>
      <c r="N87" s="3" t="s">
        <v>56</v>
      </c>
      <c r="O87" s="3" t="s">
        <v>139</v>
      </c>
      <c r="P87" s="4" t="s">
        <v>140</v>
      </c>
      <c r="Q87" s="3"/>
      <c r="R87" s="3"/>
      <c r="Y87" s="4" t="s">
        <v>120</v>
      </c>
      <c r="Z87" s="4" t="s">
        <v>332</v>
      </c>
      <c r="AA87" s="4" t="s">
        <v>356</v>
      </c>
      <c r="AB87" s="3" t="s">
        <v>375</v>
      </c>
      <c r="AC87" s="3" t="s">
        <v>358</v>
      </c>
      <c r="AD87" s="3" t="s">
        <v>376</v>
      </c>
      <c r="AE87" s="3">
        <v>1000</v>
      </c>
      <c r="AI87" s="4" t="s">
        <v>123</v>
      </c>
      <c r="AJ87" s="4" t="s">
        <v>334</v>
      </c>
      <c r="AK87" s="3" t="s">
        <v>143</v>
      </c>
      <c r="AL87" s="4">
        <v>43825</v>
      </c>
      <c r="AM87" s="5">
        <v>64900</v>
      </c>
      <c r="AN87" s="4" t="s">
        <v>124</v>
      </c>
      <c r="AO87" s="4">
        <v>99</v>
      </c>
      <c r="AP87" s="4">
        <v>80100000</v>
      </c>
      <c r="AQ87" s="4">
        <v>0</v>
      </c>
    </row>
    <row r="88" spans="1:43" s="4" customFormat="1" x14ac:dyDescent="0.25">
      <c r="A88" s="3">
        <v>4605010</v>
      </c>
      <c r="B88" s="3" t="s">
        <v>382</v>
      </c>
      <c r="C88" s="3" t="s">
        <v>288</v>
      </c>
      <c r="D88" s="3">
        <v>10004859</v>
      </c>
      <c r="E88" s="4">
        <v>4534361</v>
      </c>
      <c r="F88" s="3" t="s">
        <v>49</v>
      </c>
      <c r="G88" s="4" t="s">
        <v>383</v>
      </c>
      <c r="H88" s="4" t="s">
        <v>384</v>
      </c>
      <c r="I88" s="5">
        <v>33000</v>
      </c>
      <c r="J88" s="3" t="s">
        <v>385</v>
      </c>
      <c r="K88" s="3" t="s">
        <v>386</v>
      </c>
      <c r="L88" s="3" t="s">
        <v>196</v>
      </c>
      <c r="M88" s="4" t="s">
        <v>384</v>
      </c>
      <c r="N88" s="3" t="s">
        <v>25</v>
      </c>
      <c r="O88" s="3" t="s">
        <v>139</v>
      </c>
      <c r="P88" s="4" t="s">
        <v>282</v>
      </c>
      <c r="Q88" s="3"/>
      <c r="R88" s="3"/>
      <c r="Y88" s="4" t="s">
        <v>379</v>
      </c>
      <c r="Z88" s="4" t="s">
        <v>379</v>
      </c>
      <c r="AA88" s="4" t="s">
        <v>387</v>
      </c>
      <c r="AB88" s="3"/>
      <c r="AC88" s="3"/>
      <c r="AD88" s="3" t="s">
        <v>380</v>
      </c>
      <c r="AE88" s="3">
        <v>1000</v>
      </c>
      <c r="AI88" s="4" t="s">
        <v>381</v>
      </c>
      <c r="AJ88" s="4" t="s">
        <v>381</v>
      </c>
      <c r="AK88" s="3" t="s">
        <v>286</v>
      </c>
      <c r="AL88" s="4">
        <v>141621</v>
      </c>
      <c r="AM88" s="5">
        <v>33000</v>
      </c>
      <c r="AN88" s="4" t="s">
        <v>124</v>
      </c>
      <c r="AO88" s="4">
        <v>99</v>
      </c>
      <c r="AP88" s="4">
        <v>80110000</v>
      </c>
      <c r="AQ88" s="4">
        <v>0</v>
      </c>
    </row>
    <row r="89" spans="1:43" s="4" customFormat="1" x14ac:dyDescent="0.25">
      <c r="A89" s="3">
        <v>4605011</v>
      </c>
      <c r="B89" s="3" t="s">
        <v>1713</v>
      </c>
      <c r="C89" s="3" t="s">
        <v>2342</v>
      </c>
      <c r="D89" s="3">
        <v>10004860</v>
      </c>
      <c r="E89" s="4">
        <v>4534362</v>
      </c>
      <c r="F89" s="3" t="s">
        <v>49</v>
      </c>
      <c r="G89" s="4" t="s">
        <v>2300</v>
      </c>
      <c r="I89" s="5">
        <v>4000</v>
      </c>
      <c r="J89" s="3" t="s">
        <v>377</v>
      </c>
      <c r="K89" s="3" t="s">
        <v>1862</v>
      </c>
      <c r="L89" s="3" t="s">
        <v>1046</v>
      </c>
      <c r="M89" s="4" t="s">
        <v>2410</v>
      </c>
      <c r="N89" s="3" t="s">
        <v>25</v>
      </c>
      <c r="O89" s="3" t="s">
        <v>139</v>
      </c>
      <c r="P89" s="4" t="s">
        <v>282</v>
      </c>
      <c r="Q89" s="3"/>
      <c r="R89" s="3"/>
      <c r="Y89" s="4" t="s">
        <v>2277</v>
      </c>
      <c r="Z89" s="4" t="s">
        <v>2386</v>
      </c>
      <c r="AB89" s="3"/>
      <c r="AC89" s="3"/>
      <c r="AD89" s="3" t="s">
        <v>376</v>
      </c>
      <c r="AE89" s="3">
        <v>1000</v>
      </c>
      <c r="AI89" s="4" t="s">
        <v>2281</v>
      </c>
      <c r="AJ89" s="4" t="s">
        <v>2387</v>
      </c>
      <c r="AK89" s="3" t="s">
        <v>286</v>
      </c>
      <c r="AL89" s="4">
        <v>30080</v>
      </c>
      <c r="AM89" s="5">
        <v>4000</v>
      </c>
      <c r="AN89" s="4" t="s">
        <v>2282</v>
      </c>
      <c r="AQ89" s="4">
        <v>0</v>
      </c>
    </row>
    <row r="90" spans="1:43" s="4" customFormat="1" x14ac:dyDescent="0.25">
      <c r="A90" s="3">
        <v>4605017</v>
      </c>
      <c r="B90" s="3" t="s">
        <v>485</v>
      </c>
      <c r="C90" s="3" t="s">
        <v>2158</v>
      </c>
      <c r="D90" s="3">
        <v>10004834</v>
      </c>
      <c r="E90" s="4">
        <v>4534368</v>
      </c>
      <c r="F90" s="3" t="s">
        <v>49</v>
      </c>
      <c r="G90" s="4" t="s">
        <v>2268</v>
      </c>
      <c r="H90" s="4" t="s">
        <v>2269</v>
      </c>
      <c r="I90" s="5">
        <v>52800</v>
      </c>
      <c r="J90" s="3" t="s">
        <v>377</v>
      </c>
      <c r="K90" s="3" t="s">
        <v>77</v>
      </c>
      <c r="L90" s="3" t="s">
        <v>196</v>
      </c>
      <c r="M90" s="4" t="s">
        <v>2270</v>
      </c>
      <c r="N90" s="3" t="s">
        <v>25</v>
      </c>
      <c r="O90" s="3" t="s">
        <v>139</v>
      </c>
      <c r="P90" s="4" t="s">
        <v>282</v>
      </c>
      <c r="Q90" s="3"/>
      <c r="R90" s="3"/>
      <c r="Y90" s="4" t="s">
        <v>767</v>
      </c>
      <c r="Z90" s="4" t="s">
        <v>767</v>
      </c>
      <c r="AB90" s="3"/>
      <c r="AC90" s="3"/>
      <c r="AD90" s="3" t="s">
        <v>380</v>
      </c>
      <c r="AE90" s="3">
        <v>1000</v>
      </c>
      <c r="AI90" s="4" t="s">
        <v>769</v>
      </c>
      <c r="AJ90" s="4" t="s">
        <v>769</v>
      </c>
      <c r="AK90" s="3" t="s">
        <v>286</v>
      </c>
      <c r="AL90" s="4">
        <v>140501</v>
      </c>
      <c r="AM90" s="5">
        <v>52800</v>
      </c>
      <c r="AN90" s="4" t="s">
        <v>124</v>
      </c>
      <c r="AO90" s="4">
        <v>99</v>
      </c>
      <c r="AP90" s="4">
        <v>80101507</v>
      </c>
      <c r="AQ90" s="4">
        <v>0</v>
      </c>
    </row>
    <row r="91" spans="1:43" s="4" customFormat="1" x14ac:dyDescent="0.25">
      <c r="A91" s="3">
        <v>4605018</v>
      </c>
      <c r="B91" s="3" t="s">
        <v>485</v>
      </c>
      <c r="C91" s="3" t="s">
        <v>2158</v>
      </c>
      <c r="D91" s="3">
        <v>10004834</v>
      </c>
      <c r="E91" s="4">
        <v>4534369</v>
      </c>
      <c r="F91" s="3" t="s">
        <v>49</v>
      </c>
      <c r="G91" s="4" t="s">
        <v>2268</v>
      </c>
      <c r="H91" s="4" t="s">
        <v>2271</v>
      </c>
      <c r="I91" s="5">
        <v>44000</v>
      </c>
      <c r="J91" s="3" t="s">
        <v>377</v>
      </c>
      <c r="K91" s="3" t="s">
        <v>77</v>
      </c>
      <c r="L91" s="3" t="s">
        <v>196</v>
      </c>
      <c r="M91" s="4" t="s">
        <v>2270</v>
      </c>
      <c r="N91" s="3" t="s">
        <v>25</v>
      </c>
      <c r="O91" s="3" t="s">
        <v>139</v>
      </c>
      <c r="P91" s="4" t="s">
        <v>282</v>
      </c>
      <c r="Q91" s="3"/>
      <c r="R91" s="3"/>
      <c r="Y91" s="4" t="s">
        <v>767</v>
      </c>
      <c r="Z91" s="4" t="s">
        <v>767</v>
      </c>
      <c r="AB91" s="3"/>
      <c r="AC91" s="3"/>
      <c r="AD91" s="3" t="s">
        <v>407</v>
      </c>
      <c r="AE91" s="3">
        <v>1000</v>
      </c>
      <c r="AI91" s="4" t="s">
        <v>769</v>
      </c>
      <c r="AJ91" s="4" t="s">
        <v>769</v>
      </c>
      <c r="AK91" s="3" t="s">
        <v>286</v>
      </c>
      <c r="AL91" s="4">
        <v>140501</v>
      </c>
      <c r="AM91" s="5">
        <v>44000</v>
      </c>
      <c r="AN91" s="4" t="s">
        <v>124</v>
      </c>
      <c r="AO91" s="4">
        <v>99</v>
      </c>
      <c r="AP91" s="4">
        <v>80101507</v>
      </c>
      <c r="AQ91" s="4">
        <v>0</v>
      </c>
    </row>
    <row r="92" spans="1:43" s="4" customFormat="1" x14ac:dyDescent="0.25">
      <c r="A92" s="3">
        <v>4605047</v>
      </c>
      <c r="B92" s="3" t="s">
        <v>377</v>
      </c>
      <c r="C92" s="3" t="s">
        <v>2342</v>
      </c>
      <c r="D92" s="3">
        <v>10004898</v>
      </c>
      <c r="E92" s="4">
        <v>4534398</v>
      </c>
      <c r="F92" s="3" t="s">
        <v>49</v>
      </c>
      <c r="G92" s="4" t="s">
        <v>2300</v>
      </c>
      <c r="I92" s="5">
        <v>5000</v>
      </c>
      <c r="J92" s="3" t="s">
        <v>377</v>
      </c>
      <c r="K92" s="3" t="s">
        <v>77</v>
      </c>
      <c r="L92" s="3" t="s">
        <v>1046</v>
      </c>
      <c r="M92" s="4" t="s">
        <v>2413</v>
      </c>
      <c r="N92" s="3" t="s">
        <v>25</v>
      </c>
      <c r="O92" s="3" t="s">
        <v>139</v>
      </c>
      <c r="P92" s="4" t="s">
        <v>282</v>
      </c>
      <c r="Q92" s="3"/>
      <c r="R92" s="3"/>
      <c r="Y92" s="4" t="s">
        <v>2277</v>
      </c>
      <c r="Z92" s="4" t="s">
        <v>2386</v>
      </c>
      <c r="AB92" s="3"/>
      <c r="AC92" s="3"/>
      <c r="AD92" s="3" t="s">
        <v>77</v>
      </c>
      <c r="AE92" s="3">
        <v>1000</v>
      </c>
      <c r="AI92" s="4" t="s">
        <v>2281</v>
      </c>
      <c r="AJ92" s="4" t="s">
        <v>2387</v>
      </c>
      <c r="AK92" s="3" t="s">
        <v>286</v>
      </c>
      <c r="AL92" s="4">
        <v>30080</v>
      </c>
      <c r="AM92" s="5">
        <v>5000</v>
      </c>
      <c r="AN92" s="4" t="s">
        <v>2282</v>
      </c>
      <c r="AQ92" s="4">
        <v>0</v>
      </c>
    </row>
    <row r="93" spans="1:43" s="4" customFormat="1" x14ac:dyDescent="0.25">
      <c r="A93" s="3">
        <v>4605054</v>
      </c>
      <c r="B93" s="3" t="s">
        <v>287</v>
      </c>
      <c r="C93" s="3" t="s">
        <v>392</v>
      </c>
      <c r="D93" s="3">
        <v>10004824</v>
      </c>
      <c r="E93" s="4">
        <v>4534405</v>
      </c>
      <c r="F93" s="3" t="s">
        <v>49</v>
      </c>
      <c r="G93" s="4" t="s">
        <v>553</v>
      </c>
      <c r="H93" s="4" t="s">
        <v>554</v>
      </c>
      <c r="I93" s="5">
        <v>77000</v>
      </c>
      <c r="J93" s="3" t="s">
        <v>535</v>
      </c>
      <c r="K93" s="3" t="s">
        <v>555</v>
      </c>
      <c r="L93" s="3" t="s">
        <v>119</v>
      </c>
      <c r="M93" s="4" t="s">
        <v>554</v>
      </c>
      <c r="N93" s="3" t="s">
        <v>56</v>
      </c>
      <c r="O93" s="3" t="s">
        <v>139</v>
      </c>
      <c r="P93" s="4" t="s">
        <v>140</v>
      </c>
      <c r="Q93" s="3"/>
      <c r="R93" s="3"/>
      <c r="Y93" s="4" t="s">
        <v>556</v>
      </c>
      <c r="Z93" s="4" t="s">
        <v>556</v>
      </c>
      <c r="AA93" s="4" t="s">
        <v>356</v>
      </c>
      <c r="AB93" s="3" t="s">
        <v>557</v>
      </c>
      <c r="AC93" s="3" t="s">
        <v>358</v>
      </c>
      <c r="AD93" s="3" t="s">
        <v>287</v>
      </c>
      <c r="AE93" s="3">
        <v>1000</v>
      </c>
      <c r="AI93" s="4" t="s">
        <v>558</v>
      </c>
      <c r="AJ93" s="4" t="s">
        <v>558</v>
      </c>
      <c r="AK93" s="3" t="s">
        <v>143</v>
      </c>
      <c r="AL93" s="4">
        <v>42555</v>
      </c>
      <c r="AM93" s="5">
        <v>77000</v>
      </c>
      <c r="AN93" s="4" t="s">
        <v>124</v>
      </c>
      <c r="AO93" s="4">
        <v>99</v>
      </c>
      <c r="AP93" s="4">
        <v>80101603</v>
      </c>
      <c r="AQ93" s="5">
        <v>27500</v>
      </c>
    </row>
    <row r="94" spans="1:43" s="4" customFormat="1" x14ac:dyDescent="0.25">
      <c r="A94" s="3">
        <v>4605075</v>
      </c>
      <c r="B94" s="3" t="s">
        <v>317</v>
      </c>
      <c r="C94" s="3" t="s">
        <v>2342</v>
      </c>
      <c r="D94" s="3">
        <v>10004935</v>
      </c>
      <c r="E94" s="4">
        <v>4534426</v>
      </c>
      <c r="F94" s="3" t="s">
        <v>49</v>
      </c>
      <c r="G94" s="4" t="s">
        <v>2300</v>
      </c>
      <c r="I94" s="5">
        <v>5000</v>
      </c>
      <c r="J94" s="3" t="s">
        <v>317</v>
      </c>
      <c r="K94" s="3" t="s">
        <v>1713</v>
      </c>
      <c r="L94" s="3" t="s">
        <v>1046</v>
      </c>
      <c r="M94" s="4" t="s">
        <v>2414</v>
      </c>
      <c r="N94" s="3" t="s">
        <v>25</v>
      </c>
      <c r="O94" s="3" t="s">
        <v>139</v>
      </c>
      <c r="P94" s="4" t="s">
        <v>282</v>
      </c>
      <c r="Q94" s="3"/>
      <c r="R94" s="3"/>
      <c r="Y94" s="4" t="s">
        <v>2277</v>
      </c>
      <c r="Z94" s="4" t="s">
        <v>2386</v>
      </c>
      <c r="AB94" s="3"/>
      <c r="AC94" s="3"/>
      <c r="AD94" s="3" t="s">
        <v>1481</v>
      </c>
      <c r="AE94" s="3">
        <v>1000</v>
      </c>
      <c r="AI94" s="4" t="s">
        <v>2281</v>
      </c>
      <c r="AJ94" s="4" t="s">
        <v>2387</v>
      </c>
      <c r="AK94" s="3" t="s">
        <v>286</v>
      </c>
      <c r="AL94" s="4">
        <v>30080</v>
      </c>
      <c r="AM94" s="5">
        <v>5000</v>
      </c>
      <c r="AN94" s="4" t="s">
        <v>2282</v>
      </c>
      <c r="AQ94" s="4">
        <v>0</v>
      </c>
    </row>
    <row r="95" spans="1:43" ht="15.75" x14ac:dyDescent="0.25">
      <c r="I95" s="15">
        <f>SUM(I3:I94)</f>
        <v>18099369.27</v>
      </c>
      <c r="AM95" s="27">
        <f t="shared" ref="AM95" si="0">SUM(AM3:AM94)</f>
        <v>18099369.27</v>
      </c>
      <c r="AQ95" s="27">
        <f t="shared" ref="AQ95" si="1">SUM(AQ3:AQ94)</f>
        <v>7853898.7099999981</v>
      </c>
    </row>
  </sheetData>
  <sortState ref="A3:AP94">
    <sortCondition ref="E3:E94"/>
  </sortState>
  <mergeCells count="1">
    <mergeCell ref="A1:AQ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0"/>
  <sheetViews>
    <sheetView tabSelected="1" topLeftCell="A91" workbookViewId="0">
      <selection activeCell="A114" sqref="A114"/>
    </sheetView>
  </sheetViews>
  <sheetFormatPr defaultRowHeight="15" x14ac:dyDescent="0.25"/>
  <cols>
    <col min="1" max="2" width="10.7109375" customWidth="1"/>
    <col min="3" max="3" width="20.140625" bestFit="1" customWidth="1"/>
    <col min="4" max="5" width="10.85546875" bestFit="1" customWidth="1"/>
    <col min="6" max="6" width="12.5703125" bestFit="1" customWidth="1"/>
    <col min="7" max="7" width="41.140625" bestFit="1" customWidth="1"/>
    <col min="8" max="8" width="94.7109375" bestFit="1" customWidth="1"/>
    <col min="9" max="9" width="15.7109375" customWidth="1"/>
    <col min="10" max="12" width="10.7109375" customWidth="1"/>
    <col min="13" max="13" width="42.7109375" customWidth="1"/>
    <col min="14" max="14" width="20.7109375" customWidth="1"/>
    <col min="15" max="15" width="11.7109375" customWidth="1"/>
    <col min="16" max="16" width="43" bestFit="1" customWidth="1"/>
    <col min="17" max="18" width="14.7109375" customWidth="1"/>
    <col min="19" max="19" width="32.5703125" bestFit="1" customWidth="1"/>
    <col min="21" max="22" width="8.42578125" bestFit="1" customWidth="1"/>
    <col min="23" max="23" width="19.5703125" bestFit="1" customWidth="1"/>
    <col min="24" max="24" width="69.5703125" bestFit="1" customWidth="1"/>
    <col min="25" max="26" width="24" bestFit="1" customWidth="1"/>
    <col min="27" max="27" width="40.28515625" bestFit="1" customWidth="1"/>
    <col min="28" max="28" width="19.42578125" bestFit="1" customWidth="1"/>
    <col min="29" max="29" width="11.85546875" bestFit="1" customWidth="1"/>
    <col min="30" max="30" width="10.7109375" style="33" customWidth="1"/>
    <col min="35" max="36" width="15.7109375" bestFit="1" customWidth="1"/>
    <col min="37" max="37" width="11.7109375" customWidth="1"/>
    <col min="38" max="38" width="12" bestFit="1" customWidth="1"/>
    <col min="39" max="39" width="15.7109375" customWidth="1"/>
    <col min="40" max="40" width="12.7109375" bestFit="1" customWidth="1"/>
    <col min="41" max="41" width="11.7109375" customWidth="1"/>
    <col min="43" max="43" width="15.7109375" customWidth="1"/>
  </cols>
  <sheetData>
    <row r="1" spans="1:43" ht="18.75" x14ac:dyDescent="0.25">
      <c r="A1" s="48" t="s">
        <v>2465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</row>
    <row r="2" spans="1:43" s="1" customFormat="1" ht="60" x14ac:dyDescent="0.25">
      <c r="A2" s="2" t="s">
        <v>2427</v>
      </c>
      <c r="B2" s="2" t="s">
        <v>2428</v>
      </c>
      <c r="C2" s="2" t="s">
        <v>2429</v>
      </c>
      <c r="D2" s="2" t="s">
        <v>2430</v>
      </c>
      <c r="E2" s="2" t="s">
        <v>2431</v>
      </c>
      <c r="F2" s="2" t="s">
        <v>2432</v>
      </c>
      <c r="G2" s="2" t="s">
        <v>0</v>
      </c>
      <c r="H2" s="2" t="s">
        <v>1</v>
      </c>
      <c r="I2" s="2" t="s">
        <v>2433</v>
      </c>
      <c r="J2" s="2" t="s">
        <v>2434</v>
      </c>
      <c r="K2" s="2" t="s">
        <v>2435</v>
      </c>
      <c r="L2" s="2" t="s">
        <v>2436</v>
      </c>
      <c r="M2" s="2" t="s">
        <v>2</v>
      </c>
      <c r="N2" s="2" t="s">
        <v>3</v>
      </c>
      <c r="O2" s="2" t="s">
        <v>2437</v>
      </c>
      <c r="P2" s="2" t="s">
        <v>4</v>
      </c>
      <c r="Q2" s="2" t="s">
        <v>2438</v>
      </c>
      <c r="R2" s="2" t="s">
        <v>2439</v>
      </c>
      <c r="S2" s="2" t="s">
        <v>2440</v>
      </c>
      <c r="T2" s="2" t="s">
        <v>6</v>
      </c>
      <c r="U2" s="2" t="s">
        <v>6</v>
      </c>
      <c r="V2" s="2" t="s">
        <v>5</v>
      </c>
      <c r="W2" s="2" t="s">
        <v>5</v>
      </c>
      <c r="X2" s="2" t="s">
        <v>7</v>
      </c>
      <c r="Y2" s="2" t="s">
        <v>8</v>
      </c>
      <c r="Z2" s="2" t="s">
        <v>9</v>
      </c>
      <c r="AA2" s="2" t="s">
        <v>2447</v>
      </c>
      <c r="AB2" s="2" t="s">
        <v>2446</v>
      </c>
      <c r="AC2" s="2" t="s">
        <v>2445</v>
      </c>
      <c r="AD2" s="32" t="s">
        <v>10</v>
      </c>
      <c r="AE2" s="2" t="s">
        <v>2441</v>
      </c>
      <c r="AF2" s="2" t="s">
        <v>11</v>
      </c>
      <c r="AG2" s="2" t="s">
        <v>11</v>
      </c>
      <c r="AH2" s="2" t="s">
        <v>12</v>
      </c>
      <c r="AI2" s="2" t="s">
        <v>8</v>
      </c>
      <c r="AJ2" s="2" t="s">
        <v>13</v>
      </c>
      <c r="AK2" s="2" t="s">
        <v>2444</v>
      </c>
      <c r="AL2" s="2" t="s">
        <v>14</v>
      </c>
      <c r="AM2" s="2" t="s">
        <v>15</v>
      </c>
      <c r="AN2" s="2" t="s">
        <v>16</v>
      </c>
      <c r="AO2" s="2" t="s">
        <v>2443</v>
      </c>
      <c r="AP2" s="2" t="s">
        <v>2442</v>
      </c>
      <c r="AQ2" s="2" t="s">
        <v>2464</v>
      </c>
    </row>
    <row r="3" spans="1:43" s="1" customFormat="1" ht="30" customHeight="1" x14ac:dyDescent="0.3">
      <c r="A3" s="49" t="s">
        <v>2466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</row>
    <row r="4" spans="1:43" s="4" customFormat="1" x14ac:dyDescent="0.25">
      <c r="A4" s="3">
        <v>4600099</v>
      </c>
      <c r="B4" s="30">
        <v>39759</v>
      </c>
      <c r="C4" s="3" t="s">
        <v>2273</v>
      </c>
      <c r="D4" s="3">
        <v>10000115</v>
      </c>
      <c r="E4" s="4">
        <v>4529449</v>
      </c>
      <c r="F4" s="3" t="s">
        <v>49</v>
      </c>
      <c r="G4" s="4" t="s">
        <v>2274</v>
      </c>
      <c r="H4" s="4" t="s">
        <v>2275</v>
      </c>
      <c r="I4" s="5">
        <v>1254250</v>
      </c>
      <c r="J4" s="30">
        <v>39759</v>
      </c>
      <c r="K4" s="30">
        <v>42185</v>
      </c>
      <c r="L4" s="3" t="s">
        <v>119</v>
      </c>
      <c r="M4" s="4" t="s">
        <v>2276</v>
      </c>
      <c r="N4" s="3" t="s">
        <v>56</v>
      </c>
      <c r="O4" s="3" t="s">
        <v>139</v>
      </c>
      <c r="P4" s="4" t="s">
        <v>282</v>
      </c>
      <c r="Q4" s="3"/>
      <c r="R4" s="3"/>
      <c r="Y4" s="4" t="s">
        <v>2277</v>
      </c>
      <c r="Z4" s="4" t="s">
        <v>1048</v>
      </c>
      <c r="AA4" s="4" t="s">
        <v>2278</v>
      </c>
      <c r="AB4" s="3" t="s">
        <v>2279</v>
      </c>
      <c r="AC4" s="3" t="s">
        <v>2280</v>
      </c>
      <c r="AD4" s="28">
        <v>42109</v>
      </c>
      <c r="AE4" s="3">
        <v>1000</v>
      </c>
      <c r="AF4" s="4">
        <v>14642</v>
      </c>
      <c r="AG4" s="4">
        <v>35358</v>
      </c>
      <c r="AH4" s="4">
        <v>4527640</v>
      </c>
      <c r="AI4" s="4" t="s">
        <v>2281</v>
      </c>
      <c r="AJ4" s="4" t="s">
        <v>1051</v>
      </c>
      <c r="AK4" s="3" t="s">
        <v>286</v>
      </c>
      <c r="AL4" s="4">
        <v>48301</v>
      </c>
      <c r="AM4" s="5">
        <v>1254250</v>
      </c>
      <c r="AN4" s="4" t="s">
        <v>2282</v>
      </c>
      <c r="AO4" s="4">
        <v>88</v>
      </c>
      <c r="AP4" s="4">
        <v>80120000</v>
      </c>
      <c r="AQ4" s="5">
        <v>328584.03999999998</v>
      </c>
    </row>
    <row r="5" spans="1:43" s="4" customFormat="1" x14ac:dyDescent="0.25">
      <c r="A5" s="3">
        <v>4600103</v>
      </c>
      <c r="B5" s="30">
        <v>39918</v>
      </c>
      <c r="C5" s="3" t="s">
        <v>2273</v>
      </c>
      <c r="D5" s="3">
        <v>10000121</v>
      </c>
      <c r="E5" s="4">
        <v>4529453</v>
      </c>
      <c r="F5" s="3" t="s">
        <v>49</v>
      </c>
      <c r="G5" s="4" t="s">
        <v>2284</v>
      </c>
      <c r="H5" s="4" t="s">
        <v>2285</v>
      </c>
      <c r="I5" s="5">
        <v>788000</v>
      </c>
      <c r="J5" s="30">
        <v>39918</v>
      </c>
      <c r="K5" s="30">
        <v>42185</v>
      </c>
      <c r="L5" s="3" t="s">
        <v>119</v>
      </c>
      <c r="M5" s="4" t="s">
        <v>2285</v>
      </c>
      <c r="N5" s="3" t="s">
        <v>56</v>
      </c>
      <c r="O5" s="3" t="s">
        <v>139</v>
      </c>
      <c r="P5" s="4" t="s">
        <v>282</v>
      </c>
      <c r="Q5" s="3" t="s">
        <v>139</v>
      </c>
      <c r="R5" s="3" t="s">
        <v>215</v>
      </c>
      <c r="S5" s="4" t="s">
        <v>216</v>
      </c>
      <c r="Y5" s="4" t="s">
        <v>2286</v>
      </c>
      <c r="Z5" s="4" t="s">
        <v>1048</v>
      </c>
      <c r="AA5" s="4" t="s">
        <v>2278</v>
      </c>
      <c r="AB5" s="3" t="s">
        <v>2287</v>
      </c>
      <c r="AC5" s="3" t="s">
        <v>2280</v>
      </c>
      <c r="AD5" s="28">
        <v>41857</v>
      </c>
      <c r="AE5" s="3">
        <v>1000</v>
      </c>
      <c r="AF5" s="4">
        <v>696052.38</v>
      </c>
      <c r="AG5" s="4">
        <v>3947.63</v>
      </c>
      <c r="AH5" s="4">
        <v>4528065</v>
      </c>
      <c r="AI5" s="4" t="s">
        <v>2288</v>
      </c>
      <c r="AJ5" s="4" t="s">
        <v>1051</v>
      </c>
      <c r="AK5" s="3" t="s">
        <v>286</v>
      </c>
      <c r="AL5" s="4">
        <v>47229</v>
      </c>
      <c r="AM5" s="5">
        <v>788000</v>
      </c>
      <c r="AN5" s="4" t="s">
        <v>2282</v>
      </c>
      <c r="AO5" s="4">
        <v>97</v>
      </c>
      <c r="AP5" s="4">
        <v>80120000</v>
      </c>
      <c r="AQ5" s="5">
        <v>1446.39</v>
      </c>
    </row>
    <row r="6" spans="1:43" s="4" customFormat="1" x14ac:dyDescent="0.25">
      <c r="A6" s="3">
        <v>4603546</v>
      </c>
      <c r="B6" s="30">
        <v>40109</v>
      </c>
      <c r="C6" s="3" t="s">
        <v>107</v>
      </c>
      <c r="D6" s="3">
        <v>10003386</v>
      </c>
      <c r="E6" s="4">
        <v>4532897</v>
      </c>
      <c r="F6" s="3" t="s">
        <v>49</v>
      </c>
      <c r="G6" s="4" t="s">
        <v>134</v>
      </c>
      <c r="H6" s="4" t="s">
        <v>135</v>
      </c>
      <c r="I6" s="5">
        <v>707534.99</v>
      </c>
      <c r="J6" s="30">
        <v>41358</v>
      </c>
      <c r="K6" s="30">
        <v>42035</v>
      </c>
      <c r="L6" s="3" t="s">
        <v>119</v>
      </c>
      <c r="M6" s="4" t="s">
        <v>138</v>
      </c>
      <c r="N6" s="3" t="s">
        <v>56</v>
      </c>
      <c r="O6" s="3" t="s">
        <v>139</v>
      </c>
      <c r="P6" s="4" t="s">
        <v>140</v>
      </c>
      <c r="Q6" s="3"/>
      <c r="R6" s="3"/>
      <c r="Y6" s="4" t="s">
        <v>120</v>
      </c>
      <c r="Z6" s="4" t="s">
        <v>141</v>
      </c>
      <c r="AB6" s="3"/>
      <c r="AC6" s="3"/>
      <c r="AD6" s="28">
        <v>42033</v>
      </c>
      <c r="AE6" s="3">
        <v>1000</v>
      </c>
      <c r="AI6" s="4" t="s">
        <v>123</v>
      </c>
      <c r="AJ6" s="4" t="s">
        <v>142</v>
      </c>
      <c r="AK6" s="3" t="s">
        <v>143</v>
      </c>
      <c r="AL6" s="4">
        <v>41275</v>
      </c>
      <c r="AM6" s="5">
        <v>707534.99</v>
      </c>
      <c r="AN6" s="4" t="s">
        <v>124</v>
      </c>
      <c r="AO6" s="4">
        <v>99</v>
      </c>
      <c r="AQ6" s="5">
        <v>102425</v>
      </c>
    </row>
    <row r="7" spans="1:43" s="4" customFormat="1" x14ac:dyDescent="0.25">
      <c r="A7" s="3">
        <v>4601104</v>
      </c>
      <c r="B7" s="30">
        <v>40665</v>
      </c>
      <c r="C7" s="3" t="s">
        <v>2273</v>
      </c>
      <c r="D7" s="3">
        <v>10001176</v>
      </c>
      <c r="E7" s="4">
        <v>4530454</v>
      </c>
      <c r="F7" s="3" t="s">
        <v>49</v>
      </c>
      <c r="G7" s="4" t="s">
        <v>2290</v>
      </c>
      <c r="H7" s="4" t="s">
        <v>2291</v>
      </c>
      <c r="I7" s="5">
        <v>150000</v>
      </c>
      <c r="J7" s="30">
        <v>40665</v>
      </c>
      <c r="K7" s="30">
        <v>41912</v>
      </c>
      <c r="L7" s="3" t="s">
        <v>54</v>
      </c>
      <c r="M7" s="4" t="s">
        <v>2291</v>
      </c>
      <c r="N7" s="3" t="s">
        <v>56</v>
      </c>
      <c r="O7" s="3" t="s">
        <v>139</v>
      </c>
      <c r="P7" s="4" t="s">
        <v>140</v>
      </c>
      <c r="Q7" s="3" t="s">
        <v>139</v>
      </c>
      <c r="R7" s="3" t="s">
        <v>215</v>
      </c>
      <c r="S7" s="4" t="s">
        <v>216</v>
      </c>
      <c r="Y7" s="4" t="s">
        <v>2292</v>
      </c>
      <c r="Z7" s="4" t="s">
        <v>2293</v>
      </c>
      <c r="AA7" s="4" t="s">
        <v>2294</v>
      </c>
      <c r="AB7" s="3" t="s">
        <v>2295</v>
      </c>
      <c r="AC7" s="3" t="s">
        <v>2296</v>
      </c>
      <c r="AD7" s="28">
        <v>41956</v>
      </c>
      <c r="AE7" s="3">
        <v>1000</v>
      </c>
      <c r="AI7" s="4" t="s">
        <v>2297</v>
      </c>
      <c r="AJ7" s="4" t="s">
        <v>2298</v>
      </c>
      <c r="AK7" s="3" t="s">
        <v>143</v>
      </c>
      <c r="AL7" s="4">
        <v>140444</v>
      </c>
      <c r="AM7" s="5">
        <v>150000</v>
      </c>
      <c r="AN7" s="4" t="s">
        <v>124</v>
      </c>
      <c r="AO7" s="4">
        <v>99</v>
      </c>
      <c r="AP7" s="4">
        <v>80120000</v>
      </c>
      <c r="AQ7" s="4">
        <v>0</v>
      </c>
    </row>
    <row r="8" spans="1:43" s="4" customFormat="1" x14ac:dyDescent="0.25">
      <c r="A8" s="3">
        <v>4602575</v>
      </c>
      <c r="B8" s="30">
        <v>41052</v>
      </c>
      <c r="C8" s="3" t="s">
        <v>2273</v>
      </c>
      <c r="D8" s="3">
        <v>10002521</v>
      </c>
      <c r="E8" s="4">
        <v>4531926</v>
      </c>
      <c r="F8" s="3" t="s">
        <v>49</v>
      </c>
      <c r="G8" s="4" t="s">
        <v>2300</v>
      </c>
      <c r="H8" s="4" t="s">
        <v>2301</v>
      </c>
      <c r="I8" s="5">
        <v>21890</v>
      </c>
      <c r="J8" s="30">
        <v>41052</v>
      </c>
      <c r="K8" s="30">
        <v>42185</v>
      </c>
      <c r="L8" s="3" t="s">
        <v>119</v>
      </c>
      <c r="M8" s="4" t="s">
        <v>2302</v>
      </c>
      <c r="N8" s="3" t="s">
        <v>56</v>
      </c>
      <c r="O8" s="3" t="s">
        <v>139</v>
      </c>
      <c r="P8" s="4" t="s">
        <v>282</v>
      </c>
      <c r="Q8" s="3"/>
      <c r="R8" s="3"/>
      <c r="Y8" s="4" t="s">
        <v>2277</v>
      </c>
      <c r="Z8" s="4" t="s">
        <v>2293</v>
      </c>
      <c r="AA8" s="4" t="s">
        <v>2294</v>
      </c>
      <c r="AB8" s="3" t="s">
        <v>2303</v>
      </c>
      <c r="AC8" s="3" t="s">
        <v>2296</v>
      </c>
      <c r="AD8" s="28">
        <v>42125</v>
      </c>
      <c r="AE8" s="3">
        <v>1000</v>
      </c>
      <c r="AI8" s="4" t="s">
        <v>2281</v>
      </c>
      <c r="AJ8" s="4" t="s">
        <v>2298</v>
      </c>
      <c r="AK8" s="3" t="s">
        <v>286</v>
      </c>
      <c r="AL8" s="4">
        <v>30080</v>
      </c>
      <c r="AM8" s="5">
        <v>21890</v>
      </c>
      <c r="AN8" s="4" t="s">
        <v>2282</v>
      </c>
      <c r="AO8" s="4">
        <v>99</v>
      </c>
      <c r="AP8" s="4">
        <v>80120000</v>
      </c>
      <c r="AQ8" s="5">
        <v>9954.4500000000007</v>
      </c>
    </row>
    <row r="9" spans="1:43" s="4" customFormat="1" x14ac:dyDescent="0.25">
      <c r="A9" s="3">
        <v>4603022</v>
      </c>
      <c r="B9" s="30">
        <v>41132</v>
      </c>
      <c r="C9" s="3" t="s">
        <v>2273</v>
      </c>
      <c r="D9" s="3">
        <v>10002854</v>
      </c>
      <c r="E9" s="4">
        <v>4532373</v>
      </c>
      <c r="F9" s="3" t="s">
        <v>49</v>
      </c>
      <c r="G9" s="4" t="s">
        <v>2300</v>
      </c>
      <c r="H9" s="4" t="s">
        <v>2305</v>
      </c>
      <c r="I9" s="5">
        <v>60258</v>
      </c>
      <c r="J9" s="30">
        <v>41132</v>
      </c>
      <c r="K9" s="30">
        <v>42004</v>
      </c>
      <c r="L9" s="3" t="s">
        <v>196</v>
      </c>
      <c r="M9" s="4" t="s">
        <v>2306</v>
      </c>
      <c r="N9" s="3" t="s">
        <v>56</v>
      </c>
      <c r="O9" s="3" t="s">
        <v>139</v>
      </c>
      <c r="P9" s="4" t="s">
        <v>282</v>
      </c>
      <c r="Q9" s="3"/>
      <c r="R9" s="3"/>
      <c r="U9" s="4" t="s">
        <v>139</v>
      </c>
      <c r="V9" s="4" t="s">
        <v>427</v>
      </c>
      <c r="W9" s="4" t="s">
        <v>428</v>
      </c>
      <c r="Y9" s="4" t="s">
        <v>2277</v>
      </c>
      <c r="Z9" s="4" t="s">
        <v>2293</v>
      </c>
      <c r="AA9" s="4" t="s">
        <v>2294</v>
      </c>
      <c r="AB9" s="3" t="s">
        <v>2303</v>
      </c>
      <c r="AC9" s="3" t="s">
        <v>2296</v>
      </c>
      <c r="AD9" s="28">
        <v>42170</v>
      </c>
      <c r="AE9" s="3">
        <v>1000</v>
      </c>
      <c r="AI9" s="4" t="s">
        <v>2281</v>
      </c>
      <c r="AJ9" s="4" t="s">
        <v>2298</v>
      </c>
      <c r="AK9" s="3" t="s">
        <v>286</v>
      </c>
      <c r="AL9" s="4">
        <v>30080</v>
      </c>
      <c r="AM9" s="5">
        <v>60258</v>
      </c>
      <c r="AN9" s="4" t="s">
        <v>2282</v>
      </c>
      <c r="AO9" s="4">
        <v>96</v>
      </c>
      <c r="AP9" s="4">
        <v>80120000</v>
      </c>
      <c r="AQ9" s="5">
        <v>8663.6</v>
      </c>
    </row>
    <row r="10" spans="1:43" s="4" customFormat="1" x14ac:dyDescent="0.25">
      <c r="A10" s="3">
        <v>4603031</v>
      </c>
      <c r="B10" s="30">
        <v>41135</v>
      </c>
      <c r="C10" s="3" t="s">
        <v>2273</v>
      </c>
      <c r="D10" s="3">
        <v>10002871</v>
      </c>
      <c r="E10" s="4">
        <v>4532382</v>
      </c>
      <c r="F10" s="3" t="s">
        <v>49</v>
      </c>
      <c r="G10" s="4" t="s">
        <v>2300</v>
      </c>
      <c r="H10" s="4" t="s">
        <v>2301</v>
      </c>
      <c r="I10" s="5">
        <v>16900</v>
      </c>
      <c r="J10" s="30">
        <v>41135</v>
      </c>
      <c r="K10" s="30">
        <v>42004</v>
      </c>
      <c r="L10" s="3" t="s">
        <v>196</v>
      </c>
      <c r="M10" s="4" t="s">
        <v>2308</v>
      </c>
      <c r="N10" s="3" t="s">
        <v>56</v>
      </c>
      <c r="O10" s="3" t="s">
        <v>139</v>
      </c>
      <c r="P10" s="4" t="s">
        <v>282</v>
      </c>
      <c r="Q10" s="3" t="s">
        <v>139</v>
      </c>
      <c r="R10" s="3" t="s">
        <v>427</v>
      </c>
      <c r="S10" s="4" t="s">
        <v>428</v>
      </c>
      <c r="U10" s="4" t="s">
        <v>139</v>
      </c>
      <c r="V10" s="4" t="s">
        <v>427</v>
      </c>
      <c r="W10" s="4" t="s">
        <v>428</v>
      </c>
      <c r="Y10" s="4" t="s">
        <v>2292</v>
      </c>
      <c r="Z10" s="4" t="s">
        <v>2293</v>
      </c>
      <c r="AA10" s="4" t="s">
        <v>2294</v>
      </c>
      <c r="AB10" s="3" t="s">
        <v>2303</v>
      </c>
      <c r="AC10" s="3" t="s">
        <v>2296</v>
      </c>
      <c r="AD10" s="28">
        <v>41988</v>
      </c>
      <c r="AE10" s="3">
        <v>1000</v>
      </c>
      <c r="AI10" s="4" t="s">
        <v>2297</v>
      </c>
      <c r="AJ10" s="4" t="s">
        <v>2298</v>
      </c>
      <c r="AK10" s="3" t="s">
        <v>286</v>
      </c>
      <c r="AL10" s="4">
        <v>30080</v>
      </c>
      <c r="AM10" s="5">
        <v>16900</v>
      </c>
      <c r="AN10" s="4" t="s">
        <v>2282</v>
      </c>
      <c r="AO10" s="4">
        <v>99</v>
      </c>
      <c r="AP10" s="4">
        <v>80120000</v>
      </c>
      <c r="AQ10" s="5">
        <v>3438.6</v>
      </c>
    </row>
    <row r="11" spans="1:43" s="4" customFormat="1" x14ac:dyDescent="0.25">
      <c r="A11" s="3">
        <v>4603050</v>
      </c>
      <c r="B11" s="30">
        <v>41137</v>
      </c>
      <c r="C11" s="3" t="s">
        <v>2273</v>
      </c>
      <c r="D11" s="3">
        <v>10002887</v>
      </c>
      <c r="E11" s="4">
        <v>4532401</v>
      </c>
      <c r="F11" s="3" t="s">
        <v>49</v>
      </c>
      <c r="G11" s="4" t="s">
        <v>2310</v>
      </c>
      <c r="H11" s="4" t="s">
        <v>2311</v>
      </c>
      <c r="I11" s="5">
        <v>54105</v>
      </c>
      <c r="J11" s="30">
        <v>41137</v>
      </c>
      <c r="K11" s="30">
        <v>41912</v>
      </c>
      <c r="L11" s="3" t="s">
        <v>119</v>
      </c>
      <c r="M11" s="4" t="s">
        <v>2312</v>
      </c>
      <c r="N11" s="3" t="s">
        <v>56</v>
      </c>
      <c r="O11" s="3" t="s">
        <v>139</v>
      </c>
      <c r="P11" s="4" t="s">
        <v>2207</v>
      </c>
      <c r="Q11" s="3"/>
      <c r="R11" s="3"/>
      <c r="U11" s="4" t="s">
        <v>139</v>
      </c>
      <c r="V11" s="4" t="s">
        <v>427</v>
      </c>
      <c r="W11" s="4" t="s">
        <v>428</v>
      </c>
      <c r="Y11" s="4" t="s">
        <v>2277</v>
      </c>
      <c r="Z11" s="4" t="s">
        <v>2293</v>
      </c>
      <c r="AA11" s="4" t="s">
        <v>2294</v>
      </c>
      <c r="AB11" s="3" t="s">
        <v>2313</v>
      </c>
      <c r="AC11" s="3" t="s">
        <v>2296</v>
      </c>
      <c r="AD11" s="28">
        <v>41956</v>
      </c>
      <c r="AE11" s="3">
        <v>1000</v>
      </c>
      <c r="AI11" s="4" t="s">
        <v>2281</v>
      </c>
      <c r="AJ11" s="4" t="s">
        <v>2298</v>
      </c>
      <c r="AK11" s="3" t="s">
        <v>2210</v>
      </c>
      <c r="AL11" s="4">
        <v>47820</v>
      </c>
      <c r="AM11" s="5">
        <v>54105</v>
      </c>
      <c r="AN11" s="4" t="s">
        <v>2282</v>
      </c>
      <c r="AO11" s="4">
        <v>96</v>
      </c>
      <c r="AP11" s="4">
        <v>80120000</v>
      </c>
      <c r="AQ11" s="4">
        <v>0</v>
      </c>
    </row>
    <row r="12" spans="1:43" s="4" customFormat="1" x14ac:dyDescent="0.25">
      <c r="A12" s="3">
        <v>4603168</v>
      </c>
      <c r="B12" s="30">
        <v>41184</v>
      </c>
      <c r="C12" s="3" t="s">
        <v>2273</v>
      </c>
      <c r="D12" s="3">
        <v>10003017</v>
      </c>
      <c r="E12" s="4">
        <v>4532519</v>
      </c>
      <c r="F12" s="3" t="s">
        <v>49</v>
      </c>
      <c r="G12" s="4" t="s">
        <v>2300</v>
      </c>
      <c r="H12" s="4" t="s">
        <v>2315</v>
      </c>
      <c r="I12" s="5">
        <v>15000</v>
      </c>
      <c r="J12" s="30">
        <v>41184</v>
      </c>
      <c r="K12" s="30">
        <v>42004</v>
      </c>
      <c r="L12" s="3" t="s">
        <v>54</v>
      </c>
      <c r="M12" s="4" t="s">
        <v>2316</v>
      </c>
      <c r="N12" s="3" t="s">
        <v>56</v>
      </c>
      <c r="O12" s="3" t="s">
        <v>139</v>
      </c>
      <c r="P12" s="4" t="s">
        <v>282</v>
      </c>
      <c r="Q12" s="3" t="s">
        <v>139</v>
      </c>
      <c r="R12" s="3" t="s">
        <v>427</v>
      </c>
      <c r="S12" s="4" t="s">
        <v>428</v>
      </c>
      <c r="U12" s="4" t="s">
        <v>139</v>
      </c>
      <c r="V12" s="4" t="s">
        <v>427</v>
      </c>
      <c r="W12" s="4" t="s">
        <v>428</v>
      </c>
      <c r="Y12" s="4" t="s">
        <v>2286</v>
      </c>
      <c r="Z12" s="4" t="s">
        <v>2293</v>
      </c>
      <c r="AA12" s="4" t="s">
        <v>2294</v>
      </c>
      <c r="AB12" s="3" t="s">
        <v>2303</v>
      </c>
      <c r="AC12" s="3" t="s">
        <v>2296</v>
      </c>
      <c r="AD12" s="28">
        <v>41857</v>
      </c>
      <c r="AE12" s="3">
        <v>1000</v>
      </c>
      <c r="AI12" s="4" t="s">
        <v>2288</v>
      </c>
      <c r="AJ12" s="4" t="s">
        <v>2298</v>
      </c>
      <c r="AK12" s="3" t="s">
        <v>286</v>
      </c>
      <c r="AL12" s="4">
        <v>30080</v>
      </c>
      <c r="AM12" s="5">
        <v>15000</v>
      </c>
      <c r="AN12" s="4" t="s">
        <v>2282</v>
      </c>
      <c r="AO12" s="4">
        <v>99</v>
      </c>
      <c r="AP12" s="4">
        <v>80120000</v>
      </c>
      <c r="AQ12" s="4">
        <v>0</v>
      </c>
    </row>
    <row r="13" spans="1:43" s="4" customFormat="1" x14ac:dyDescent="0.25">
      <c r="A13" s="3">
        <v>4603721</v>
      </c>
      <c r="B13" s="30">
        <v>41451</v>
      </c>
      <c r="C13" s="3" t="s">
        <v>1042</v>
      </c>
      <c r="D13" s="3">
        <v>10003578</v>
      </c>
      <c r="E13" s="4">
        <v>4533072</v>
      </c>
      <c r="F13" s="3" t="s">
        <v>49</v>
      </c>
      <c r="G13" s="4" t="s">
        <v>1174</v>
      </c>
      <c r="H13" s="4" t="s">
        <v>1175</v>
      </c>
      <c r="I13" s="5">
        <v>644000</v>
      </c>
      <c r="J13" s="30">
        <v>41456</v>
      </c>
      <c r="K13" s="30">
        <v>42551</v>
      </c>
      <c r="L13" s="3" t="s">
        <v>119</v>
      </c>
      <c r="M13" s="4" t="s">
        <v>1175</v>
      </c>
      <c r="N13" s="3" t="s">
        <v>56</v>
      </c>
      <c r="O13" s="3" t="s">
        <v>139</v>
      </c>
      <c r="P13" s="4" t="s">
        <v>282</v>
      </c>
      <c r="Q13" s="3"/>
      <c r="R13" s="3"/>
      <c r="Y13" s="4" t="s">
        <v>1176</v>
      </c>
      <c r="Z13" s="4" t="s">
        <v>565</v>
      </c>
      <c r="AA13" s="4" t="s">
        <v>754</v>
      </c>
      <c r="AB13" s="3" t="s">
        <v>1177</v>
      </c>
      <c r="AC13" s="3" t="s">
        <v>756</v>
      </c>
      <c r="AD13" s="28">
        <v>42129</v>
      </c>
      <c r="AE13" s="3">
        <v>1000</v>
      </c>
      <c r="AI13" s="4" t="s">
        <v>1178</v>
      </c>
      <c r="AJ13" s="4" t="s">
        <v>569</v>
      </c>
      <c r="AK13" s="3" t="s">
        <v>286</v>
      </c>
      <c r="AL13" s="4">
        <v>42811</v>
      </c>
      <c r="AM13" s="5">
        <v>644000</v>
      </c>
      <c r="AN13" s="4" t="s">
        <v>124</v>
      </c>
      <c r="AO13" s="4">
        <v>99</v>
      </c>
      <c r="AP13" s="4">
        <v>80101510</v>
      </c>
      <c r="AQ13" s="5">
        <v>79939</v>
      </c>
    </row>
    <row r="14" spans="1:43" s="4" customFormat="1" x14ac:dyDescent="0.25">
      <c r="A14" s="3">
        <v>4603855</v>
      </c>
      <c r="B14" s="30">
        <v>41452</v>
      </c>
      <c r="C14" s="3" t="s">
        <v>1042</v>
      </c>
      <c r="D14" s="3">
        <v>10003664</v>
      </c>
      <c r="E14" s="4">
        <v>4533206</v>
      </c>
      <c r="F14" s="3" t="s">
        <v>49</v>
      </c>
      <c r="G14" s="4" t="s">
        <v>1197</v>
      </c>
      <c r="H14" s="4" t="s">
        <v>1198</v>
      </c>
      <c r="I14" s="5">
        <v>48682.7</v>
      </c>
      <c r="J14" s="30">
        <v>41456</v>
      </c>
      <c r="K14" s="30">
        <v>42551</v>
      </c>
      <c r="L14" s="3" t="s">
        <v>196</v>
      </c>
      <c r="M14" s="4" t="s">
        <v>1199</v>
      </c>
      <c r="N14" s="3" t="s">
        <v>25</v>
      </c>
      <c r="O14" s="3" t="s">
        <v>139</v>
      </c>
      <c r="P14" s="4" t="s">
        <v>282</v>
      </c>
      <c r="Q14" s="3"/>
      <c r="R14" s="3"/>
      <c r="Y14" s="4" t="s">
        <v>1200</v>
      </c>
      <c r="Z14" s="4" t="s">
        <v>1200</v>
      </c>
      <c r="AA14" s="4" t="s">
        <v>1201</v>
      </c>
      <c r="AB14" s="3"/>
      <c r="AC14" s="3"/>
      <c r="AD14" s="28">
        <v>41451</v>
      </c>
      <c r="AE14" s="3">
        <v>1000</v>
      </c>
      <c r="AI14" s="4" t="s">
        <v>1202</v>
      </c>
      <c r="AJ14" s="4" t="s">
        <v>1202</v>
      </c>
      <c r="AK14" s="3" t="s">
        <v>286</v>
      </c>
      <c r="AL14" s="4">
        <v>140121</v>
      </c>
      <c r="AM14" s="5">
        <v>48682.7</v>
      </c>
      <c r="AN14" s="4" t="s">
        <v>124</v>
      </c>
      <c r="AO14" s="4">
        <v>99</v>
      </c>
      <c r="AP14" s="4">
        <v>84111600</v>
      </c>
      <c r="AQ14" s="5">
        <v>12230.93</v>
      </c>
    </row>
    <row r="15" spans="1:43" s="4" customFormat="1" x14ac:dyDescent="0.25">
      <c r="A15" s="3">
        <v>4603856</v>
      </c>
      <c r="B15" s="30">
        <v>41452</v>
      </c>
      <c r="C15" s="3" t="s">
        <v>1042</v>
      </c>
      <c r="D15" s="3">
        <v>10003662</v>
      </c>
      <c r="E15" s="4">
        <v>4533207</v>
      </c>
      <c r="F15" s="3" t="s">
        <v>49</v>
      </c>
      <c r="G15" s="4" t="s">
        <v>1203</v>
      </c>
      <c r="H15" s="4" t="s">
        <v>1204</v>
      </c>
      <c r="I15" s="5">
        <v>90151.6</v>
      </c>
      <c r="J15" s="30">
        <v>41456</v>
      </c>
      <c r="K15" s="30">
        <v>42551</v>
      </c>
      <c r="L15" s="3" t="s">
        <v>196</v>
      </c>
      <c r="M15" s="4" t="s">
        <v>1204</v>
      </c>
      <c r="N15" s="3" t="s">
        <v>25</v>
      </c>
      <c r="O15" s="3" t="s">
        <v>139</v>
      </c>
      <c r="P15" s="4" t="s">
        <v>282</v>
      </c>
      <c r="Q15" s="3"/>
      <c r="R15" s="3"/>
      <c r="Y15" s="4" t="s">
        <v>1200</v>
      </c>
      <c r="Z15" s="4" t="s">
        <v>1200</v>
      </c>
      <c r="AA15" s="4" t="s">
        <v>1205</v>
      </c>
      <c r="AB15" s="3"/>
      <c r="AC15" s="3"/>
      <c r="AD15" s="28">
        <v>41451</v>
      </c>
      <c r="AE15" s="3">
        <v>1000</v>
      </c>
      <c r="AI15" s="4" t="s">
        <v>1202</v>
      </c>
      <c r="AJ15" s="4" t="s">
        <v>1202</v>
      </c>
      <c r="AK15" s="3" t="s">
        <v>286</v>
      </c>
      <c r="AL15" s="4">
        <v>49532</v>
      </c>
      <c r="AM15" s="5">
        <v>90151.6</v>
      </c>
      <c r="AN15" s="4" t="s">
        <v>124</v>
      </c>
      <c r="AO15" s="4">
        <v>99</v>
      </c>
      <c r="AP15" s="4">
        <v>84111600</v>
      </c>
      <c r="AQ15" s="5">
        <v>15015.55</v>
      </c>
    </row>
    <row r="16" spans="1:43" s="4" customFormat="1" x14ac:dyDescent="0.25">
      <c r="A16" s="3">
        <v>4604190</v>
      </c>
      <c r="B16" s="30">
        <v>41459</v>
      </c>
      <c r="C16" s="3" t="s">
        <v>2273</v>
      </c>
      <c r="D16" s="3">
        <v>10003943</v>
      </c>
      <c r="E16" s="4">
        <v>4533541</v>
      </c>
      <c r="F16" s="3" t="s">
        <v>49</v>
      </c>
      <c r="G16" s="4" t="s">
        <v>2300</v>
      </c>
      <c r="I16" s="5">
        <v>5500</v>
      </c>
      <c r="J16" s="30">
        <v>41459</v>
      </c>
      <c r="K16" s="30">
        <v>42004</v>
      </c>
      <c r="L16" s="3" t="s">
        <v>1046</v>
      </c>
      <c r="M16" s="4" t="s">
        <v>2332</v>
      </c>
      <c r="N16" s="3" t="s">
        <v>25</v>
      </c>
      <c r="O16" s="3" t="s">
        <v>139</v>
      </c>
      <c r="P16" s="4" t="s">
        <v>2207</v>
      </c>
      <c r="Q16" s="3"/>
      <c r="R16" s="3"/>
      <c r="Y16" s="4" t="s">
        <v>2277</v>
      </c>
      <c r="Z16" s="4" t="s">
        <v>2293</v>
      </c>
      <c r="AB16" s="3"/>
      <c r="AC16" s="3"/>
      <c r="AD16" s="28">
        <v>41842</v>
      </c>
      <c r="AE16" s="3">
        <v>1000</v>
      </c>
      <c r="AI16" s="4" t="s">
        <v>2281</v>
      </c>
      <c r="AJ16" s="4" t="s">
        <v>2298</v>
      </c>
      <c r="AK16" s="3" t="s">
        <v>2210</v>
      </c>
      <c r="AL16" s="4">
        <v>30080</v>
      </c>
      <c r="AM16" s="5">
        <v>5500</v>
      </c>
      <c r="AN16" s="4" t="s">
        <v>2282</v>
      </c>
      <c r="AQ16" s="5">
        <v>2061.7600000000002</v>
      </c>
    </row>
    <row r="17" spans="1:43" s="4" customFormat="1" x14ac:dyDescent="0.25">
      <c r="A17" s="3">
        <v>4604212</v>
      </c>
      <c r="B17" s="30">
        <v>41540</v>
      </c>
      <c r="C17" s="3" t="s">
        <v>2273</v>
      </c>
      <c r="D17" s="3">
        <v>10003961</v>
      </c>
      <c r="E17" s="4">
        <v>4533563</v>
      </c>
      <c r="F17" s="3" t="s">
        <v>49</v>
      </c>
      <c r="G17" s="4" t="s">
        <v>2333</v>
      </c>
      <c r="H17" s="4" t="s">
        <v>2301</v>
      </c>
      <c r="I17" s="5">
        <v>3000000</v>
      </c>
      <c r="J17" s="30">
        <v>41540</v>
      </c>
      <c r="K17" s="30">
        <v>42185</v>
      </c>
      <c r="L17" s="3" t="s">
        <v>1046</v>
      </c>
      <c r="M17" s="4" t="s">
        <v>2334</v>
      </c>
      <c r="N17" s="3" t="s">
        <v>25</v>
      </c>
      <c r="O17" s="3" t="s">
        <v>139</v>
      </c>
      <c r="P17" s="4" t="s">
        <v>2207</v>
      </c>
      <c r="Q17" s="3" t="s">
        <v>139</v>
      </c>
      <c r="R17" s="3" t="s">
        <v>427</v>
      </c>
      <c r="S17" s="4" t="s">
        <v>428</v>
      </c>
      <c r="U17" s="4" t="s">
        <v>139</v>
      </c>
      <c r="V17" s="4" t="s">
        <v>427</v>
      </c>
      <c r="W17" s="4" t="s">
        <v>428</v>
      </c>
      <c r="Y17" s="4" t="s">
        <v>2277</v>
      </c>
      <c r="Z17" s="4" t="s">
        <v>2293</v>
      </c>
      <c r="AB17" s="3"/>
      <c r="AC17" s="3"/>
      <c r="AD17" s="28">
        <v>42180</v>
      </c>
      <c r="AE17" s="3">
        <v>1000</v>
      </c>
      <c r="AI17" s="4" t="s">
        <v>2281</v>
      </c>
      <c r="AJ17" s="4" t="s">
        <v>2298</v>
      </c>
      <c r="AK17" s="3" t="s">
        <v>2210</v>
      </c>
      <c r="AL17" s="4">
        <v>141591</v>
      </c>
      <c r="AM17" s="5">
        <v>3000000</v>
      </c>
      <c r="AN17" s="4" t="s">
        <v>2282</v>
      </c>
      <c r="AO17" s="4">
        <v>94</v>
      </c>
      <c r="AP17" s="4">
        <v>80120000</v>
      </c>
      <c r="AQ17" s="5">
        <v>2309463.5699999998</v>
      </c>
    </row>
    <row r="18" spans="1:43" s="4" customFormat="1" x14ac:dyDescent="0.25">
      <c r="A18" s="3">
        <v>4604273</v>
      </c>
      <c r="B18" s="30">
        <v>41540</v>
      </c>
      <c r="C18" s="3" t="s">
        <v>2342</v>
      </c>
      <c r="D18" s="3">
        <v>10004032</v>
      </c>
      <c r="E18" s="4">
        <v>4533624</v>
      </c>
      <c r="F18" s="3" t="s">
        <v>49</v>
      </c>
      <c r="G18" s="4" t="s">
        <v>2333</v>
      </c>
      <c r="H18" s="4" t="s">
        <v>2305</v>
      </c>
      <c r="I18" s="5">
        <v>237000</v>
      </c>
      <c r="J18" s="30">
        <v>41540</v>
      </c>
      <c r="K18" s="30">
        <v>42185</v>
      </c>
      <c r="L18" s="3" t="s">
        <v>1046</v>
      </c>
      <c r="M18" s="4" t="s">
        <v>2344</v>
      </c>
      <c r="N18" s="3" t="s">
        <v>25</v>
      </c>
      <c r="O18" s="3" t="s">
        <v>139</v>
      </c>
      <c r="P18" s="4" t="s">
        <v>282</v>
      </c>
      <c r="Q18" s="3" t="s">
        <v>139</v>
      </c>
      <c r="R18" s="3" t="s">
        <v>427</v>
      </c>
      <c r="S18" s="4" t="s">
        <v>428</v>
      </c>
      <c r="U18" s="4" t="s">
        <v>139</v>
      </c>
      <c r="V18" s="4" t="s">
        <v>427</v>
      </c>
      <c r="W18" s="4" t="s">
        <v>428</v>
      </c>
      <c r="Y18" s="4" t="s">
        <v>2277</v>
      </c>
      <c r="Z18" s="4" t="s">
        <v>2293</v>
      </c>
      <c r="AB18" s="3"/>
      <c r="AC18" s="3"/>
      <c r="AD18" s="28">
        <v>42090</v>
      </c>
      <c r="AE18" s="3">
        <v>1000</v>
      </c>
      <c r="AI18" s="4" t="s">
        <v>2281</v>
      </c>
      <c r="AJ18" s="4" t="s">
        <v>2298</v>
      </c>
      <c r="AK18" s="3" t="s">
        <v>286</v>
      </c>
      <c r="AL18" s="4">
        <v>141591</v>
      </c>
      <c r="AM18" s="5">
        <v>237000</v>
      </c>
      <c r="AN18" s="4" t="s">
        <v>2282</v>
      </c>
      <c r="AO18" s="4">
        <v>96</v>
      </c>
      <c r="AP18" s="4">
        <v>80120000</v>
      </c>
      <c r="AQ18" s="5">
        <v>51915.17</v>
      </c>
    </row>
    <row r="19" spans="1:43" s="4" customFormat="1" x14ac:dyDescent="0.25">
      <c r="A19" s="3">
        <v>4604247</v>
      </c>
      <c r="B19" s="30">
        <v>41548</v>
      </c>
      <c r="C19" s="3" t="s">
        <v>2273</v>
      </c>
      <c r="D19" s="3">
        <v>10004001</v>
      </c>
      <c r="E19" s="4">
        <v>4533598</v>
      </c>
      <c r="F19" s="3" t="s">
        <v>49</v>
      </c>
      <c r="G19" s="4" t="s">
        <v>2300</v>
      </c>
      <c r="H19" s="4" t="s">
        <v>2301</v>
      </c>
      <c r="I19" s="5">
        <v>49800</v>
      </c>
      <c r="J19" s="30">
        <v>41548</v>
      </c>
      <c r="K19" s="30">
        <v>42185</v>
      </c>
      <c r="L19" s="3" t="s">
        <v>1046</v>
      </c>
      <c r="M19" s="4" t="s">
        <v>2335</v>
      </c>
      <c r="N19" s="3" t="s">
        <v>25</v>
      </c>
      <c r="O19" s="3" t="s">
        <v>139</v>
      </c>
      <c r="P19" s="4" t="s">
        <v>282</v>
      </c>
      <c r="Q19" s="3"/>
      <c r="R19" s="3"/>
      <c r="U19" s="4" t="s">
        <v>139</v>
      </c>
      <c r="V19" s="4" t="s">
        <v>427</v>
      </c>
      <c r="W19" s="4" t="s">
        <v>428</v>
      </c>
      <c r="Y19" s="4" t="s">
        <v>2277</v>
      </c>
      <c r="Z19" s="4" t="s">
        <v>2293</v>
      </c>
      <c r="AB19" s="3"/>
      <c r="AC19" s="3"/>
      <c r="AD19" s="28">
        <v>42166</v>
      </c>
      <c r="AE19" s="3">
        <v>1000</v>
      </c>
      <c r="AI19" s="4" t="s">
        <v>2281</v>
      </c>
      <c r="AJ19" s="4" t="s">
        <v>2298</v>
      </c>
      <c r="AK19" s="3" t="s">
        <v>286</v>
      </c>
      <c r="AL19" s="4">
        <v>30080</v>
      </c>
      <c r="AM19" s="5">
        <v>49800</v>
      </c>
      <c r="AN19" s="4" t="s">
        <v>2282</v>
      </c>
      <c r="AO19" s="4">
        <v>97</v>
      </c>
      <c r="AP19" s="4">
        <v>80120000</v>
      </c>
      <c r="AQ19" s="5">
        <v>19164.75</v>
      </c>
    </row>
    <row r="20" spans="1:43" s="4" customFormat="1" x14ac:dyDescent="0.25">
      <c r="A20" s="3">
        <v>4604250</v>
      </c>
      <c r="B20" s="30">
        <v>41564</v>
      </c>
      <c r="C20" s="3" t="s">
        <v>2273</v>
      </c>
      <c r="D20" s="3">
        <v>10004011</v>
      </c>
      <c r="E20" s="4">
        <v>4533601</v>
      </c>
      <c r="F20" s="3" t="s">
        <v>49</v>
      </c>
      <c r="G20" s="4" t="s">
        <v>2300</v>
      </c>
      <c r="H20" s="4" t="s">
        <v>2337</v>
      </c>
      <c r="I20" s="5">
        <v>24700</v>
      </c>
      <c r="J20" s="30">
        <v>41564</v>
      </c>
      <c r="K20" s="30">
        <v>42004</v>
      </c>
      <c r="L20" s="3" t="s">
        <v>1046</v>
      </c>
      <c r="M20" s="4" t="s">
        <v>2338</v>
      </c>
      <c r="N20" s="3" t="s">
        <v>25</v>
      </c>
      <c r="O20" s="3" t="s">
        <v>139</v>
      </c>
      <c r="P20" s="4" t="s">
        <v>282</v>
      </c>
      <c r="Q20" s="3" t="s">
        <v>139</v>
      </c>
      <c r="R20" s="3" t="s">
        <v>427</v>
      </c>
      <c r="S20" s="4" t="s">
        <v>428</v>
      </c>
      <c r="U20" s="4" t="s">
        <v>139</v>
      </c>
      <c r="V20" s="4" t="s">
        <v>427</v>
      </c>
      <c r="W20" s="4" t="s">
        <v>428</v>
      </c>
      <c r="Y20" s="4" t="s">
        <v>2293</v>
      </c>
      <c r="Z20" s="4" t="s">
        <v>2293</v>
      </c>
      <c r="AB20" s="3"/>
      <c r="AC20" s="3"/>
      <c r="AD20" s="28">
        <v>41956</v>
      </c>
      <c r="AE20" s="3">
        <v>1000</v>
      </c>
      <c r="AI20" s="4" t="s">
        <v>2298</v>
      </c>
      <c r="AJ20" s="4" t="s">
        <v>2298</v>
      </c>
      <c r="AK20" s="3" t="s">
        <v>286</v>
      </c>
      <c r="AL20" s="4">
        <v>30080</v>
      </c>
      <c r="AM20" s="5">
        <v>24700</v>
      </c>
      <c r="AN20" s="4" t="s">
        <v>2282</v>
      </c>
      <c r="AO20" s="4">
        <v>98</v>
      </c>
      <c r="AP20" s="4">
        <v>80120000</v>
      </c>
      <c r="AQ20" s="4">
        <v>0</v>
      </c>
    </row>
    <row r="21" spans="1:43" s="4" customFormat="1" x14ac:dyDescent="0.25">
      <c r="A21" s="3">
        <v>4604260</v>
      </c>
      <c r="B21" s="30">
        <v>41576</v>
      </c>
      <c r="C21" s="3" t="s">
        <v>2273</v>
      </c>
      <c r="D21" s="3">
        <v>10004021</v>
      </c>
      <c r="E21" s="4">
        <v>4533611</v>
      </c>
      <c r="F21" s="3" t="s">
        <v>49</v>
      </c>
      <c r="G21" s="4" t="s">
        <v>2300</v>
      </c>
      <c r="H21" s="4" t="s">
        <v>2337</v>
      </c>
      <c r="I21" s="5">
        <v>28550</v>
      </c>
      <c r="J21" s="30">
        <v>41576</v>
      </c>
      <c r="K21" s="30">
        <v>42004</v>
      </c>
      <c r="L21" s="3" t="s">
        <v>1046</v>
      </c>
      <c r="M21" s="4" t="s">
        <v>2340</v>
      </c>
      <c r="N21" s="3" t="s">
        <v>25</v>
      </c>
      <c r="O21" s="3" t="s">
        <v>139</v>
      </c>
      <c r="P21" s="4" t="s">
        <v>282</v>
      </c>
      <c r="Q21" s="3" t="s">
        <v>139</v>
      </c>
      <c r="R21" s="3" t="s">
        <v>427</v>
      </c>
      <c r="S21" s="4" t="s">
        <v>428</v>
      </c>
      <c r="U21" s="4" t="s">
        <v>139</v>
      </c>
      <c r="V21" s="4" t="s">
        <v>427</v>
      </c>
      <c r="W21" s="4" t="s">
        <v>428</v>
      </c>
      <c r="Y21" s="4" t="s">
        <v>2293</v>
      </c>
      <c r="Z21" s="4" t="s">
        <v>2293</v>
      </c>
      <c r="AB21" s="3"/>
      <c r="AC21" s="3"/>
      <c r="AD21" s="28">
        <v>41956</v>
      </c>
      <c r="AE21" s="3">
        <v>1000</v>
      </c>
      <c r="AI21" s="4" t="s">
        <v>2298</v>
      </c>
      <c r="AJ21" s="4" t="s">
        <v>2298</v>
      </c>
      <c r="AK21" s="3" t="s">
        <v>286</v>
      </c>
      <c r="AL21" s="4">
        <v>30080</v>
      </c>
      <c r="AM21" s="5">
        <v>28550</v>
      </c>
      <c r="AN21" s="4" t="s">
        <v>2282</v>
      </c>
      <c r="AO21" s="4">
        <v>98</v>
      </c>
      <c r="AP21" s="4">
        <v>80120000</v>
      </c>
      <c r="AQ21" s="4">
        <v>0</v>
      </c>
    </row>
    <row r="22" spans="1:43" s="4" customFormat="1" x14ac:dyDescent="0.25">
      <c r="A22" s="3">
        <v>4604269</v>
      </c>
      <c r="B22" s="30">
        <v>41589</v>
      </c>
      <c r="C22" s="3" t="s">
        <v>2342</v>
      </c>
      <c r="D22" s="3">
        <v>10004026</v>
      </c>
      <c r="E22" s="4">
        <v>4533620</v>
      </c>
      <c r="F22" s="3" t="s">
        <v>49</v>
      </c>
      <c r="G22" s="4" t="s">
        <v>2300</v>
      </c>
      <c r="H22" s="4" t="s">
        <v>2301</v>
      </c>
      <c r="I22" s="5">
        <v>253000</v>
      </c>
      <c r="J22" s="30">
        <v>41589</v>
      </c>
      <c r="K22" s="30">
        <v>42004</v>
      </c>
      <c r="L22" s="3" t="s">
        <v>1046</v>
      </c>
      <c r="M22" s="4" t="s">
        <v>2343</v>
      </c>
      <c r="N22" s="3" t="s">
        <v>25</v>
      </c>
      <c r="O22" s="3" t="s">
        <v>139</v>
      </c>
      <c r="P22" s="4" t="s">
        <v>282</v>
      </c>
      <c r="Q22" s="3" t="s">
        <v>139</v>
      </c>
      <c r="R22" s="3" t="s">
        <v>427</v>
      </c>
      <c r="S22" s="4" t="s">
        <v>428</v>
      </c>
      <c r="U22" s="4" t="s">
        <v>139</v>
      </c>
      <c r="V22" s="4" t="s">
        <v>427</v>
      </c>
      <c r="W22" s="4" t="s">
        <v>428</v>
      </c>
      <c r="Y22" s="4" t="s">
        <v>2277</v>
      </c>
      <c r="Z22" s="4" t="s">
        <v>2293</v>
      </c>
      <c r="AB22" s="3"/>
      <c r="AC22" s="3"/>
      <c r="AD22" s="28">
        <v>42125</v>
      </c>
      <c r="AE22" s="3">
        <v>1000</v>
      </c>
      <c r="AI22" s="4" t="s">
        <v>2281</v>
      </c>
      <c r="AJ22" s="4" t="s">
        <v>2298</v>
      </c>
      <c r="AK22" s="3" t="s">
        <v>286</v>
      </c>
      <c r="AL22" s="4">
        <v>30080</v>
      </c>
      <c r="AM22" s="5">
        <v>253000</v>
      </c>
      <c r="AN22" s="4" t="s">
        <v>2282</v>
      </c>
      <c r="AO22" s="4">
        <v>94</v>
      </c>
      <c r="AP22" s="4">
        <v>80120000</v>
      </c>
      <c r="AQ22" s="5">
        <v>138444.98000000001</v>
      </c>
    </row>
    <row r="23" spans="1:43" s="4" customFormat="1" x14ac:dyDescent="0.25">
      <c r="A23" s="3">
        <v>4604316</v>
      </c>
      <c r="B23" s="30">
        <v>41626</v>
      </c>
      <c r="C23" s="3" t="s">
        <v>1278</v>
      </c>
      <c r="D23" s="3">
        <v>10004089</v>
      </c>
      <c r="E23" s="4">
        <v>4533667</v>
      </c>
      <c r="F23" s="3" t="s">
        <v>49</v>
      </c>
      <c r="G23" s="4" t="s">
        <v>1174</v>
      </c>
      <c r="H23" s="4" t="s">
        <v>1287</v>
      </c>
      <c r="I23" s="5">
        <v>15252</v>
      </c>
      <c r="J23" s="30">
        <v>41626</v>
      </c>
      <c r="K23" s="30">
        <v>42035</v>
      </c>
      <c r="L23" s="3" t="s">
        <v>119</v>
      </c>
      <c r="M23" s="4" t="s">
        <v>1287</v>
      </c>
      <c r="N23" s="3" t="s">
        <v>56</v>
      </c>
      <c r="O23" s="3" t="s">
        <v>139</v>
      </c>
      <c r="P23" s="4" t="s">
        <v>140</v>
      </c>
      <c r="Q23" s="3"/>
      <c r="R23" s="3"/>
      <c r="Y23" s="4" t="s">
        <v>38</v>
      </c>
      <c r="Z23" s="4" t="s">
        <v>38</v>
      </c>
      <c r="AA23" s="4" t="s">
        <v>1284</v>
      </c>
      <c r="AB23" s="3" t="s">
        <v>1285</v>
      </c>
      <c r="AC23" s="3" t="s">
        <v>1286</v>
      </c>
      <c r="AD23" s="28">
        <v>41628</v>
      </c>
      <c r="AE23" s="3">
        <v>1000</v>
      </c>
      <c r="AI23" s="4" t="s">
        <v>40</v>
      </c>
      <c r="AJ23" s="4" t="s">
        <v>40</v>
      </c>
      <c r="AK23" s="3" t="s">
        <v>143</v>
      </c>
      <c r="AL23" s="4">
        <v>42811</v>
      </c>
      <c r="AM23" s="5">
        <v>15252</v>
      </c>
      <c r="AN23" s="4" t="s">
        <v>124</v>
      </c>
      <c r="AO23" s="4">
        <v>99</v>
      </c>
      <c r="AP23" s="4">
        <v>80100000</v>
      </c>
      <c r="AQ23" s="5">
        <v>7625.99</v>
      </c>
    </row>
    <row r="24" spans="1:43" s="4" customFormat="1" x14ac:dyDescent="0.25">
      <c r="A24" s="3">
        <v>4604362</v>
      </c>
      <c r="B24" s="30">
        <v>41683</v>
      </c>
      <c r="C24" s="3" t="s">
        <v>2342</v>
      </c>
      <c r="D24" s="3">
        <v>10004141</v>
      </c>
      <c r="E24" s="4">
        <v>4533713</v>
      </c>
      <c r="F24" s="3" t="s">
        <v>49</v>
      </c>
      <c r="G24" s="4" t="s">
        <v>2300</v>
      </c>
      <c r="H24" s="4" t="s">
        <v>2301</v>
      </c>
      <c r="I24" s="5">
        <v>45000</v>
      </c>
      <c r="J24" s="30">
        <v>41683</v>
      </c>
      <c r="K24" s="30">
        <v>41912</v>
      </c>
      <c r="L24" s="3" t="s">
        <v>1046</v>
      </c>
      <c r="M24" s="4" t="s">
        <v>2346</v>
      </c>
      <c r="N24" s="3" t="s">
        <v>25</v>
      </c>
      <c r="O24" s="3" t="s">
        <v>139</v>
      </c>
      <c r="P24" s="4" t="s">
        <v>282</v>
      </c>
      <c r="Q24" s="3" t="s">
        <v>139</v>
      </c>
      <c r="R24" s="3" t="s">
        <v>427</v>
      </c>
      <c r="S24" s="4" t="s">
        <v>428</v>
      </c>
      <c r="U24" s="4" t="s">
        <v>139</v>
      </c>
      <c r="V24" s="4" t="s">
        <v>427</v>
      </c>
      <c r="W24" s="4" t="s">
        <v>428</v>
      </c>
      <c r="Y24" s="4" t="s">
        <v>2286</v>
      </c>
      <c r="Z24" s="4" t="s">
        <v>2293</v>
      </c>
      <c r="AB24" s="3"/>
      <c r="AC24" s="3"/>
      <c r="AD24" s="28">
        <v>41956</v>
      </c>
      <c r="AE24" s="3">
        <v>1000</v>
      </c>
      <c r="AI24" s="4" t="s">
        <v>2288</v>
      </c>
      <c r="AJ24" s="4" t="s">
        <v>2298</v>
      </c>
      <c r="AK24" s="3" t="s">
        <v>286</v>
      </c>
      <c r="AL24" s="4">
        <v>30080</v>
      </c>
      <c r="AM24" s="5">
        <v>45000</v>
      </c>
      <c r="AN24" s="4" t="s">
        <v>2282</v>
      </c>
      <c r="AO24" s="4">
        <v>99</v>
      </c>
      <c r="AP24" s="4">
        <v>80120000</v>
      </c>
      <c r="AQ24" s="5">
        <v>3507.9</v>
      </c>
    </row>
    <row r="25" spans="1:43" s="4" customFormat="1" x14ac:dyDescent="0.25">
      <c r="A25" s="3">
        <v>4604366</v>
      </c>
      <c r="B25" s="30">
        <v>41684</v>
      </c>
      <c r="C25" s="3" t="s">
        <v>2158</v>
      </c>
      <c r="D25" s="3">
        <v>10004151</v>
      </c>
      <c r="E25" s="4">
        <v>4533717</v>
      </c>
      <c r="F25" s="3" t="s">
        <v>49</v>
      </c>
      <c r="G25" s="4" t="s">
        <v>372</v>
      </c>
      <c r="H25" s="4" t="s">
        <v>2180</v>
      </c>
      <c r="I25" s="5">
        <v>783225</v>
      </c>
      <c r="J25" s="30">
        <v>41684</v>
      </c>
      <c r="K25" s="30">
        <v>41918</v>
      </c>
      <c r="L25" s="3" t="s">
        <v>119</v>
      </c>
      <c r="M25" s="4" t="s">
        <v>2182</v>
      </c>
      <c r="N25" s="3" t="s">
        <v>56</v>
      </c>
      <c r="O25" s="3" t="s">
        <v>139</v>
      </c>
      <c r="P25" s="4" t="s">
        <v>140</v>
      </c>
      <c r="Q25" s="3"/>
      <c r="R25" s="3"/>
      <c r="Y25" s="4" t="s">
        <v>2183</v>
      </c>
      <c r="Z25" s="4" t="s">
        <v>1886</v>
      </c>
      <c r="AA25" s="4" t="s">
        <v>356</v>
      </c>
      <c r="AB25" s="3" t="s">
        <v>375</v>
      </c>
      <c r="AC25" s="3" t="s">
        <v>358</v>
      </c>
      <c r="AD25" s="28">
        <v>42173</v>
      </c>
      <c r="AE25" s="3">
        <v>1000</v>
      </c>
      <c r="AI25" s="4" t="s">
        <v>2184</v>
      </c>
      <c r="AJ25" s="4" t="s">
        <v>1888</v>
      </c>
      <c r="AK25" s="3" t="s">
        <v>143</v>
      </c>
      <c r="AL25" s="4">
        <v>43825</v>
      </c>
      <c r="AM25" s="5">
        <v>783225</v>
      </c>
      <c r="AN25" s="4" t="s">
        <v>124</v>
      </c>
      <c r="AO25" s="4">
        <v>96</v>
      </c>
      <c r="AP25" s="4">
        <v>80100000</v>
      </c>
      <c r="AQ25" s="5">
        <v>201781.1</v>
      </c>
    </row>
    <row r="26" spans="1:43" s="4" customFormat="1" x14ac:dyDescent="0.25">
      <c r="A26" s="3">
        <v>4604367</v>
      </c>
      <c r="B26" s="30">
        <v>41690</v>
      </c>
      <c r="C26" s="3" t="s">
        <v>2342</v>
      </c>
      <c r="D26" s="3">
        <v>10004152</v>
      </c>
      <c r="E26" s="4">
        <v>4533718</v>
      </c>
      <c r="F26" s="3" t="s">
        <v>49</v>
      </c>
      <c r="G26" s="4" t="s">
        <v>2300</v>
      </c>
      <c r="H26" s="4" t="s">
        <v>2301</v>
      </c>
      <c r="I26" s="5">
        <v>20000</v>
      </c>
      <c r="J26" s="30">
        <v>41689</v>
      </c>
      <c r="K26" s="30">
        <v>42004</v>
      </c>
      <c r="L26" s="3" t="s">
        <v>1046</v>
      </c>
      <c r="M26" s="4" t="s">
        <v>2349</v>
      </c>
      <c r="N26" s="3" t="s">
        <v>25</v>
      </c>
      <c r="O26" s="3" t="s">
        <v>139</v>
      </c>
      <c r="P26" s="4" t="s">
        <v>282</v>
      </c>
      <c r="Q26" s="3" t="s">
        <v>139</v>
      </c>
      <c r="R26" s="3" t="s">
        <v>427</v>
      </c>
      <c r="S26" s="4" t="s">
        <v>428</v>
      </c>
      <c r="U26" s="4" t="s">
        <v>139</v>
      </c>
      <c r="V26" s="4" t="s">
        <v>427</v>
      </c>
      <c r="W26" s="4" t="s">
        <v>428</v>
      </c>
      <c r="Y26" s="4" t="s">
        <v>2277</v>
      </c>
      <c r="Z26" s="4" t="s">
        <v>2293</v>
      </c>
      <c r="AB26" s="3"/>
      <c r="AC26" s="3"/>
      <c r="AD26" s="28">
        <v>41863</v>
      </c>
      <c r="AE26" s="3">
        <v>1000</v>
      </c>
      <c r="AI26" s="4" t="s">
        <v>2281</v>
      </c>
      <c r="AJ26" s="4" t="s">
        <v>2298</v>
      </c>
      <c r="AK26" s="3" t="s">
        <v>286</v>
      </c>
      <c r="AL26" s="4">
        <v>30080</v>
      </c>
      <c r="AM26" s="5">
        <v>20000</v>
      </c>
      <c r="AN26" s="4" t="s">
        <v>2282</v>
      </c>
      <c r="AO26" s="4">
        <v>99</v>
      </c>
      <c r="AP26" s="4">
        <v>80120000</v>
      </c>
      <c r="AQ26" s="5">
        <v>4419.8</v>
      </c>
    </row>
    <row r="27" spans="1:43" s="4" customFormat="1" x14ac:dyDescent="0.25">
      <c r="A27" s="3">
        <v>4604369</v>
      </c>
      <c r="B27" s="30">
        <v>41691</v>
      </c>
      <c r="C27" s="3" t="s">
        <v>2342</v>
      </c>
      <c r="D27" s="3">
        <v>10004154</v>
      </c>
      <c r="E27" s="4">
        <v>4533720</v>
      </c>
      <c r="F27" s="3" t="s">
        <v>49</v>
      </c>
      <c r="G27" s="4" t="s">
        <v>2290</v>
      </c>
      <c r="H27" s="4" t="s">
        <v>2301</v>
      </c>
      <c r="I27" s="5">
        <v>16378</v>
      </c>
      <c r="J27" s="30">
        <v>41691</v>
      </c>
      <c r="K27" s="30">
        <v>41859</v>
      </c>
      <c r="L27" s="3" t="s">
        <v>1046</v>
      </c>
      <c r="M27" s="4" t="s">
        <v>2350</v>
      </c>
      <c r="N27" s="3" t="s">
        <v>25</v>
      </c>
      <c r="O27" s="3" t="s">
        <v>139</v>
      </c>
      <c r="P27" s="4" t="s">
        <v>282</v>
      </c>
      <c r="Q27" s="3" t="s">
        <v>139</v>
      </c>
      <c r="R27" s="3" t="s">
        <v>215</v>
      </c>
      <c r="S27" s="4" t="s">
        <v>216</v>
      </c>
      <c r="U27" s="4" t="s">
        <v>139</v>
      </c>
      <c r="V27" s="4" t="s">
        <v>427</v>
      </c>
      <c r="W27" s="4" t="s">
        <v>428</v>
      </c>
      <c r="Y27" s="4" t="s">
        <v>2277</v>
      </c>
      <c r="Z27" s="4" t="s">
        <v>2293</v>
      </c>
      <c r="AB27" s="3"/>
      <c r="AC27" s="3"/>
      <c r="AD27" s="28">
        <v>41887</v>
      </c>
      <c r="AE27" s="3">
        <v>1000</v>
      </c>
      <c r="AI27" s="4" t="s">
        <v>2281</v>
      </c>
      <c r="AJ27" s="4" t="s">
        <v>2298</v>
      </c>
      <c r="AK27" s="3" t="s">
        <v>286</v>
      </c>
      <c r="AL27" s="4">
        <v>140444</v>
      </c>
      <c r="AM27" s="5">
        <v>16378</v>
      </c>
      <c r="AN27" s="4" t="s">
        <v>2282</v>
      </c>
      <c r="AO27" s="4">
        <v>99</v>
      </c>
      <c r="AP27" s="4">
        <v>80120000</v>
      </c>
      <c r="AQ27" s="5">
        <v>6477.72</v>
      </c>
    </row>
    <row r="28" spans="1:43" s="4" customFormat="1" x14ac:dyDescent="0.25">
      <c r="A28" s="3">
        <v>4604435</v>
      </c>
      <c r="B28" s="30">
        <v>41704</v>
      </c>
      <c r="C28" s="3" t="s">
        <v>2158</v>
      </c>
      <c r="D28" s="3">
        <v>10004224</v>
      </c>
      <c r="E28" s="4">
        <v>4533786</v>
      </c>
      <c r="F28" s="3" t="s">
        <v>49</v>
      </c>
      <c r="G28" s="4" t="s">
        <v>2196</v>
      </c>
      <c r="H28" s="4" t="s">
        <v>2197</v>
      </c>
      <c r="I28" s="5">
        <v>15000</v>
      </c>
      <c r="J28" s="30">
        <v>41704</v>
      </c>
      <c r="K28" s="30">
        <v>41851</v>
      </c>
      <c r="L28" s="3" t="s">
        <v>196</v>
      </c>
      <c r="M28" s="4" t="s">
        <v>2197</v>
      </c>
      <c r="N28" s="3" t="s">
        <v>25</v>
      </c>
      <c r="O28" s="3" t="s">
        <v>139</v>
      </c>
      <c r="P28" s="4" t="s">
        <v>140</v>
      </c>
      <c r="Q28" s="3"/>
      <c r="R28" s="3"/>
      <c r="Y28" s="4" t="s">
        <v>307</v>
      </c>
      <c r="Z28" s="4" t="s">
        <v>307</v>
      </c>
      <c r="AB28" s="3"/>
      <c r="AC28" s="3"/>
      <c r="AD28" s="28">
        <v>41871</v>
      </c>
      <c r="AE28" s="3">
        <v>1000</v>
      </c>
      <c r="AI28" s="4" t="s">
        <v>309</v>
      </c>
      <c r="AJ28" s="4" t="s">
        <v>309</v>
      </c>
      <c r="AK28" s="3" t="s">
        <v>143</v>
      </c>
      <c r="AL28" s="4">
        <v>141718</v>
      </c>
      <c r="AM28" s="5">
        <v>15000</v>
      </c>
      <c r="AN28" s="4" t="s">
        <v>124</v>
      </c>
      <c r="AO28" s="4">
        <v>99</v>
      </c>
      <c r="AP28" s="4">
        <v>80100000</v>
      </c>
      <c r="AQ28" s="5">
        <v>3325</v>
      </c>
    </row>
    <row r="29" spans="1:43" s="4" customFormat="1" x14ac:dyDescent="0.25">
      <c r="A29" s="24">
        <v>4604437</v>
      </c>
      <c r="B29" s="31">
        <v>41710</v>
      </c>
      <c r="C29" s="24" t="s">
        <v>2158</v>
      </c>
      <c r="D29" s="24">
        <v>10004226</v>
      </c>
      <c r="E29" s="25">
        <v>4533788</v>
      </c>
      <c r="F29" s="24" t="s">
        <v>49</v>
      </c>
      <c r="G29" s="25" t="s">
        <v>2199</v>
      </c>
      <c r="H29" s="25" t="s">
        <v>2200</v>
      </c>
      <c r="I29" s="26">
        <v>57250</v>
      </c>
      <c r="J29" s="31">
        <v>41710</v>
      </c>
      <c r="K29" s="31">
        <v>41851</v>
      </c>
      <c r="L29" s="24" t="s">
        <v>196</v>
      </c>
      <c r="M29" s="25" t="s">
        <v>2201</v>
      </c>
      <c r="N29" s="24" t="s">
        <v>25</v>
      </c>
      <c r="O29" s="24" t="s">
        <v>139</v>
      </c>
      <c r="P29" s="25" t="s">
        <v>282</v>
      </c>
      <c r="Q29" s="24" t="s">
        <v>139</v>
      </c>
      <c r="R29" s="24" t="s">
        <v>427</v>
      </c>
      <c r="S29" s="25" t="s">
        <v>428</v>
      </c>
      <c r="T29" s="25"/>
      <c r="U29" s="25" t="s">
        <v>139</v>
      </c>
      <c r="V29" s="25" t="s">
        <v>427</v>
      </c>
      <c r="W29" s="25" t="s">
        <v>428</v>
      </c>
      <c r="X29" s="25"/>
      <c r="Y29" s="25" t="s">
        <v>307</v>
      </c>
      <c r="Z29" s="25" t="s">
        <v>307</v>
      </c>
      <c r="AA29" s="25"/>
      <c r="AB29" s="24"/>
      <c r="AC29" s="24"/>
      <c r="AD29" s="29">
        <v>41843</v>
      </c>
      <c r="AE29" s="24">
        <v>1000</v>
      </c>
      <c r="AF29" s="25"/>
      <c r="AG29" s="25"/>
      <c r="AH29" s="25"/>
      <c r="AI29" s="25" t="s">
        <v>309</v>
      </c>
      <c r="AJ29" s="25" t="s">
        <v>309</v>
      </c>
      <c r="AK29" s="24" t="s">
        <v>286</v>
      </c>
      <c r="AL29" s="25">
        <v>141720</v>
      </c>
      <c r="AM29" s="26">
        <v>57250</v>
      </c>
      <c r="AN29" s="25" t="s">
        <v>124</v>
      </c>
      <c r="AO29" s="25">
        <v>99</v>
      </c>
      <c r="AP29" s="25">
        <v>80100000</v>
      </c>
      <c r="AQ29" s="5">
        <v>2992.3</v>
      </c>
    </row>
    <row r="30" spans="1:43" s="4" customFormat="1" x14ac:dyDescent="0.25">
      <c r="A30" s="3">
        <v>4604949</v>
      </c>
      <c r="B30" s="30">
        <v>41718</v>
      </c>
      <c r="C30" s="3" t="s">
        <v>2415</v>
      </c>
      <c r="D30" s="3">
        <v>10004753</v>
      </c>
      <c r="E30" s="4">
        <v>4534300</v>
      </c>
      <c r="F30" s="3" t="s">
        <v>49</v>
      </c>
      <c r="G30" s="4" t="s">
        <v>453</v>
      </c>
      <c r="H30" s="4" t="s">
        <v>2424</v>
      </c>
      <c r="I30" s="5">
        <v>390000</v>
      </c>
      <c r="J30" s="30">
        <v>41913</v>
      </c>
      <c r="K30" s="30">
        <v>42185</v>
      </c>
      <c r="L30" s="3" t="s">
        <v>196</v>
      </c>
      <c r="M30" s="4" t="s">
        <v>2424</v>
      </c>
      <c r="N30" s="3" t="s">
        <v>25</v>
      </c>
      <c r="O30" s="3" t="s">
        <v>139</v>
      </c>
      <c r="P30" s="4" t="s">
        <v>140</v>
      </c>
      <c r="Q30" s="3"/>
      <c r="R30" s="3"/>
      <c r="Y30" s="4" t="s">
        <v>2425</v>
      </c>
      <c r="Z30" s="4" t="s">
        <v>2425</v>
      </c>
      <c r="AB30" s="3"/>
      <c r="AC30" s="3"/>
      <c r="AD30" s="28">
        <v>42143</v>
      </c>
      <c r="AE30" s="3">
        <v>1000</v>
      </c>
      <c r="AI30" s="4" t="s">
        <v>2426</v>
      </c>
      <c r="AJ30" s="4" t="s">
        <v>2426</v>
      </c>
      <c r="AK30" s="3" t="s">
        <v>143</v>
      </c>
      <c r="AL30" s="4">
        <v>47630</v>
      </c>
      <c r="AM30" s="5">
        <v>390000</v>
      </c>
      <c r="AN30" s="4" t="s">
        <v>124</v>
      </c>
      <c r="AO30" s="4">
        <v>99</v>
      </c>
      <c r="AP30" s="4">
        <v>80100000</v>
      </c>
      <c r="AQ30" s="5">
        <v>379400</v>
      </c>
    </row>
    <row r="31" spans="1:43" s="4" customFormat="1" x14ac:dyDescent="0.25">
      <c r="A31" s="3">
        <v>4604413</v>
      </c>
      <c r="B31" s="30">
        <v>41725</v>
      </c>
      <c r="C31" s="3" t="s">
        <v>2342</v>
      </c>
      <c r="D31" s="3">
        <v>10004199</v>
      </c>
      <c r="E31" s="4">
        <v>4533764</v>
      </c>
      <c r="F31" s="3" t="s">
        <v>49</v>
      </c>
      <c r="G31" s="4" t="s">
        <v>2352</v>
      </c>
      <c r="H31" s="4" t="s">
        <v>2353</v>
      </c>
      <c r="I31" s="5">
        <v>55000</v>
      </c>
      <c r="J31" s="30">
        <v>41725</v>
      </c>
      <c r="K31" s="30">
        <v>41912</v>
      </c>
      <c r="L31" s="3" t="s">
        <v>1046</v>
      </c>
      <c r="M31" s="4" t="s">
        <v>2354</v>
      </c>
      <c r="N31" s="3" t="s">
        <v>25</v>
      </c>
      <c r="O31" s="3" t="s">
        <v>139</v>
      </c>
      <c r="P31" s="4" t="s">
        <v>282</v>
      </c>
      <c r="Q31" s="3" t="s">
        <v>139</v>
      </c>
      <c r="R31" s="3" t="s">
        <v>427</v>
      </c>
      <c r="S31" s="4" t="s">
        <v>428</v>
      </c>
      <c r="U31" s="4" t="s">
        <v>139</v>
      </c>
      <c r="V31" s="4" t="s">
        <v>427</v>
      </c>
      <c r="W31" s="4" t="s">
        <v>428</v>
      </c>
      <c r="Y31" s="4" t="s">
        <v>2286</v>
      </c>
      <c r="Z31" s="4" t="s">
        <v>2293</v>
      </c>
      <c r="AB31" s="3"/>
      <c r="AC31" s="3"/>
      <c r="AD31" s="28">
        <v>41956</v>
      </c>
      <c r="AE31" s="3">
        <v>1000</v>
      </c>
      <c r="AI31" s="4" t="s">
        <v>2288</v>
      </c>
      <c r="AJ31" s="4" t="s">
        <v>2298</v>
      </c>
      <c r="AK31" s="3" t="s">
        <v>286</v>
      </c>
      <c r="AL31" s="4">
        <v>44024</v>
      </c>
      <c r="AM31" s="5">
        <v>55000</v>
      </c>
      <c r="AN31" s="4" t="s">
        <v>2282</v>
      </c>
      <c r="AO31" s="4">
        <v>99</v>
      </c>
      <c r="AP31" s="4">
        <v>80120000</v>
      </c>
      <c r="AQ31" s="5">
        <v>32414.5</v>
      </c>
    </row>
    <row r="32" spans="1:43" s="4" customFormat="1" x14ac:dyDescent="0.25">
      <c r="A32" s="3">
        <v>4604429</v>
      </c>
      <c r="B32" s="30">
        <v>41737</v>
      </c>
      <c r="C32" s="3" t="s">
        <v>2342</v>
      </c>
      <c r="D32" s="3">
        <v>10004220</v>
      </c>
      <c r="E32" s="4">
        <v>4533780</v>
      </c>
      <c r="F32" s="3" t="s">
        <v>49</v>
      </c>
      <c r="G32" s="4" t="s">
        <v>1672</v>
      </c>
      <c r="I32" s="5">
        <v>7700</v>
      </c>
      <c r="J32" s="30">
        <v>41737</v>
      </c>
      <c r="K32" s="30">
        <v>42185</v>
      </c>
      <c r="L32" s="3" t="s">
        <v>1046</v>
      </c>
      <c r="M32" s="4" t="s">
        <v>2356</v>
      </c>
      <c r="N32" s="3" t="s">
        <v>25</v>
      </c>
      <c r="O32" s="3" t="s">
        <v>139</v>
      </c>
      <c r="P32" s="4" t="s">
        <v>2207</v>
      </c>
      <c r="Q32" s="3"/>
      <c r="R32" s="3"/>
      <c r="Y32" s="4" t="s">
        <v>2286</v>
      </c>
      <c r="Z32" s="4" t="s">
        <v>2293</v>
      </c>
      <c r="AB32" s="3"/>
      <c r="AC32" s="3"/>
      <c r="AD32" s="28">
        <v>41857</v>
      </c>
      <c r="AE32" s="3">
        <v>1000</v>
      </c>
      <c r="AI32" s="4" t="s">
        <v>2288</v>
      </c>
      <c r="AJ32" s="4" t="s">
        <v>2298</v>
      </c>
      <c r="AK32" s="3" t="s">
        <v>2210</v>
      </c>
      <c r="AL32" s="4">
        <v>30068</v>
      </c>
      <c r="AM32" s="5">
        <v>7700</v>
      </c>
      <c r="AN32" s="4" t="s">
        <v>2282</v>
      </c>
      <c r="AQ32" s="5">
        <v>4609.7299999999996</v>
      </c>
    </row>
    <row r="33" spans="1:43" s="4" customFormat="1" x14ac:dyDescent="0.25">
      <c r="A33" s="3">
        <v>4604436</v>
      </c>
      <c r="B33" s="30">
        <v>41740</v>
      </c>
      <c r="C33" s="3" t="s">
        <v>2342</v>
      </c>
      <c r="D33" s="3">
        <v>10004227</v>
      </c>
      <c r="E33" s="4">
        <v>4533787</v>
      </c>
      <c r="F33" s="3" t="s">
        <v>49</v>
      </c>
      <c r="G33" s="4" t="s">
        <v>2300</v>
      </c>
      <c r="I33" s="5">
        <v>9350</v>
      </c>
      <c r="J33" s="30">
        <v>41740</v>
      </c>
      <c r="K33" s="30">
        <v>42004</v>
      </c>
      <c r="L33" s="3" t="s">
        <v>1046</v>
      </c>
      <c r="M33" s="4" t="s">
        <v>2358</v>
      </c>
      <c r="N33" s="3" t="s">
        <v>25</v>
      </c>
      <c r="O33" s="3" t="s">
        <v>139</v>
      </c>
      <c r="P33" s="4" t="s">
        <v>282</v>
      </c>
      <c r="Q33" s="3"/>
      <c r="R33" s="3"/>
      <c r="Y33" s="4" t="s">
        <v>2292</v>
      </c>
      <c r="Z33" s="4" t="s">
        <v>2293</v>
      </c>
      <c r="AB33" s="3"/>
      <c r="AC33" s="3"/>
      <c r="AD33" s="28">
        <v>41926</v>
      </c>
      <c r="AE33" s="3">
        <v>1000</v>
      </c>
      <c r="AI33" s="4" t="s">
        <v>2297</v>
      </c>
      <c r="AJ33" s="4" t="s">
        <v>2298</v>
      </c>
      <c r="AK33" s="3" t="s">
        <v>286</v>
      </c>
      <c r="AL33" s="4">
        <v>30080</v>
      </c>
      <c r="AM33" s="5">
        <v>9350</v>
      </c>
      <c r="AN33" s="4" t="s">
        <v>2282</v>
      </c>
      <c r="AQ33" s="5">
        <v>7155.56</v>
      </c>
    </row>
    <row r="34" spans="1:43" s="25" customFormat="1" x14ac:dyDescent="0.25">
      <c r="A34" s="3">
        <v>4604444</v>
      </c>
      <c r="B34" s="30">
        <v>41744</v>
      </c>
      <c r="C34" s="3" t="s">
        <v>2342</v>
      </c>
      <c r="D34" s="3">
        <v>10004239</v>
      </c>
      <c r="E34" s="4">
        <v>4533795</v>
      </c>
      <c r="F34" s="3" t="s">
        <v>49</v>
      </c>
      <c r="G34" s="4" t="s">
        <v>2300</v>
      </c>
      <c r="H34" s="4"/>
      <c r="I34" s="5">
        <v>5500</v>
      </c>
      <c r="J34" s="30">
        <v>41744</v>
      </c>
      <c r="K34" s="30">
        <v>42004</v>
      </c>
      <c r="L34" s="3" t="s">
        <v>1046</v>
      </c>
      <c r="M34" s="4" t="s">
        <v>2360</v>
      </c>
      <c r="N34" s="3" t="s">
        <v>25</v>
      </c>
      <c r="O34" s="3" t="s">
        <v>139</v>
      </c>
      <c r="P34" s="4" t="s">
        <v>2207</v>
      </c>
      <c r="Q34" s="3"/>
      <c r="R34" s="3"/>
      <c r="S34" s="4"/>
      <c r="T34" s="4"/>
      <c r="U34" s="4"/>
      <c r="V34" s="4"/>
      <c r="W34" s="4"/>
      <c r="X34" s="4"/>
      <c r="Y34" s="4" t="s">
        <v>2292</v>
      </c>
      <c r="Z34" s="4" t="s">
        <v>2293</v>
      </c>
      <c r="AA34" s="4"/>
      <c r="AB34" s="3"/>
      <c r="AC34" s="3"/>
      <c r="AD34" s="28">
        <v>41956</v>
      </c>
      <c r="AE34" s="3">
        <v>1000</v>
      </c>
      <c r="AF34" s="4"/>
      <c r="AG34" s="4"/>
      <c r="AH34" s="4"/>
      <c r="AI34" s="4" t="s">
        <v>2297</v>
      </c>
      <c r="AJ34" s="4" t="s">
        <v>2298</v>
      </c>
      <c r="AK34" s="3" t="s">
        <v>2210</v>
      </c>
      <c r="AL34" s="4">
        <v>30080</v>
      </c>
      <c r="AM34" s="5">
        <v>5500</v>
      </c>
      <c r="AN34" s="4" t="s">
        <v>2282</v>
      </c>
      <c r="AO34" s="4"/>
      <c r="AP34" s="4"/>
      <c r="AQ34" s="4">
        <v>529.1</v>
      </c>
    </row>
    <row r="35" spans="1:43" s="4" customFormat="1" x14ac:dyDescent="0.25">
      <c r="A35" s="3">
        <v>4604473</v>
      </c>
      <c r="B35" s="30">
        <v>41773</v>
      </c>
      <c r="C35" s="3" t="s">
        <v>560</v>
      </c>
      <c r="D35" s="3">
        <v>10004235</v>
      </c>
      <c r="E35" s="4">
        <v>4533824</v>
      </c>
      <c r="F35" s="3" t="s">
        <v>49</v>
      </c>
      <c r="G35" s="4" t="s">
        <v>733</v>
      </c>
      <c r="H35" s="4" t="s">
        <v>734</v>
      </c>
      <c r="I35" s="5">
        <v>73436</v>
      </c>
      <c r="J35" s="30">
        <v>41774</v>
      </c>
      <c r="K35" s="30">
        <v>41848</v>
      </c>
      <c r="L35" s="3" t="s">
        <v>119</v>
      </c>
      <c r="M35" s="4" t="s">
        <v>734</v>
      </c>
      <c r="N35" s="3" t="s">
        <v>56</v>
      </c>
      <c r="O35" s="3" t="s">
        <v>139</v>
      </c>
      <c r="P35" s="4" t="s">
        <v>140</v>
      </c>
      <c r="Q35" s="3"/>
      <c r="R35" s="3"/>
      <c r="Y35" s="4" t="s">
        <v>737</v>
      </c>
      <c r="Z35" s="4" t="s">
        <v>738</v>
      </c>
      <c r="AA35" s="4" t="s">
        <v>356</v>
      </c>
      <c r="AB35" s="3" t="s">
        <v>739</v>
      </c>
      <c r="AC35" s="3" t="s">
        <v>358</v>
      </c>
      <c r="AD35" s="28">
        <v>41808</v>
      </c>
      <c r="AE35" s="3">
        <v>1000</v>
      </c>
      <c r="AI35" s="4" t="s">
        <v>740</v>
      </c>
      <c r="AJ35" s="4" t="s">
        <v>741</v>
      </c>
      <c r="AK35" s="3" t="s">
        <v>143</v>
      </c>
      <c r="AL35" s="4">
        <v>141735</v>
      </c>
      <c r="AM35" s="5">
        <v>73436</v>
      </c>
      <c r="AN35" s="4" t="s">
        <v>124</v>
      </c>
      <c r="AO35" s="4">
        <v>99</v>
      </c>
      <c r="AP35" s="4">
        <v>80141500</v>
      </c>
      <c r="AQ35" s="5">
        <v>63136</v>
      </c>
    </row>
    <row r="36" spans="1:43" s="4" customFormat="1" x14ac:dyDescent="0.25">
      <c r="A36" s="3">
        <v>4604486</v>
      </c>
      <c r="B36" s="30">
        <v>41780</v>
      </c>
      <c r="C36" s="3" t="s">
        <v>2158</v>
      </c>
      <c r="D36" s="3">
        <v>10004278</v>
      </c>
      <c r="E36" s="4">
        <v>4533837</v>
      </c>
      <c r="F36" s="3" t="s">
        <v>49</v>
      </c>
      <c r="G36" s="4" t="s">
        <v>470</v>
      </c>
      <c r="H36" s="4" t="s">
        <v>2204</v>
      </c>
      <c r="I36" s="5">
        <v>100015</v>
      </c>
      <c r="J36" s="30">
        <v>41780</v>
      </c>
      <c r="K36" s="30">
        <v>41882</v>
      </c>
      <c r="L36" s="3" t="s">
        <v>119</v>
      </c>
      <c r="M36" s="4" t="s">
        <v>2204</v>
      </c>
      <c r="N36" s="3" t="s">
        <v>56</v>
      </c>
      <c r="O36" s="3" t="s">
        <v>139</v>
      </c>
      <c r="P36" s="4" t="s">
        <v>282</v>
      </c>
      <c r="Q36" s="3"/>
      <c r="R36" s="3"/>
      <c r="Y36" s="4" t="s">
        <v>307</v>
      </c>
      <c r="Z36" s="4" t="s">
        <v>307</v>
      </c>
      <c r="AA36" s="4" t="s">
        <v>356</v>
      </c>
      <c r="AB36" s="3" t="s">
        <v>473</v>
      </c>
      <c r="AC36" s="3" t="s">
        <v>358</v>
      </c>
      <c r="AD36" s="28">
        <v>42173</v>
      </c>
      <c r="AE36" s="3">
        <v>1000</v>
      </c>
      <c r="AI36" s="4" t="s">
        <v>309</v>
      </c>
      <c r="AJ36" s="4" t="s">
        <v>309</v>
      </c>
      <c r="AK36" s="3" t="s">
        <v>286</v>
      </c>
      <c r="AL36" s="4">
        <v>41344</v>
      </c>
      <c r="AM36" s="5">
        <v>100015</v>
      </c>
      <c r="AN36" s="4" t="s">
        <v>124</v>
      </c>
      <c r="AO36" s="4">
        <v>98</v>
      </c>
      <c r="AP36" s="4">
        <v>80100000</v>
      </c>
      <c r="AQ36" s="5">
        <v>41530.19</v>
      </c>
    </row>
    <row r="37" spans="1:43" s="4" customFormat="1" x14ac:dyDescent="0.25">
      <c r="A37" s="3">
        <v>4604565</v>
      </c>
      <c r="B37" s="30">
        <v>41780</v>
      </c>
      <c r="C37" s="3" t="s">
        <v>1278</v>
      </c>
      <c r="D37" s="3">
        <v>10004228</v>
      </c>
      <c r="E37" s="4">
        <v>4533916</v>
      </c>
      <c r="F37" s="3" t="s">
        <v>49</v>
      </c>
      <c r="G37" s="4" t="s">
        <v>1174</v>
      </c>
      <c r="H37" s="4" t="s">
        <v>1411</v>
      </c>
      <c r="I37" s="5">
        <v>85000</v>
      </c>
      <c r="J37" s="30">
        <v>41774</v>
      </c>
      <c r="K37" s="30">
        <v>41851</v>
      </c>
      <c r="L37" s="3" t="s">
        <v>119</v>
      </c>
      <c r="M37" s="4" t="s">
        <v>1411</v>
      </c>
      <c r="N37" s="3" t="s">
        <v>56</v>
      </c>
      <c r="O37" s="3" t="s">
        <v>139</v>
      </c>
      <c r="P37" s="4" t="s">
        <v>282</v>
      </c>
      <c r="Q37" s="3"/>
      <c r="R37" s="3"/>
      <c r="Y37" s="4" t="s">
        <v>1344</v>
      </c>
      <c r="Z37" s="4" t="s">
        <v>1344</v>
      </c>
      <c r="AA37" s="4" t="s">
        <v>754</v>
      </c>
      <c r="AB37" s="3" t="s">
        <v>1177</v>
      </c>
      <c r="AC37" s="3" t="s">
        <v>756</v>
      </c>
      <c r="AD37" s="28">
        <v>41816</v>
      </c>
      <c r="AE37" s="3">
        <v>1000</v>
      </c>
      <c r="AI37" s="4" t="s">
        <v>1346</v>
      </c>
      <c r="AJ37" s="4" t="s">
        <v>1346</v>
      </c>
      <c r="AK37" s="3" t="s">
        <v>286</v>
      </c>
      <c r="AL37" s="4">
        <v>42811</v>
      </c>
      <c r="AM37" s="5">
        <v>85000</v>
      </c>
      <c r="AN37" s="4" t="s">
        <v>124</v>
      </c>
      <c r="AO37" s="4">
        <v>99</v>
      </c>
      <c r="AP37" s="4">
        <v>84111500</v>
      </c>
      <c r="AQ37" s="5">
        <v>80000</v>
      </c>
    </row>
    <row r="38" spans="1:43" s="4" customFormat="1" x14ac:dyDescent="0.25">
      <c r="A38" s="3">
        <v>4604531</v>
      </c>
      <c r="B38" s="30">
        <v>41781</v>
      </c>
      <c r="C38" s="3" t="s">
        <v>2342</v>
      </c>
      <c r="D38" s="3">
        <v>10004321</v>
      </c>
      <c r="E38" s="4">
        <v>4533882</v>
      </c>
      <c r="F38" s="3" t="s">
        <v>49</v>
      </c>
      <c r="G38" s="4" t="s">
        <v>2300</v>
      </c>
      <c r="H38" s="4" t="s">
        <v>2369</v>
      </c>
      <c r="I38" s="5">
        <v>75000</v>
      </c>
      <c r="J38" s="30">
        <v>41781</v>
      </c>
      <c r="K38" s="30">
        <v>42004</v>
      </c>
      <c r="L38" s="3" t="s">
        <v>1046</v>
      </c>
      <c r="M38" s="4" t="s">
        <v>2370</v>
      </c>
      <c r="N38" s="3" t="s">
        <v>25</v>
      </c>
      <c r="O38" s="3" t="s">
        <v>139</v>
      </c>
      <c r="P38" s="4" t="s">
        <v>282</v>
      </c>
      <c r="Q38" s="3" t="s">
        <v>139</v>
      </c>
      <c r="R38" s="3" t="s">
        <v>215</v>
      </c>
      <c r="S38" s="4" t="s">
        <v>216</v>
      </c>
      <c r="U38" s="4" t="s">
        <v>139</v>
      </c>
      <c r="V38" s="4" t="s">
        <v>427</v>
      </c>
      <c r="W38" s="4" t="s">
        <v>428</v>
      </c>
      <c r="Y38" s="4" t="s">
        <v>2277</v>
      </c>
      <c r="Z38" s="4" t="s">
        <v>2293</v>
      </c>
      <c r="AB38" s="3"/>
      <c r="AC38" s="3"/>
      <c r="AD38" s="28">
        <v>41857</v>
      </c>
      <c r="AE38" s="3">
        <v>1000</v>
      </c>
      <c r="AI38" s="4" t="s">
        <v>2281</v>
      </c>
      <c r="AJ38" s="4" t="s">
        <v>2298</v>
      </c>
      <c r="AK38" s="3" t="s">
        <v>286</v>
      </c>
      <c r="AL38" s="4">
        <v>30080</v>
      </c>
      <c r="AM38" s="5">
        <v>75000</v>
      </c>
      <c r="AN38" s="4" t="s">
        <v>2282</v>
      </c>
      <c r="AO38" s="4">
        <v>99</v>
      </c>
      <c r="AP38" s="4">
        <v>80120000</v>
      </c>
      <c r="AQ38" s="5">
        <v>26092.31</v>
      </c>
    </row>
    <row r="39" spans="1:43" s="4" customFormat="1" x14ac:dyDescent="0.25">
      <c r="A39" s="3">
        <v>4604494</v>
      </c>
      <c r="B39" s="30">
        <v>41782</v>
      </c>
      <c r="C39" s="3" t="s">
        <v>2342</v>
      </c>
      <c r="D39" s="3">
        <v>10004286</v>
      </c>
      <c r="E39" s="4">
        <v>4533845</v>
      </c>
      <c r="F39" s="3" t="s">
        <v>49</v>
      </c>
      <c r="G39" s="4" t="s">
        <v>2364</v>
      </c>
      <c r="H39" s="4" t="s">
        <v>2365</v>
      </c>
      <c r="I39" s="5">
        <v>302579.42</v>
      </c>
      <c r="J39" s="30">
        <v>41782</v>
      </c>
      <c r="K39" s="30">
        <v>42185</v>
      </c>
      <c r="L39" s="3" t="s">
        <v>1046</v>
      </c>
      <c r="M39" s="4" t="s">
        <v>2366</v>
      </c>
      <c r="N39" s="3" t="s">
        <v>25</v>
      </c>
      <c r="O39" s="3" t="s">
        <v>139</v>
      </c>
      <c r="P39" s="4" t="s">
        <v>282</v>
      </c>
      <c r="Q39" s="3"/>
      <c r="R39" s="3"/>
      <c r="U39" s="4" t="s">
        <v>139</v>
      </c>
      <c r="V39" s="4" t="s">
        <v>427</v>
      </c>
      <c r="W39" s="4" t="s">
        <v>428</v>
      </c>
      <c r="Y39" s="4" t="s">
        <v>2286</v>
      </c>
      <c r="Z39" s="4" t="s">
        <v>2293</v>
      </c>
      <c r="AB39" s="3"/>
      <c r="AC39" s="3"/>
      <c r="AD39" s="28">
        <v>41995</v>
      </c>
      <c r="AE39" s="3">
        <v>1000</v>
      </c>
      <c r="AI39" s="4" t="s">
        <v>2288</v>
      </c>
      <c r="AJ39" s="4" t="s">
        <v>2298</v>
      </c>
      <c r="AK39" s="3" t="s">
        <v>286</v>
      </c>
      <c r="AL39" s="4">
        <v>141746</v>
      </c>
      <c r="AM39" s="5">
        <v>302579.42</v>
      </c>
      <c r="AN39" s="4" t="s">
        <v>2282</v>
      </c>
      <c r="AO39" s="4">
        <v>97</v>
      </c>
      <c r="AP39" s="4">
        <v>80120000</v>
      </c>
      <c r="AQ39" s="5">
        <v>113929.42</v>
      </c>
    </row>
    <row r="40" spans="1:43" s="4" customFormat="1" x14ac:dyDescent="0.25">
      <c r="A40" s="3">
        <v>4604502</v>
      </c>
      <c r="B40" s="30">
        <v>41792</v>
      </c>
      <c r="C40" s="3" t="s">
        <v>2342</v>
      </c>
      <c r="D40" s="3">
        <v>10004294</v>
      </c>
      <c r="E40" s="4">
        <v>4533853</v>
      </c>
      <c r="F40" s="3" t="s">
        <v>49</v>
      </c>
      <c r="G40" s="4" t="s">
        <v>2367</v>
      </c>
      <c r="H40" s="4" t="s">
        <v>2301</v>
      </c>
      <c r="I40" s="5">
        <v>67648</v>
      </c>
      <c r="J40" s="30">
        <v>41792</v>
      </c>
      <c r="K40" s="30">
        <v>42185</v>
      </c>
      <c r="L40" s="3" t="s">
        <v>1046</v>
      </c>
      <c r="M40" s="4" t="s">
        <v>2368</v>
      </c>
      <c r="N40" s="3" t="s">
        <v>25</v>
      </c>
      <c r="O40" s="3" t="s">
        <v>139</v>
      </c>
      <c r="P40" s="4" t="s">
        <v>282</v>
      </c>
      <c r="Q40" s="3"/>
      <c r="R40" s="3"/>
      <c r="U40" s="4" t="s">
        <v>139</v>
      </c>
      <c r="V40" s="4" t="s">
        <v>427</v>
      </c>
      <c r="W40" s="4" t="s">
        <v>428</v>
      </c>
      <c r="Y40" s="4" t="s">
        <v>2286</v>
      </c>
      <c r="Z40" s="4" t="s">
        <v>2293</v>
      </c>
      <c r="AB40" s="3"/>
      <c r="AC40" s="3"/>
      <c r="AD40" s="28">
        <v>42075</v>
      </c>
      <c r="AE40" s="3">
        <v>1000</v>
      </c>
      <c r="AI40" s="4" t="s">
        <v>2288</v>
      </c>
      <c r="AJ40" s="4" t="s">
        <v>2298</v>
      </c>
      <c r="AK40" s="3" t="s">
        <v>286</v>
      </c>
      <c r="AL40" s="4">
        <v>49623</v>
      </c>
      <c r="AM40" s="5">
        <v>67648</v>
      </c>
      <c r="AN40" s="4" t="s">
        <v>2282</v>
      </c>
      <c r="AO40" s="4">
        <v>98</v>
      </c>
      <c r="AP40" s="4">
        <v>80120000</v>
      </c>
      <c r="AQ40" s="5">
        <v>24596</v>
      </c>
    </row>
    <row r="41" spans="1:43" s="4" customFormat="1" x14ac:dyDescent="0.25">
      <c r="A41" s="3">
        <v>4604577</v>
      </c>
      <c r="B41" s="30">
        <v>41806</v>
      </c>
      <c r="C41" s="3" t="s">
        <v>2342</v>
      </c>
      <c r="D41" s="3">
        <v>10004357</v>
      </c>
      <c r="E41" s="4">
        <v>4533928</v>
      </c>
      <c r="F41" s="3" t="s">
        <v>49</v>
      </c>
      <c r="G41" s="4" t="s">
        <v>2274</v>
      </c>
      <c r="H41" s="4" t="s">
        <v>2301</v>
      </c>
      <c r="I41" s="5">
        <v>195800</v>
      </c>
      <c r="J41" s="30">
        <v>41806</v>
      </c>
      <c r="K41" s="30">
        <v>42004</v>
      </c>
      <c r="L41" s="3" t="s">
        <v>1046</v>
      </c>
      <c r="M41" s="4" t="s">
        <v>2371</v>
      </c>
      <c r="N41" s="3" t="s">
        <v>25</v>
      </c>
      <c r="O41" s="3" t="s">
        <v>139</v>
      </c>
      <c r="P41" s="4" t="s">
        <v>2207</v>
      </c>
      <c r="Q41" s="3" t="s">
        <v>139</v>
      </c>
      <c r="R41" s="3" t="s">
        <v>215</v>
      </c>
      <c r="S41" s="4" t="s">
        <v>216</v>
      </c>
      <c r="U41" s="4" t="s">
        <v>139</v>
      </c>
      <c r="V41" s="4" t="s">
        <v>427</v>
      </c>
      <c r="W41" s="4" t="s">
        <v>428</v>
      </c>
      <c r="Y41" s="4" t="s">
        <v>2293</v>
      </c>
      <c r="Z41" s="4" t="s">
        <v>2293</v>
      </c>
      <c r="AB41" s="3"/>
      <c r="AC41" s="3"/>
      <c r="AD41" s="28">
        <v>41820</v>
      </c>
      <c r="AE41" s="3">
        <v>1000</v>
      </c>
      <c r="AI41" s="4" t="s">
        <v>2298</v>
      </c>
      <c r="AJ41" s="4" t="s">
        <v>2298</v>
      </c>
      <c r="AK41" s="3" t="s">
        <v>2210</v>
      </c>
      <c r="AL41" s="4">
        <v>48301</v>
      </c>
      <c r="AM41" s="5">
        <v>195800</v>
      </c>
      <c r="AN41" s="4" t="s">
        <v>2282</v>
      </c>
      <c r="AO41" s="4">
        <v>99</v>
      </c>
      <c r="AP41" s="4">
        <v>80120000</v>
      </c>
      <c r="AQ41" s="5">
        <v>127262.96</v>
      </c>
    </row>
    <row r="42" spans="1:43" s="4" customFormat="1" x14ac:dyDescent="0.25">
      <c r="A42" s="3">
        <v>4604539</v>
      </c>
      <c r="B42" s="30">
        <v>41808</v>
      </c>
      <c r="C42" s="3" t="s">
        <v>1278</v>
      </c>
      <c r="D42" s="3">
        <v>10004326</v>
      </c>
      <c r="E42" s="4">
        <v>4533890</v>
      </c>
      <c r="F42" s="3" t="s">
        <v>49</v>
      </c>
      <c r="G42" s="4" t="s">
        <v>1388</v>
      </c>
      <c r="H42" s="4" t="s">
        <v>1389</v>
      </c>
      <c r="I42" s="5">
        <v>25200</v>
      </c>
      <c r="J42" s="30">
        <v>41808</v>
      </c>
      <c r="K42" s="30">
        <v>41995</v>
      </c>
      <c r="L42" s="3" t="s">
        <v>119</v>
      </c>
      <c r="M42" s="4" t="s">
        <v>1389</v>
      </c>
      <c r="N42" s="3" t="s">
        <v>56</v>
      </c>
      <c r="O42" s="3" t="s">
        <v>139</v>
      </c>
      <c r="P42" s="4" t="s">
        <v>282</v>
      </c>
      <c r="Q42" s="3"/>
      <c r="R42" s="3"/>
      <c r="Y42" s="4" t="s">
        <v>1200</v>
      </c>
      <c r="Z42" s="4" t="s">
        <v>1200</v>
      </c>
      <c r="AA42" s="4" t="s">
        <v>1284</v>
      </c>
      <c r="AB42" s="3" t="s">
        <v>1390</v>
      </c>
      <c r="AC42" s="3" t="s">
        <v>1286</v>
      </c>
      <c r="AD42" s="28">
        <v>41971</v>
      </c>
      <c r="AE42" s="3">
        <v>1000</v>
      </c>
      <c r="AI42" s="4" t="s">
        <v>1202</v>
      </c>
      <c r="AJ42" s="4" t="s">
        <v>1202</v>
      </c>
      <c r="AK42" s="3" t="s">
        <v>286</v>
      </c>
      <c r="AL42" s="4">
        <v>141312</v>
      </c>
      <c r="AM42" s="5">
        <v>25200</v>
      </c>
      <c r="AN42" s="4" t="s">
        <v>124</v>
      </c>
      <c r="AO42" s="4">
        <v>99</v>
      </c>
      <c r="AP42" s="4">
        <v>80101510</v>
      </c>
      <c r="AQ42" s="5">
        <v>12600</v>
      </c>
    </row>
    <row r="43" spans="1:43" s="4" customFormat="1" x14ac:dyDescent="0.25">
      <c r="A43" s="3">
        <v>4604456</v>
      </c>
      <c r="B43" s="30">
        <v>41820</v>
      </c>
      <c r="C43" s="3" t="s">
        <v>2158</v>
      </c>
      <c r="D43" s="3">
        <v>10004224</v>
      </c>
      <c r="E43" s="4">
        <v>4533807</v>
      </c>
      <c r="F43" s="3" t="s">
        <v>49</v>
      </c>
      <c r="G43" s="4" t="s">
        <v>2202</v>
      </c>
      <c r="H43" s="4" t="s">
        <v>2197</v>
      </c>
      <c r="I43" s="5">
        <v>22500</v>
      </c>
      <c r="J43" s="30">
        <v>41704</v>
      </c>
      <c r="K43" s="30">
        <v>41851</v>
      </c>
      <c r="L43" s="3" t="s">
        <v>196</v>
      </c>
      <c r="M43" s="4" t="s">
        <v>2197</v>
      </c>
      <c r="N43" s="3" t="s">
        <v>25</v>
      </c>
      <c r="O43" s="3" t="s">
        <v>139</v>
      </c>
      <c r="P43" s="4" t="s">
        <v>140</v>
      </c>
      <c r="Q43" s="3"/>
      <c r="R43" s="3"/>
      <c r="Y43" s="4" t="s">
        <v>307</v>
      </c>
      <c r="Z43" s="4" t="s">
        <v>307</v>
      </c>
      <c r="AB43" s="3"/>
      <c r="AC43" s="3"/>
      <c r="AD43" s="28">
        <v>41871</v>
      </c>
      <c r="AE43" s="3">
        <v>1000</v>
      </c>
      <c r="AI43" s="4" t="s">
        <v>309</v>
      </c>
      <c r="AJ43" s="4" t="s">
        <v>309</v>
      </c>
      <c r="AK43" s="3" t="s">
        <v>143</v>
      </c>
      <c r="AL43" s="4">
        <v>141726</v>
      </c>
      <c r="AM43" s="5">
        <v>22500</v>
      </c>
      <c r="AN43" s="4" t="s">
        <v>124</v>
      </c>
      <c r="AO43" s="4">
        <v>99</v>
      </c>
      <c r="AP43" s="4">
        <v>80100000</v>
      </c>
      <c r="AQ43" s="5">
        <v>5600</v>
      </c>
    </row>
    <row r="44" spans="1:43" s="4" customFormat="1" x14ac:dyDescent="0.25">
      <c r="A44" s="3">
        <v>4604466</v>
      </c>
      <c r="B44" s="30">
        <v>41820</v>
      </c>
      <c r="C44" s="3" t="s">
        <v>2158</v>
      </c>
      <c r="D44" s="3">
        <v>10004224</v>
      </c>
      <c r="E44" s="4">
        <v>4533817</v>
      </c>
      <c r="F44" s="3" t="s">
        <v>49</v>
      </c>
      <c r="G44" s="4" t="s">
        <v>2203</v>
      </c>
      <c r="H44" s="4" t="s">
        <v>2197</v>
      </c>
      <c r="I44" s="5">
        <v>22500</v>
      </c>
      <c r="J44" s="30">
        <v>41704</v>
      </c>
      <c r="K44" s="30">
        <v>41851</v>
      </c>
      <c r="L44" s="3" t="s">
        <v>196</v>
      </c>
      <c r="M44" s="4" t="s">
        <v>2197</v>
      </c>
      <c r="N44" s="3" t="s">
        <v>25</v>
      </c>
      <c r="O44" s="3" t="s">
        <v>139</v>
      </c>
      <c r="P44" s="4" t="s">
        <v>140</v>
      </c>
      <c r="Q44" s="3"/>
      <c r="R44" s="3"/>
      <c r="Y44" s="4" t="s">
        <v>307</v>
      </c>
      <c r="Z44" s="4" t="s">
        <v>307</v>
      </c>
      <c r="AB44" s="3"/>
      <c r="AC44" s="3"/>
      <c r="AD44" s="28">
        <v>41871</v>
      </c>
      <c r="AE44" s="3">
        <v>1000</v>
      </c>
      <c r="AI44" s="4" t="s">
        <v>309</v>
      </c>
      <c r="AJ44" s="4" t="s">
        <v>309</v>
      </c>
      <c r="AK44" s="3" t="s">
        <v>143</v>
      </c>
      <c r="AL44" s="4">
        <v>141732</v>
      </c>
      <c r="AM44" s="5">
        <v>22500</v>
      </c>
      <c r="AN44" s="4" t="s">
        <v>124</v>
      </c>
      <c r="AO44" s="4">
        <v>99</v>
      </c>
      <c r="AP44" s="4">
        <v>80100000</v>
      </c>
      <c r="AQ44" s="5">
        <v>1925</v>
      </c>
    </row>
    <row r="45" spans="1:43" s="4" customFormat="1" x14ac:dyDescent="0.25">
      <c r="A45" s="3">
        <v>4604593</v>
      </c>
      <c r="B45" s="30">
        <v>41820</v>
      </c>
      <c r="C45" s="3" t="s">
        <v>2158</v>
      </c>
      <c r="D45" s="3">
        <v>10004373</v>
      </c>
      <c r="E45" s="4">
        <v>4533944</v>
      </c>
      <c r="F45" s="3" t="s">
        <v>49</v>
      </c>
      <c r="G45" s="4" t="s">
        <v>2205</v>
      </c>
      <c r="H45" s="4" t="s">
        <v>2206</v>
      </c>
      <c r="I45" s="34">
        <v>10000</v>
      </c>
      <c r="J45" s="30">
        <v>41820</v>
      </c>
      <c r="K45" s="30">
        <v>41843</v>
      </c>
      <c r="L45" s="3" t="s">
        <v>196</v>
      </c>
      <c r="M45" s="4" t="s">
        <v>2206</v>
      </c>
      <c r="N45" s="3" t="s">
        <v>25</v>
      </c>
      <c r="O45" s="3" t="s">
        <v>139</v>
      </c>
      <c r="P45" s="4" t="s">
        <v>2207</v>
      </c>
      <c r="Q45" s="3"/>
      <c r="R45" s="3"/>
      <c r="Y45" s="4" t="s">
        <v>2208</v>
      </c>
      <c r="Z45" s="4" t="s">
        <v>2208</v>
      </c>
      <c r="AB45" s="3"/>
      <c r="AC45" s="3"/>
      <c r="AD45" s="28">
        <v>41851</v>
      </c>
      <c r="AE45" s="3">
        <v>1000</v>
      </c>
      <c r="AI45" s="4" t="s">
        <v>2209</v>
      </c>
      <c r="AJ45" s="4" t="s">
        <v>2209</v>
      </c>
      <c r="AK45" s="3" t="s">
        <v>2210</v>
      </c>
      <c r="AL45" s="4">
        <v>141765</v>
      </c>
      <c r="AM45" s="5">
        <v>10000</v>
      </c>
      <c r="AN45" s="4" t="s">
        <v>124</v>
      </c>
      <c r="AO45" s="4">
        <v>99</v>
      </c>
      <c r="AP45" s="4">
        <v>80101505</v>
      </c>
      <c r="AQ45" s="34">
        <v>10000</v>
      </c>
    </row>
    <row r="46" spans="1:43" s="4" customFormat="1" x14ac:dyDescent="0.25">
      <c r="A46" s="3"/>
      <c r="B46" s="30"/>
      <c r="C46" s="3"/>
      <c r="D46" s="3"/>
      <c r="F46" s="3"/>
      <c r="I46" s="27">
        <f>SUM(I4:I45)</f>
        <v>9848655.7100000009</v>
      </c>
      <c r="J46" s="30"/>
      <c r="K46" s="30"/>
      <c r="L46" s="3"/>
      <c r="N46" s="3"/>
      <c r="O46" s="3"/>
      <c r="Q46" s="3"/>
      <c r="R46" s="3"/>
      <c r="AB46" s="3"/>
      <c r="AC46" s="3"/>
      <c r="AD46" s="28"/>
      <c r="AE46" s="3"/>
      <c r="AK46" s="3"/>
      <c r="AM46" s="5"/>
      <c r="AQ46" s="27">
        <f>SUM(AQ4:AQ45)</f>
        <v>4243658.37</v>
      </c>
    </row>
    <row r="47" spans="1:43" s="1" customFormat="1" ht="30" customHeight="1" x14ac:dyDescent="0.3">
      <c r="A47" s="50" t="s">
        <v>2467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</row>
    <row r="48" spans="1:43" s="4" customFormat="1" x14ac:dyDescent="0.25">
      <c r="A48" s="3">
        <v>4604655</v>
      </c>
      <c r="B48" s="30">
        <v>41828</v>
      </c>
      <c r="C48" s="3" t="s">
        <v>2342</v>
      </c>
      <c r="D48" s="3">
        <v>10004450</v>
      </c>
      <c r="E48" s="4">
        <v>4534006</v>
      </c>
      <c r="F48" s="3" t="s">
        <v>49</v>
      </c>
      <c r="G48" s="4" t="s">
        <v>2300</v>
      </c>
      <c r="H48" s="4" t="s">
        <v>2380</v>
      </c>
      <c r="I48" s="5">
        <v>25824.2</v>
      </c>
      <c r="J48" s="30">
        <v>41828</v>
      </c>
      <c r="K48" s="30">
        <v>42004</v>
      </c>
      <c r="L48" s="3" t="s">
        <v>1046</v>
      </c>
      <c r="M48" s="4" t="s">
        <v>2381</v>
      </c>
      <c r="N48" s="3" t="s">
        <v>25</v>
      </c>
      <c r="O48" s="3" t="s">
        <v>139</v>
      </c>
      <c r="P48" s="4" t="s">
        <v>282</v>
      </c>
      <c r="Q48" s="3" t="s">
        <v>139</v>
      </c>
      <c r="R48" s="3" t="s">
        <v>215</v>
      </c>
      <c r="S48" s="4" t="s">
        <v>216</v>
      </c>
      <c r="U48" s="4" t="s">
        <v>139</v>
      </c>
      <c r="V48" s="4" t="s">
        <v>427</v>
      </c>
      <c r="W48" s="4" t="s">
        <v>428</v>
      </c>
      <c r="Y48" s="4" t="s">
        <v>2277</v>
      </c>
      <c r="Z48" s="4" t="s">
        <v>2293</v>
      </c>
      <c r="AB48" s="3"/>
      <c r="AC48" s="3"/>
      <c r="AD48" s="28">
        <v>41897</v>
      </c>
      <c r="AE48" s="3">
        <v>1000</v>
      </c>
      <c r="AI48" s="4" t="s">
        <v>2281</v>
      </c>
      <c r="AJ48" s="4" t="s">
        <v>2298</v>
      </c>
      <c r="AK48" s="3" t="s">
        <v>286</v>
      </c>
      <c r="AL48" s="4">
        <v>30080</v>
      </c>
      <c r="AM48" s="5">
        <v>25824.2</v>
      </c>
      <c r="AN48" s="4" t="s">
        <v>2282</v>
      </c>
      <c r="AO48" s="4">
        <v>98</v>
      </c>
      <c r="AP48" s="4">
        <v>80120000</v>
      </c>
      <c r="AQ48" s="5">
        <v>14162.5</v>
      </c>
    </row>
    <row r="49" spans="1:43" s="4" customFormat="1" x14ac:dyDescent="0.25">
      <c r="A49" s="3">
        <v>4604319</v>
      </c>
      <c r="B49" s="30">
        <v>41831</v>
      </c>
      <c r="C49" s="3" t="s">
        <v>2158</v>
      </c>
      <c r="D49" s="3">
        <v>10004087</v>
      </c>
      <c r="E49" s="4">
        <v>4533670</v>
      </c>
      <c r="F49" s="3" t="s">
        <v>49</v>
      </c>
      <c r="G49" s="4" t="s">
        <v>2159</v>
      </c>
      <c r="H49" s="4" t="s">
        <v>2160</v>
      </c>
      <c r="I49" s="5">
        <v>5800000</v>
      </c>
      <c r="J49" s="30">
        <v>41626</v>
      </c>
      <c r="K49" s="30">
        <v>42216</v>
      </c>
      <c r="L49" s="3" t="s">
        <v>119</v>
      </c>
      <c r="M49" s="4" t="s">
        <v>2161</v>
      </c>
      <c r="N49" s="3" t="s">
        <v>25</v>
      </c>
      <c r="O49" s="3" t="s">
        <v>139</v>
      </c>
      <c r="P49" s="4" t="s">
        <v>282</v>
      </c>
      <c r="Q49" s="3"/>
      <c r="R49" s="3"/>
      <c r="U49" s="4" t="s">
        <v>139</v>
      </c>
      <c r="V49" s="4" t="s">
        <v>119</v>
      </c>
      <c r="W49" s="4" t="s">
        <v>217</v>
      </c>
      <c r="X49" s="4" t="s">
        <v>2162</v>
      </c>
      <c r="Y49" s="4" t="s">
        <v>2163</v>
      </c>
      <c r="Z49" s="4" t="s">
        <v>2164</v>
      </c>
      <c r="AA49" s="4" t="s">
        <v>2165</v>
      </c>
      <c r="AB49" s="3"/>
      <c r="AC49" s="3"/>
      <c r="AD49" s="28">
        <v>41831</v>
      </c>
      <c r="AE49" s="3">
        <v>1000</v>
      </c>
      <c r="AI49" s="4" t="s">
        <v>2166</v>
      </c>
      <c r="AJ49" s="4" t="s">
        <v>2167</v>
      </c>
      <c r="AK49" s="3" t="s">
        <v>286</v>
      </c>
      <c r="AL49" s="4">
        <v>141658</v>
      </c>
      <c r="AM49" s="5">
        <v>5800000</v>
      </c>
      <c r="AN49" s="4" t="s">
        <v>124</v>
      </c>
      <c r="AO49" s="4">
        <v>98</v>
      </c>
      <c r="AP49" s="4">
        <v>80101504</v>
      </c>
      <c r="AQ49" s="5">
        <v>1821428.56</v>
      </c>
    </row>
    <row r="50" spans="1:43" s="4" customFormat="1" x14ac:dyDescent="0.25">
      <c r="A50" s="3">
        <v>4604646</v>
      </c>
      <c r="B50" s="30">
        <v>41844</v>
      </c>
      <c r="C50" s="3" t="s">
        <v>2158</v>
      </c>
      <c r="D50" s="3">
        <v>10004433</v>
      </c>
      <c r="E50" s="4">
        <v>4533997</v>
      </c>
      <c r="F50" s="3" t="s">
        <v>49</v>
      </c>
      <c r="G50" s="4" t="s">
        <v>2211</v>
      </c>
      <c r="H50" s="4" t="s">
        <v>2212</v>
      </c>
      <c r="I50" s="5">
        <v>75086.06</v>
      </c>
      <c r="J50" s="30">
        <v>41844</v>
      </c>
      <c r="K50" s="30">
        <v>41912</v>
      </c>
      <c r="L50" s="3" t="s">
        <v>196</v>
      </c>
      <c r="M50" s="4" t="s">
        <v>2213</v>
      </c>
      <c r="N50" s="3" t="s">
        <v>25</v>
      </c>
      <c r="O50" s="3" t="s">
        <v>139</v>
      </c>
      <c r="P50" s="4" t="s">
        <v>282</v>
      </c>
      <c r="Q50" s="3"/>
      <c r="R50" s="3"/>
      <c r="U50" s="4" t="s">
        <v>139</v>
      </c>
      <c r="V50" s="4" t="s">
        <v>119</v>
      </c>
      <c r="W50" s="4" t="s">
        <v>217</v>
      </c>
      <c r="X50" s="4" t="s">
        <v>2214</v>
      </c>
      <c r="Y50" s="4" t="s">
        <v>2215</v>
      </c>
      <c r="Z50" s="4" t="s">
        <v>2215</v>
      </c>
      <c r="AB50" s="3"/>
      <c r="AC50" s="3"/>
      <c r="AD50" s="28">
        <v>41927</v>
      </c>
      <c r="AE50" s="3">
        <v>1000</v>
      </c>
      <c r="AI50" s="4" t="s">
        <v>2216</v>
      </c>
      <c r="AJ50" s="4" t="s">
        <v>2216</v>
      </c>
      <c r="AK50" s="3" t="s">
        <v>286</v>
      </c>
      <c r="AL50" s="4">
        <v>141778</v>
      </c>
      <c r="AM50" s="5">
        <v>75086.06</v>
      </c>
      <c r="AN50" s="4" t="s">
        <v>124</v>
      </c>
      <c r="AO50" s="4">
        <v>98</v>
      </c>
      <c r="AP50" s="4">
        <v>80100000</v>
      </c>
      <c r="AQ50" s="5">
        <v>75086.06</v>
      </c>
    </row>
    <row r="51" spans="1:43" s="4" customFormat="1" x14ac:dyDescent="0.25">
      <c r="A51" s="3">
        <v>4604762</v>
      </c>
      <c r="B51" s="30">
        <v>41844</v>
      </c>
      <c r="C51" s="3" t="s">
        <v>2158</v>
      </c>
      <c r="D51" s="3">
        <v>10004433</v>
      </c>
      <c r="E51" s="4">
        <v>4534113</v>
      </c>
      <c r="F51" s="3" t="s">
        <v>49</v>
      </c>
      <c r="G51" s="4" t="s">
        <v>2225</v>
      </c>
      <c r="H51" s="4" t="s">
        <v>2219</v>
      </c>
      <c r="I51" s="5">
        <v>90599.34</v>
      </c>
      <c r="J51" s="30">
        <v>41844</v>
      </c>
      <c r="K51" s="30">
        <v>41941</v>
      </c>
      <c r="L51" s="3" t="s">
        <v>196</v>
      </c>
      <c r="M51" s="4" t="s">
        <v>2213</v>
      </c>
      <c r="N51" s="3" t="s">
        <v>25</v>
      </c>
      <c r="O51" s="3" t="s">
        <v>139</v>
      </c>
      <c r="P51" s="4" t="s">
        <v>282</v>
      </c>
      <c r="Q51" s="3"/>
      <c r="R51" s="3"/>
      <c r="U51" s="4" t="s">
        <v>139</v>
      </c>
      <c r="V51" s="4" t="s">
        <v>119</v>
      </c>
      <c r="W51" s="4" t="s">
        <v>217</v>
      </c>
      <c r="X51" s="4" t="s">
        <v>2226</v>
      </c>
      <c r="Y51" s="4" t="s">
        <v>2223</v>
      </c>
      <c r="Z51" s="4" t="s">
        <v>2223</v>
      </c>
      <c r="AB51" s="3"/>
      <c r="AC51" s="3"/>
      <c r="AD51" s="28">
        <v>41942</v>
      </c>
      <c r="AE51" s="3">
        <v>1000</v>
      </c>
      <c r="AI51" s="4" t="s">
        <v>2224</v>
      </c>
      <c r="AJ51" s="4" t="s">
        <v>2224</v>
      </c>
      <c r="AK51" s="3" t="s">
        <v>286</v>
      </c>
      <c r="AL51" s="4">
        <v>141815</v>
      </c>
      <c r="AM51" s="5">
        <v>90599.34</v>
      </c>
      <c r="AN51" s="4" t="s">
        <v>124</v>
      </c>
      <c r="AO51" s="4">
        <v>99</v>
      </c>
      <c r="AQ51" s="5">
        <v>90599.34</v>
      </c>
    </row>
    <row r="52" spans="1:43" s="4" customFormat="1" x14ac:dyDescent="0.25">
      <c r="A52" s="3">
        <v>4604652</v>
      </c>
      <c r="B52" s="30">
        <v>41852</v>
      </c>
      <c r="C52" s="3" t="s">
        <v>255</v>
      </c>
      <c r="D52" s="3">
        <v>10004434</v>
      </c>
      <c r="E52" s="4">
        <v>4534003</v>
      </c>
      <c r="F52" s="3" t="s">
        <v>49</v>
      </c>
      <c r="G52" s="4" t="s">
        <v>279</v>
      </c>
      <c r="H52" s="4" t="s">
        <v>280</v>
      </c>
      <c r="I52" s="5">
        <v>50000</v>
      </c>
      <c r="J52" s="30">
        <v>41852</v>
      </c>
      <c r="K52" s="30">
        <v>41880</v>
      </c>
      <c r="L52" s="3" t="s">
        <v>196</v>
      </c>
      <c r="M52" s="4" t="s">
        <v>281</v>
      </c>
      <c r="N52" s="3" t="s">
        <v>25</v>
      </c>
      <c r="O52" s="3" t="s">
        <v>139</v>
      </c>
      <c r="P52" s="4" t="s">
        <v>282</v>
      </c>
      <c r="Q52" s="3"/>
      <c r="R52" s="3"/>
      <c r="Y52" s="4" t="s">
        <v>283</v>
      </c>
      <c r="Z52" s="4" t="s">
        <v>283</v>
      </c>
      <c r="AB52" s="3"/>
      <c r="AC52" s="3"/>
      <c r="AD52" s="28">
        <v>41920</v>
      </c>
      <c r="AE52" s="3">
        <v>1000</v>
      </c>
      <c r="AI52" s="4" t="s">
        <v>285</v>
      </c>
      <c r="AJ52" s="4" t="s">
        <v>285</v>
      </c>
      <c r="AK52" s="3" t="s">
        <v>286</v>
      </c>
      <c r="AL52" s="4">
        <v>141759</v>
      </c>
      <c r="AM52" s="5">
        <v>50000</v>
      </c>
      <c r="AN52" s="4" t="s">
        <v>124</v>
      </c>
      <c r="AO52" s="4">
        <v>98</v>
      </c>
      <c r="AP52" s="4">
        <v>80101504</v>
      </c>
      <c r="AQ52" s="5">
        <v>41582.449999999997</v>
      </c>
    </row>
    <row r="53" spans="1:43" s="4" customFormat="1" x14ac:dyDescent="0.25">
      <c r="A53" s="3">
        <v>4604653</v>
      </c>
      <c r="B53" s="30">
        <v>41852</v>
      </c>
      <c r="C53" s="3" t="s">
        <v>2342</v>
      </c>
      <c r="D53" s="3">
        <v>10004448</v>
      </c>
      <c r="E53" s="4">
        <v>4534004</v>
      </c>
      <c r="F53" s="3" t="s">
        <v>49</v>
      </c>
      <c r="G53" s="4" t="s">
        <v>2300</v>
      </c>
      <c r="I53" s="5">
        <v>5000</v>
      </c>
      <c r="J53" s="30">
        <v>41852</v>
      </c>
      <c r="K53" s="30">
        <v>42004</v>
      </c>
      <c r="L53" s="3" t="s">
        <v>1046</v>
      </c>
      <c r="M53" s="4" t="s">
        <v>2375</v>
      </c>
      <c r="N53" s="3" t="s">
        <v>25</v>
      </c>
      <c r="O53" s="3" t="s">
        <v>139</v>
      </c>
      <c r="P53" s="4" t="s">
        <v>282</v>
      </c>
      <c r="Q53" s="3"/>
      <c r="R53" s="3"/>
      <c r="Y53" s="4" t="s">
        <v>2277</v>
      </c>
      <c r="Z53" s="4" t="s">
        <v>2293</v>
      </c>
      <c r="AB53" s="3"/>
      <c r="AC53" s="3"/>
      <c r="AD53" s="28">
        <v>41858</v>
      </c>
      <c r="AE53" s="3">
        <v>1000</v>
      </c>
      <c r="AI53" s="4" t="s">
        <v>2281</v>
      </c>
      <c r="AJ53" s="4" t="s">
        <v>2298</v>
      </c>
      <c r="AK53" s="3" t="s">
        <v>286</v>
      </c>
      <c r="AL53" s="4">
        <v>30080</v>
      </c>
      <c r="AM53" s="5">
        <v>5000</v>
      </c>
      <c r="AN53" s="4" t="s">
        <v>2282</v>
      </c>
      <c r="AQ53" s="5">
        <v>1509.2</v>
      </c>
    </row>
    <row r="54" spans="1:43" s="4" customFormat="1" x14ac:dyDescent="0.25">
      <c r="A54" s="3">
        <v>4604654</v>
      </c>
      <c r="B54" s="30">
        <v>41852</v>
      </c>
      <c r="C54" s="3" t="s">
        <v>2342</v>
      </c>
      <c r="D54" s="3">
        <v>10004449</v>
      </c>
      <c r="E54" s="4">
        <v>4534005</v>
      </c>
      <c r="F54" s="3" t="s">
        <v>49</v>
      </c>
      <c r="G54" s="4" t="s">
        <v>2300</v>
      </c>
      <c r="I54" s="5">
        <v>9000</v>
      </c>
      <c r="J54" s="30">
        <v>41852</v>
      </c>
      <c r="K54" s="30">
        <v>42004</v>
      </c>
      <c r="L54" s="3" t="s">
        <v>1046</v>
      </c>
      <c r="M54" s="4" t="s">
        <v>2377</v>
      </c>
      <c r="N54" s="3" t="s">
        <v>25</v>
      </c>
      <c r="O54" s="3" t="s">
        <v>139</v>
      </c>
      <c r="P54" s="4" t="s">
        <v>282</v>
      </c>
      <c r="Q54" s="3"/>
      <c r="R54" s="3"/>
      <c r="Y54" s="4" t="s">
        <v>2277</v>
      </c>
      <c r="Z54" s="4" t="s">
        <v>2293</v>
      </c>
      <c r="AB54" s="3"/>
      <c r="AC54" s="3"/>
      <c r="AD54" s="28">
        <v>41967</v>
      </c>
      <c r="AE54" s="3">
        <v>1000</v>
      </c>
      <c r="AI54" s="4" t="s">
        <v>2281</v>
      </c>
      <c r="AJ54" s="4" t="s">
        <v>2298</v>
      </c>
      <c r="AK54" s="3" t="s">
        <v>286</v>
      </c>
      <c r="AL54" s="4">
        <v>30080</v>
      </c>
      <c r="AM54" s="5">
        <v>9000</v>
      </c>
      <c r="AN54" s="4" t="s">
        <v>2282</v>
      </c>
      <c r="AQ54" s="5">
        <v>7783.05</v>
      </c>
    </row>
    <row r="55" spans="1:43" s="4" customFormat="1" x14ac:dyDescent="0.25">
      <c r="A55" s="3">
        <v>4604761</v>
      </c>
      <c r="B55" s="30">
        <v>41865</v>
      </c>
      <c r="C55" s="3" t="s">
        <v>2158</v>
      </c>
      <c r="D55" s="3">
        <v>10004474</v>
      </c>
      <c r="E55" s="4">
        <v>4534112</v>
      </c>
      <c r="F55" s="3" t="s">
        <v>49</v>
      </c>
      <c r="G55" s="4" t="s">
        <v>2218</v>
      </c>
      <c r="H55" s="4" t="s">
        <v>2219</v>
      </c>
      <c r="I55" s="5">
        <v>43415.59</v>
      </c>
      <c r="J55" s="30">
        <v>41864</v>
      </c>
      <c r="K55" s="30">
        <v>41941</v>
      </c>
      <c r="L55" s="3" t="s">
        <v>196</v>
      </c>
      <c r="M55" s="4" t="s">
        <v>2221</v>
      </c>
      <c r="N55" s="3" t="s">
        <v>25</v>
      </c>
      <c r="O55" s="3" t="s">
        <v>139</v>
      </c>
      <c r="P55" s="4" t="s">
        <v>282</v>
      </c>
      <c r="Q55" s="3"/>
      <c r="R55" s="3"/>
      <c r="U55" s="4" t="s">
        <v>139</v>
      </c>
      <c r="V55" s="4" t="s">
        <v>119</v>
      </c>
      <c r="W55" s="4" t="s">
        <v>217</v>
      </c>
      <c r="X55" s="4" t="s">
        <v>2222</v>
      </c>
      <c r="Y55" s="4" t="s">
        <v>2223</v>
      </c>
      <c r="Z55" s="4" t="s">
        <v>2223</v>
      </c>
      <c r="AB55" s="3"/>
      <c r="AC55" s="3"/>
      <c r="AD55" s="28">
        <v>41941</v>
      </c>
      <c r="AE55" s="3">
        <v>1000</v>
      </c>
      <c r="AI55" s="4" t="s">
        <v>2224</v>
      </c>
      <c r="AJ55" s="4" t="s">
        <v>2224</v>
      </c>
      <c r="AK55" s="3" t="s">
        <v>286</v>
      </c>
      <c r="AL55" s="4">
        <v>141816</v>
      </c>
      <c r="AM55" s="5">
        <v>43415.59</v>
      </c>
      <c r="AN55" s="4" t="s">
        <v>124</v>
      </c>
      <c r="AO55" s="4">
        <v>99</v>
      </c>
      <c r="AQ55" s="5">
        <v>43415.59</v>
      </c>
    </row>
    <row r="56" spans="1:43" s="4" customFormat="1" x14ac:dyDescent="0.25">
      <c r="A56" s="3">
        <v>4604672</v>
      </c>
      <c r="B56" s="30">
        <v>41871</v>
      </c>
      <c r="C56" s="3" t="s">
        <v>2342</v>
      </c>
      <c r="D56" s="3">
        <v>10004462</v>
      </c>
      <c r="E56" s="4">
        <v>4534023</v>
      </c>
      <c r="F56" s="3" t="s">
        <v>49</v>
      </c>
      <c r="G56" s="4" t="s">
        <v>2372</v>
      </c>
      <c r="H56" s="4" t="s">
        <v>2382</v>
      </c>
      <c r="I56" s="5">
        <v>13500</v>
      </c>
      <c r="J56" s="30">
        <v>41871</v>
      </c>
      <c r="K56" s="30">
        <v>41873</v>
      </c>
      <c r="L56" s="3" t="s">
        <v>196</v>
      </c>
      <c r="M56" s="4" t="s">
        <v>2382</v>
      </c>
      <c r="N56" s="3" t="s">
        <v>25</v>
      </c>
      <c r="O56" s="3" t="s">
        <v>139</v>
      </c>
      <c r="P56" s="4" t="s">
        <v>282</v>
      </c>
      <c r="Q56" s="3"/>
      <c r="R56" s="3"/>
      <c r="Y56" s="4" t="s">
        <v>2277</v>
      </c>
      <c r="Z56" s="4" t="s">
        <v>2293</v>
      </c>
      <c r="AB56" s="3"/>
      <c r="AC56" s="3"/>
      <c r="AD56" s="28">
        <v>42060</v>
      </c>
      <c r="AE56" s="3">
        <v>1000</v>
      </c>
      <c r="AI56" s="4" t="s">
        <v>2281</v>
      </c>
      <c r="AJ56" s="4" t="s">
        <v>2298</v>
      </c>
      <c r="AK56" s="3" t="s">
        <v>286</v>
      </c>
      <c r="AL56" s="4">
        <v>30353</v>
      </c>
      <c r="AM56" s="5">
        <v>13500</v>
      </c>
      <c r="AN56" s="4" t="s">
        <v>124</v>
      </c>
      <c r="AO56" s="4">
        <v>99</v>
      </c>
      <c r="AP56" s="4">
        <v>86000000</v>
      </c>
      <c r="AQ56" s="5">
        <v>13500</v>
      </c>
    </row>
    <row r="57" spans="1:43" s="4" customFormat="1" x14ac:dyDescent="0.25">
      <c r="A57" s="3">
        <v>4604674</v>
      </c>
      <c r="B57" s="30">
        <v>41872</v>
      </c>
      <c r="C57" s="3" t="s">
        <v>2342</v>
      </c>
      <c r="D57" s="3">
        <v>10004470</v>
      </c>
      <c r="E57" s="4">
        <v>4534025</v>
      </c>
      <c r="F57" s="3" t="s">
        <v>49</v>
      </c>
      <c r="G57" s="4" t="s">
        <v>2300</v>
      </c>
      <c r="I57" s="5">
        <v>8000</v>
      </c>
      <c r="J57" s="30">
        <v>41872</v>
      </c>
      <c r="K57" s="30">
        <v>42004</v>
      </c>
      <c r="L57" s="3" t="s">
        <v>1046</v>
      </c>
      <c r="M57" s="4" t="s">
        <v>2383</v>
      </c>
      <c r="N57" s="3" t="s">
        <v>25</v>
      </c>
      <c r="O57" s="3" t="s">
        <v>139</v>
      </c>
      <c r="P57" s="4" t="s">
        <v>282</v>
      </c>
      <c r="Q57" s="3"/>
      <c r="R57" s="3"/>
      <c r="Y57" s="4" t="s">
        <v>2293</v>
      </c>
      <c r="Z57" s="4" t="s">
        <v>2293</v>
      </c>
      <c r="AB57" s="3"/>
      <c r="AC57" s="3"/>
      <c r="AD57" s="28">
        <v>41873</v>
      </c>
      <c r="AE57" s="3">
        <v>1000</v>
      </c>
      <c r="AI57" s="4" t="s">
        <v>2298</v>
      </c>
      <c r="AJ57" s="4" t="s">
        <v>2298</v>
      </c>
      <c r="AK57" s="3" t="s">
        <v>286</v>
      </c>
      <c r="AL57" s="4">
        <v>30080</v>
      </c>
      <c r="AM57" s="5">
        <v>8000</v>
      </c>
      <c r="AN57" s="4" t="s">
        <v>2282</v>
      </c>
      <c r="AQ57" s="4">
        <v>0</v>
      </c>
    </row>
    <row r="58" spans="1:43" s="4" customFormat="1" x14ac:dyDescent="0.25">
      <c r="A58" s="3">
        <v>4604676</v>
      </c>
      <c r="B58" s="30">
        <v>41872</v>
      </c>
      <c r="C58" s="3" t="s">
        <v>2342</v>
      </c>
      <c r="D58" s="3">
        <v>10004473</v>
      </c>
      <c r="E58" s="4">
        <v>4534027</v>
      </c>
      <c r="F58" s="3" t="s">
        <v>49</v>
      </c>
      <c r="G58" s="4" t="s">
        <v>2300</v>
      </c>
      <c r="H58" s="4" t="s">
        <v>2301</v>
      </c>
      <c r="I58" s="5">
        <v>15000</v>
      </c>
      <c r="J58" s="30">
        <v>41872</v>
      </c>
      <c r="K58" s="30">
        <v>42004</v>
      </c>
      <c r="L58" s="3" t="s">
        <v>1046</v>
      </c>
      <c r="M58" s="4" t="s">
        <v>2384</v>
      </c>
      <c r="N58" s="3" t="s">
        <v>25</v>
      </c>
      <c r="O58" s="3" t="s">
        <v>139</v>
      </c>
      <c r="P58" s="4" t="s">
        <v>282</v>
      </c>
      <c r="Q58" s="3" t="s">
        <v>139</v>
      </c>
      <c r="R58" s="3" t="s">
        <v>215</v>
      </c>
      <c r="S58" s="4" t="s">
        <v>216</v>
      </c>
      <c r="U58" s="4" t="s">
        <v>139</v>
      </c>
      <c r="V58" s="4" t="s">
        <v>427</v>
      </c>
      <c r="W58" s="4" t="s">
        <v>428</v>
      </c>
      <c r="Y58" s="4" t="s">
        <v>2293</v>
      </c>
      <c r="Z58" s="4" t="s">
        <v>2293</v>
      </c>
      <c r="AB58" s="3"/>
      <c r="AC58" s="3"/>
      <c r="AD58" s="28">
        <v>41873</v>
      </c>
      <c r="AE58" s="3">
        <v>1000</v>
      </c>
      <c r="AI58" s="4" t="s">
        <v>2298</v>
      </c>
      <c r="AJ58" s="4" t="s">
        <v>2298</v>
      </c>
      <c r="AK58" s="3" t="s">
        <v>286</v>
      </c>
      <c r="AL58" s="4">
        <v>30080</v>
      </c>
      <c r="AM58" s="5">
        <v>15000</v>
      </c>
      <c r="AN58" s="4" t="s">
        <v>2282</v>
      </c>
      <c r="AO58" s="4">
        <v>99</v>
      </c>
      <c r="AP58" s="4">
        <v>80120000</v>
      </c>
      <c r="AQ58" s="5">
        <v>9161.9</v>
      </c>
    </row>
    <row r="59" spans="1:43" s="4" customFormat="1" x14ac:dyDescent="0.25">
      <c r="A59" s="3">
        <v>4604697</v>
      </c>
      <c r="B59" s="30">
        <v>41879</v>
      </c>
      <c r="C59" s="3" t="s">
        <v>560</v>
      </c>
      <c r="D59" s="3">
        <v>10004478</v>
      </c>
      <c r="E59" s="4">
        <v>4534048</v>
      </c>
      <c r="F59" s="3" t="s">
        <v>49</v>
      </c>
      <c r="G59" s="4" t="s">
        <v>546</v>
      </c>
      <c r="H59" s="4" t="s">
        <v>788</v>
      </c>
      <c r="I59" s="5">
        <v>106057</v>
      </c>
      <c r="J59" s="30">
        <v>41879</v>
      </c>
      <c r="K59" s="30">
        <v>41943</v>
      </c>
      <c r="L59" s="3" t="s">
        <v>119</v>
      </c>
      <c r="M59" s="4" t="s">
        <v>788</v>
      </c>
      <c r="N59" s="3" t="s">
        <v>56</v>
      </c>
      <c r="O59" s="3" t="s">
        <v>139</v>
      </c>
      <c r="P59" s="4" t="s">
        <v>282</v>
      </c>
      <c r="Q59" s="3" t="s">
        <v>139</v>
      </c>
      <c r="R59" s="3" t="s">
        <v>119</v>
      </c>
      <c r="S59" s="4" t="s">
        <v>217</v>
      </c>
      <c r="T59" s="4" t="s">
        <v>789</v>
      </c>
      <c r="U59" s="4" t="s">
        <v>139</v>
      </c>
      <c r="V59" s="4" t="s">
        <v>119</v>
      </c>
      <c r="W59" s="4" t="s">
        <v>217</v>
      </c>
      <c r="X59" s="4" t="s">
        <v>789</v>
      </c>
      <c r="Y59" s="4" t="s">
        <v>790</v>
      </c>
      <c r="Z59" s="4" t="s">
        <v>790</v>
      </c>
      <c r="AA59" s="4" t="s">
        <v>356</v>
      </c>
      <c r="AB59" s="3" t="s">
        <v>551</v>
      </c>
      <c r="AC59" s="3" t="s">
        <v>358</v>
      </c>
      <c r="AD59" s="28">
        <v>42031</v>
      </c>
      <c r="AE59" s="3">
        <v>1000</v>
      </c>
      <c r="AI59" s="4" t="s">
        <v>791</v>
      </c>
      <c r="AJ59" s="4" t="s">
        <v>791</v>
      </c>
      <c r="AK59" s="3" t="s">
        <v>286</v>
      </c>
      <c r="AL59" s="4">
        <v>140499</v>
      </c>
      <c r="AM59" s="5">
        <v>106057</v>
      </c>
      <c r="AN59" s="4" t="s">
        <v>124</v>
      </c>
      <c r="AO59" s="4">
        <v>99</v>
      </c>
      <c r="AP59" s="4">
        <v>80100000</v>
      </c>
      <c r="AQ59" s="5">
        <v>106057</v>
      </c>
    </row>
    <row r="60" spans="1:43" s="4" customFormat="1" x14ac:dyDescent="0.25">
      <c r="A60" s="3">
        <v>4604723</v>
      </c>
      <c r="B60" s="30">
        <v>41886</v>
      </c>
      <c r="C60" s="3" t="s">
        <v>2342</v>
      </c>
      <c r="D60" s="3">
        <v>10004515</v>
      </c>
      <c r="E60" s="4">
        <v>4534074</v>
      </c>
      <c r="F60" s="3" t="s">
        <v>49</v>
      </c>
      <c r="G60" s="4" t="s">
        <v>2389</v>
      </c>
      <c r="I60" s="5">
        <v>4000</v>
      </c>
      <c r="J60" s="30">
        <v>41886</v>
      </c>
      <c r="K60" s="30">
        <v>41907</v>
      </c>
      <c r="L60" s="3" t="s">
        <v>1046</v>
      </c>
      <c r="M60" s="4" t="s">
        <v>2390</v>
      </c>
      <c r="N60" s="3" t="s">
        <v>25</v>
      </c>
      <c r="O60" s="3" t="s">
        <v>139</v>
      </c>
      <c r="P60" s="4" t="s">
        <v>282</v>
      </c>
      <c r="Q60" s="3"/>
      <c r="R60" s="3"/>
      <c r="Y60" s="4" t="s">
        <v>2386</v>
      </c>
      <c r="Z60" s="4" t="s">
        <v>2386</v>
      </c>
      <c r="AB60" s="3"/>
      <c r="AC60" s="3"/>
      <c r="AD60" s="28">
        <v>41971</v>
      </c>
      <c r="AE60" s="3">
        <v>1000</v>
      </c>
      <c r="AI60" s="4" t="s">
        <v>2387</v>
      </c>
      <c r="AJ60" s="4" t="s">
        <v>2387</v>
      </c>
      <c r="AK60" s="3" t="s">
        <v>286</v>
      </c>
      <c r="AL60" s="4">
        <v>141806</v>
      </c>
      <c r="AM60" s="5">
        <v>4000</v>
      </c>
      <c r="AN60" s="4" t="s">
        <v>2282</v>
      </c>
      <c r="AQ60" s="5">
        <v>4000</v>
      </c>
    </row>
    <row r="61" spans="1:43" s="4" customFormat="1" x14ac:dyDescent="0.25">
      <c r="A61" s="3">
        <v>4604713</v>
      </c>
      <c r="B61" s="30">
        <v>41908</v>
      </c>
      <c r="C61" s="3" t="s">
        <v>2342</v>
      </c>
      <c r="D61" s="3">
        <v>10004509</v>
      </c>
      <c r="E61" s="4">
        <v>4534064</v>
      </c>
      <c r="F61" s="3" t="s">
        <v>49</v>
      </c>
      <c r="G61" s="4" t="s">
        <v>2300</v>
      </c>
      <c r="I61" s="5">
        <v>8000</v>
      </c>
      <c r="J61" s="30">
        <v>41907</v>
      </c>
      <c r="K61" s="30">
        <v>41992</v>
      </c>
      <c r="L61" s="3" t="s">
        <v>119</v>
      </c>
      <c r="M61" s="4" t="s">
        <v>2388</v>
      </c>
      <c r="N61" s="3" t="s">
        <v>56</v>
      </c>
      <c r="O61" s="3" t="s">
        <v>139</v>
      </c>
      <c r="P61" s="4" t="s">
        <v>282</v>
      </c>
      <c r="Q61" s="3"/>
      <c r="R61" s="3"/>
      <c r="Y61" s="4" t="s">
        <v>2286</v>
      </c>
      <c r="Z61" s="4" t="s">
        <v>2286</v>
      </c>
      <c r="AB61" s="3"/>
      <c r="AC61" s="3"/>
      <c r="AD61" s="28">
        <v>41907</v>
      </c>
      <c r="AE61" s="3">
        <v>1000</v>
      </c>
      <c r="AI61" s="4" t="s">
        <v>2288</v>
      </c>
      <c r="AJ61" s="4" t="s">
        <v>2288</v>
      </c>
      <c r="AK61" s="3" t="s">
        <v>286</v>
      </c>
      <c r="AL61" s="4">
        <v>30080</v>
      </c>
      <c r="AM61" s="5">
        <v>8000</v>
      </c>
      <c r="AN61" s="4" t="s">
        <v>2282</v>
      </c>
      <c r="AQ61" s="5">
        <v>8000</v>
      </c>
    </row>
    <row r="62" spans="1:43" s="4" customFormat="1" x14ac:dyDescent="0.25">
      <c r="A62" s="3">
        <v>4604782</v>
      </c>
      <c r="B62" s="30">
        <v>41928</v>
      </c>
      <c r="C62" s="3" t="s">
        <v>2342</v>
      </c>
      <c r="D62" s="3">
        <v>10004581</v>
      </c>
      <c r="E62" s="4">
        <v>4534133</v>
      </c>
      <c r="F62" s="3" t="s">
        <v>49</v>
      </c>
      <c r="G62" s="4" t="s">
        <v>2391</v>
      </c>
      <c r="H62" s="4" t="s">
        <v>2301</v>
      </c>
      <c r="I62" s="5">
        <v>100000</v>
      </c>
      <c r="J62" s="30">
        <v>41912</v>
      </c>
      <c r="K62" s="30">
        <v>42185</v>
      </c>
      <c r="L62" s="3" t="s">
        <v>1046</v>
      </c>
      <c r="M62" s="4" t="s">
        <v>2392</v>
      </c>
      <c r="N62" s="3" t="s">
        <v>25</v>
      </c>
      <c r="O62" s="3" t="s">
        <v>139</v>
      </c>
      <c r="P62" s="4" t="s">
        <v>282</v>
      </c>
      <c r="Q62" s="3" t="s">
        <v>139</v>
      </c>
      <c r="R62" s="3" t="s">
        <v>427</v>
      </c>
      <c r="S62" s="4" t="s">
        <v>428</v>
      </c>
      <c r="U62" s="4" t="s">
        <v>139</v>
      </c>
      <c r="V62" s="4" t="s">
        <v>427</v>
      </c>
      <c r="W62" s="4" t="s">
        <v>428</v>
      </c>
      <c r="Y62" s="4" t="s">
        <v>2386</v>
      </c>
      <c r="Z62" s="4" t="s">
        <v>2386</v>
      </c>
      <c r="AB62" s="3"/>
      <c r="AC62" s="3"/>
      <c r="AD62" s="28">
        <v>41967</v>
      </c>
      <c r="AE62" s="3">
        <v>1000</v>
      </c>
      <c r="AI62" s="4" t="s">
        <v>2387</v>
      </c>
      <c r="AJ62" s="4" t="s">
        <v>2387</v>
      </c>
      <c r="AK62" s="3" t="s">
        <v>286</v>
      </c>
      <c r="AL62" s="4">
        <v>49172</v>
      </c>
      <c r="AM62" s="5">
        <v>100000</v>
      </c>
      <c r="AN62" s="4" t="s">
        <v>2282</v>
      </c>
      <c r="AO62" s="4">
        <v>99</v>
      </c>
      <c r="AP62" s="4">
        <v>80120000</v>
      </c>
      <c r="AQ62" s="5">
        <v>26588.1</v>
      </c>
    </row>
    <row r="63" spans="1:43" s="4" customFormat="1" x14ac:dyDescent="0.25">
      <c r="A63" s="3">
        <v>4604809</v>
      </c>
      <c r="B63" s="30">
        <v>41961</v>
      </c>
      <c r="C63" s="3" t="s">
        <v>2342</v>
      </c>
      <c r="D63" s="3">
        <v>10004609</v>
      </c>
      <c r="E63" s="4">
        <v>4534160</v>
      </c>
      <c r="F63" s="3" t="s">
        <v>49</v>
      </c>
      <c r="G63" s="4" t="s">
        <v>2300</v>
      </c>
      <c r="I63" s="5">
        <v>5634.75</v>
      </c>
      <c r="J63" s="30">
        <v>41961</v>
      </c>
      <c r="K63" s="30">
        <v>41967</v>
      </c>
      <c r="L63" s="3" t="s">
        <v>1046</v>
      </c>
      <c r="M63" s="4" t="s">
        <v>2393</v>
      </c>
      <c r="N63" s="3" t="s">
        <v>56</v>
      </c>
      <c r="O63" s="3" t="s">
        <v>139</v>
      </c>
      <c r="P63" s="4" t="s">
        <v>282</v>
      </c>
      <c r="Q63" s="3"/>
      <c r="R63" s="3"/>
      <c r="Y63" s="4" t="s">
        <v>2394</v>
      </c>
      <c r="Z63" s="4" t="s">
        <v>2394</v>
      </c>
      <c r="AB63" s="3"/>
      <c r="AC63" s="3"/>
      <c r="AD63" s="28">
        <v>42121</v>
      </c>
      <c r="AE63" s="3">
        <v>1000</v>
      </c>
      <c r="AI63" s="4" t="s">
        <v>2395</v>
      </c>
      <c r="AJ63" s="4" t="s">
        <v>2395</v>
      </c>
      <c r="AK63" s="3" t="s">
        <v>286</v>
      </c>
      <c r="AL63" s="4">
        <v>30080</v>
      </c>
      <c r="AM63" s="5">
        <v>5634.75</v>
      </c>
      <c r="AN63" s="4" t="s">
        <v>2282</v>
      </c>
      <c r="AQ63" s="5">
        <v>5634.75</v>
      </c>
    </row>
    <row r="64" spans="1:43" s="4" customFormat="1" x14ac:dyDescent="0.25">
      <c r="A64" s="3">
        <v>4604781</v>
      </c>
      <c r="B64" s="30">
        <v>41963</v>
      </c>
      <c r="C64" s="3" t="s">
        <v>2415</v>
      </c>
      <c r="D64" s="3">
        <v>10004576</v>
      </c>
      <c r="E64" s="4">
        <v>4534132</v>
      </c>
      <c r="F64" s="3" t="s">
        <v>49</v>
      </c>
      <c r="G64" s="4" t="s">
        <v>2417</v>
      </c>
      <c r="H64" s="4" t="s">
        <v>2418</v>
      </c>
      <c r="I64" s="5">
        <v>74440</v>
      </c>
      <c r="J64" s="30">
        <v>41963</v>
      </c>
      <c r="K64" s="30">
        <v>42062</v>
      </c>
      <c r="L64" s="3" t="s">
        <v>196</v>
      </c>
      <c r="M64" s="4" t="s">
        <v>2419</v>
      </c>
      <c r="N64" s="3" t="s">
        <v>25</v>
      </c>
      <c r="O64" s="3" t="s">
        <v>139</v>
      </c>
      <c r="P64" s="4" t="s">
        <v>140</v>
      </c>
      <c r="Q64" s="3"/>
      <c r="R64" s="3"/>
      <c r="Y64" s="4" t="s">
        <v>2420</v>
      </c>
      <c r="Z64" s="4" t="s">
        <v>2394</v>
      </c>
      <c r="AB64" s="3"/>
      <c r="AC64" s="3"/>
      <c r="AD64" s="28">
        <v>41964</v>
      </c>
      <c r="AE64" s="3">
        <v>1000</v>
      </c>
      <c r="AI64" s="4" t="s">
        <v>2421</v>
      </c>
      <c r="AJ64" s="4" t="s">
        <v>2395</v>
      </c>
      <c r="AK64" s="3" t="s">
        <v>143</v>
      </c>
      <c r="AL64" s="4">
        <v>141833</v>
      </c>
      <c r="AM64" s="5">
        <v>74440</v>
      </c>
      <c r="AN64" s="4" t="s">
        <v>124</v>
      </c>
      <c r="AO64" s="4">
        <v>99</v>
      </c>
      <c r="AP64" s="4">
        <v>80101600</v>
      </c>
      <c r="AQ64" s="5">
        <v>62077.17</v>
      </c>
    </row>
    <row r="65" spans="1:43" s="4" customFormat="1" x14ac:dyDescent="0.25">
      <c r="A65" s="3">
        <v>4604794</v>
      </c>
      <c r="B65" s="30">
        <v>41964</v>
      </c>
      <c r="C65" s="3" t="s">
        <v>392</v>
      </c>
      <c r="D65" s="3">
        <v>10004584</v>
      </c>
      <c r="E65" s="4">
        <v>4534145</v>
      </c>
      <c r="F65" s="3" t="s">
        <v>49</v>
      </c>
      <c r="G65" s="4" t="s">
        <v>425</v>
      </c>
      <c r="H65" s="4" t="s">
        <v>426</v>
      </c>
      <c r="I65" s="5">
        <v>33000</v>
      </c>
      <c r="J65" s="30">
        <v>41964</v>
      </c>
      <c r="K65" s="30">
        <v>42144</v>
      </c>
      <c r="L65" s="3" t="s">
        <v>196</v>
      </c>
      <c r="M65" s="4" t="s">
        <v>426</v>
      </c>
      <c r="N65" s="3" t="s">
        <v>25</v>
      </c>
      <c r="O65" s="3" t="s">
        <v>139</v>
      </c>
      <c r="P65" s="4" t="s">
        <v>140</v>
      </c>
      <c r="Q65" s="3" t="s">
        <v>139</v>
      </c>
      <c r="R65" s="3" t="s">
        <v>427</v>
      </c>
      <c r="S65" s="4" t="s">
        <v>428</v>
      </c>
      <c r="U65" s="4" t="s">
        <v>139</v>
      </c>
      <c r="V65" s="4" t="s">
        <v>119</v>
      </c>
      <c r="W65" s="4" t="s">
        <v>217</v>
      </c>
      <c r="X65" s="4" t="s">
        <v>429</v>
      </c>
      <c r="Y65" s="4" t="s">
        <v>430</v>
      </c>
      <c r="Z65" s="4" t="s">
        <v>431</v>
      </c>
      <c r="AB65" s="3"/>
      <c r="AC65" s="3"/>
      <c r="AD65" s="28">
        <v>42117</v>
      </c>
      <c r="AE65" s="3">
        <v>1000</v>
      </c>
      <c r="AI65" s="4" t="s">
        <v>433</v>
      </c>
      <c r="AJ65" s="4" t="s">
        <v>434</v>
      </c>
      <c r="AK65" s="3" t="s">
        <v>143</v>
      </c>
      <c r="AL65" s="4">
        <v>141839</v>
      </c>
      <c r="AM65" s="5">
        <v>33000</v>
      </c>
      <c r="AN65" s="4" t="s">
        <v>124</v>
      </c>
      <c r="AO65" s="4">
        <v>99</v>
      </c>
      <c r="AP65" s="4">
        <v>80141500</v>
      </c>
      <c r="AQ65" s="5">
        <v>32702.65</v>
      </c>
    </row>
    <row r="66" spans="1:43" s="4" customFormat="1" x14ac:dyDescent="0.25">
      <c r="A66" s="3">
        <v>4604637</v>
      </c>
      <c r="B66" s="30">
        <v>41984</v>
      </c>
      <c r="C66" s="3" t="s">
        <v>1278</v>
      </c>
      <c r="D66" s="3">
        <v>10004435</v>
      </c>
      <c r="E66" s="4">
        <v>4533988</v>
      </c>
      <c r="F66" s="3" t="s">
        <v>49</v>
      </c>
      <c r="G66" s="4" t="s">
        <v>1551</v>
      </c>
      <c r="H66" s="4" t="s">
        <v>1552</v>
      </c>
      <c r="I66" s="5">
        <v>26176.42</v>
      </c>
      <c r="J66" s="30">
        <v>41851</v>
      </c>
      <c r="K66" s="30">
        <v>41912</v>
      </c>
      <c r="L66" s="3" t="s">
        <v>196</v>
      </c>
      <c r="M66" s="4" t="s">
        <v>1552</v>
      </c>
      <c r="N66" s="3" t="s">
        <v>25</v>
      </c>
      <c r="O66" s="3" t="s">
        <v>139</v>
      </c>
      <c r="P66" s="4" t="s">
        <v>140</v>
      </c>
      <c r="Q66" s="3"/>
      <c r="R66" s="3"/>
      <c r="Y66" s="4" t="s">
        <v>1079</v>
      </c>
      <c r="Z66" s="4" t="s">
        <v>1430</v>
      </c>
      <c r="AB66" s="3"/>
      <c r="AC66" s="3"/>
      <c r="AD66" s="28">
        <v>41984</v>
      </c>
      <c r="AE66" s="3">
        <v>1000</v>
      </c>
      <c r="AI66" s="4" t="s">
        <v>1083</v>
      </c>
      <c r="AJ66" s="4" t="s">
        <v>1432</v>
      </c>
      <c r="AK66" s="3" t="s">
        <v>143</v>
      </c>
      <c r="AL66" s="4">
        <v>141105</v>
      </c>
      <c r="AM66" s="5">
        <v>26176.42</v>
      </c>
      <c r="AN66" s="4" t="s">
        <v>124</v>
      </c>
      <c r="AO66" s="4">
        <v>99</v>
      </c>
      <c r="AP66" s="4">
        <v>80101505</v>
      </c>
      <c r="AQ66" s="5">
        <v>26176.42</v>
      </c>
    </row>
    <row r="67" spans="1:43" s="4" customFormat="1" x14ac:dyDescent="0.25">
      <c r="A67" s="3">
        <v>4604815</v>
      </c>
      <c r="B67" s="30">
        <v>41996</v>
      </c>
      <c r="C67" s="3" t="s">
        <v>392</v>
      </c>
      <c r="D67" s="3">
        <v>10004616</v>
      </c>
      <c r="E67" s="4">
        <v>4534166</v>
      </c>
      <c r="F67" s="3" t="s">
        <v>49</v>
      </c>
      <c r="G67" s="4" t="s">
        <v>372</v>
      </c>
      <c r="H67" s="4" t="s">
        <v>443</v>
      </c>
      <c r="I67" s="5">
        <v>127587</v>
      </c>
      <c r="J67" s="30">
        <v>41996</v>
      </c>
      <c r="K67" s="30">
        <v>42096</v>
      </c>
      <c r="L67" s="3" t="s">
        <v>119</v>
      </c>
      <c r="M67" s="4" t="s">
        <v>443</v>
      </c>
      <c r="N67" s="3" t="s">
        <v>56</v>
      </c>
      <c r="O67" s="3" t="s">
        <v>139</v>
      </c>
      <c r="P67" s="4" t="s">
        <v>140</v>
      </c>
      <c r="Q67" s="3"/>
      <c r="R67" s="3"/>
      <c r="U67" s="4" t="s">
        <v>139</v>
      </c>
      <c r="V67" s="4" t="s">
        <v>119</v>
      </c>
      <c r="W67" s="4" t="s">
        <v>217</v>
      </c>
      <c r="X67" s="4" t="s">
        <v>445</v>
      </c>
      <c r="Y67" s="4" t="s">
        <v>431</v>
      </c>
      <c r="Z67" s="4" t="s">
        <v>431</v>
      </c>
      <c r="AA67" s="4" t="s">
        <v>356</v>
      </c>
      <c r="AB67" s="3" t="s">
        <v>375</v>
      </c>
      <c r="AC67" s="3" t="s">
        <v>358</v>
      </c>
      <c r="AD67" s="28">
        <v>42038</v>
      </c>
      <c r="AE67" s="3">
        <v>1000</v>
      </c>
      <c r="AI67" s="4" t="s">
        <v>434</v>
      </c>
      <c r="AJ67" s="4" t="s">
        <v>434</v>
      </c>
      <c r="AK67" s="3" t="s">
        <v>143</v>
      </c>
      <c r="AL67" s="4">
        <v>43825</v>
      </c>
      <c r="AM67" s="5">
        <v>127587</v>
      </c>
      <c r="AN67" s="4" t="s">
        <v>124</v>
      </c>
      <c r="AO67" s="4">
        <v>99</v>
      </c>
      <c r="AP67" s="4">
        <v>81120000</v>
      </c>
      <c r="AQ67" s="5">
        <v>127587</v>
      </c>
    </row>
    <row r="68" spans="1:43" s="4" customFormat="1" x14ac:dyDescent="0.25">
      <c r="A68" s="3">
        <v>4604872</v>
      </c>
      <c r="B68" s="30">
        <v>42020</v>
      </c>
      <c r="C68" s="3" t="s">
        <v>2342</v>
      </c>
      <c r="D68" s="3">
        <v>10004691</v>
      </c>
      <c r="E68" s="4">
        <v>4534223</v>
      </c>
      <c r="F68" s="3" t="s">
        <v>49</v>
      </c>
      <c r="G68" s="4" t="s">
        <v>2398</v>
      </c>
      <c r="I68" s="5">
        <v>6600</v>
      </c>
      <c r="J68" s="30">
        <v>42020</v>
      </c>
      <c r="K68" s="30">
        <v>42041</v>
      </c>
      <c r="L68" s="3" t="s">
        <v>1046</v>
      </c>
      <c r="M68" s="4" t="s">
        <v>2399</v>
      </c>
      <c r="N68" s="3" t="s">
        <v>25</v>
      </c>
      <c r="O68" s="3" t="s">
        <v>139</v>
      </c>
      <c r="P68" s="4" t="s">
        <v>282</v>
      </c>
      <c r="Q68" s="3"/>
      <c r="R68" s="3"/>
      <c r="Y68" s="4" t="s">
        <v>2386</v>
      </c>
      <c r="Z68" s="4" t="s">
        <v>2386</v>
      </c>
      <c r="AB68" s="3"/>
      <c r="AC68" s="3"/>
      <c r="AD68" s="28">
        <v>42075</v>
      </c>
      <c r="AE68" s="3">
        <v>1000</v>
      </c>
      <c r="AI68" s="4" t="s">
        <v>2387</v>
      </c>
      <c r="AJ68" s="4" t="s">
        <v>2387</v>
      </c>
      <c r="AK68" s="3" t="s">
        <v>286</v>
      </c>
      <c r="AL68" s="4">
        <v>47274</v>
      </c>
      <c r="AM68" s="5">
        <v>6600</v>
      </c>
      <c r="AN68" s="4" t="s">
        <v>2282</v>
      </c>
      <c r="AQ68" s="5">
        <v>6600</v>
      </c>
    </row>
    <row r="69" spans="1:43" s="4" customFormat="1" x14ac:dyDescent="0.25">
      <c r="A69" s="3">
        <v>4604833</v>
      </c>
      <c r="B69" s="30">
        <v>42024</v>
      </c>
      <c r="C69" s="3" t="s">
        <v>392</v>
      </c>
      <c r="D69" s="3">
        <v>10004590</v>
      </c>
      <c r="E69" s="4">
        <v>4534184</v>
      </c>
      <c r="F69" s="3" t="s">
        <v>49</v>
      </c>
      <c r="G69" s="4" t="s">
        <v>372</v>
      </c>
      <c r="H69" s="4" t="s">
        <v>446</v>
      </c>
      <c r="I69" s="5">
        <v>36850</v>
      </c>
      <c r="J69" s="30">
        <v>42012</v>
      </c>
      <c r="K69" s="30">
        <v>42048</v>
      </c>
      <c r="L69" s="3" t="s">
        <v>119</v>
      </c>
      <c r="M69" s="4" t="s">
        <v>446</v>
      </c>
      <c r="N69" s="3" t="s">
        <v>56</v>
      </c>
      <c r="O69" s="3" t="s">
        <v>139</v>
      </c>
      <c r="P69" s="4" t="s">
        <v>140</v>
      </c>
      <c r="Q69" s="3"/>
      <c r="R69" s="3"/>
      <c r="Y69" s="4" t="s">
        <v>420</v>
      </c>
      <c r="Z69" s="4" t="s">
        <v>420</v>
      </c>
      <c r="AA69" s="4" t="s">
        <v>356</v>
      </c>
      <c r="AB69" s="3" t="s">
        <v>375</v>
      </c>
      <c r="AC69" s="3" t="s">
        <v>358</v>
      </c>
      <c r="AD69" s="28">
        <v>42025</v>
      </c>
      <c r="AE69" s="3">
        <v>1000</v>
      </c>
      <c r="AI69" s="4" t="s">
        <v>423</v>
      </c>
      <c r="AJ69" s="4" t="s">
        <v>423</v>
      </c>
      <c r="AK69" s="3" t="s">
        <v>143</v>
      </c>
      <c r="AL69" s="4">
        <v>43825</v>
      </c>
      <c r="AM69" s="5">
        <v>36850</v>
      </c>
      <c r="AN69" s="4" t="s">
        <v>124</v>
      </c>
      <c r="AO69" s="4">
        <v>99</v>
      </c>
      <c r="AP69" s="4">
        <v>81121500</v>
      </c>
      <c r="AQ69" s="5">
        <v>36850</v>
      </c>
    </row>
    <row r="70" spans="1:43" s="4" customFormat="1" x14ac:dyDescent="0.25">
      <c r="A70" s="3">
        <v>4604854</v>
      </c>
      <c r="B70" s="30">
        <v>42031</v>
      </c>
      <c r="C70" s="3" t="s">
        <v>2158</v>
      </c>
      <c r="D70" s="3">
        <v>10004650</v>
      </c>
      <c r="E70" s="4">
        <v>4534205</v>
      </c>
      <c r="F70" s="3" t="s">
        <v>49</v>
      </c>
      <c r="G70" s="4" t="s">
        <v>2237</v>
      </c>
      <c r="H70" s="4" t="s">
        <v>2238</v>
      </c>
      <c r="I70" s="5">
        <v>16500</v>
      </c>
      <c r="J70" s="30">
        <v>42031</v>
      </c>
      <c r="K70" s="30">
        <v>42062</v>
      </c>
      <c r="L70" s="3" t="s">
        <v>196</v>
      </c>
      <c r="M70" s="4" t="s">
        <v>2238</v>
      </c>
      <c r="N70" s="3" t="s">
        <v>25</v>
      </c>
      <c r="O70" s="3" t="s">
        <v>139</v>
      </c>
      <c r="P70" s="4" t="s">
        <v>2207</v>
      </c>
      <c r="Q70" s="3"/>
      <c r="R70" s="3"/>
      <c r="Y70" s="4" t="s">
        <v>2231</v>
      </c>
      <c r="Z70" s="4" t="s">
        <v>2231</v>
      </c>
      <c r="AB70" s="3"/>
      <c r="AC70" s="3"/>
      <c r="AD70" s="28">
        <v>42058</v>
      </c>
      <c r="AE70" s="3">
        <v>1000</v>
      </c>
      <c r="AI70" s="4" t="s">
        <v>2232</v>
      </c>
      <c r="AJ70" s="4" t="s">
        <v>2232</v>
      </c>
      <c r="AK70" s="3" t="s">
        <v>2210</v>
      </c>
      <c r="AL70" s="4">
        <v>141863</v>
      </c>
      <c r="AM70" s="5">
        <v>16500</v>
      </c>
      <c r="AN70" s="4" t="s">
        <v>124</v>
      </c>
      <c r="AO70" s="4">
        <v>99</v>
      </c>
      <c r="AP70" s="4">
        <v>80101505</v>
      </c>
      <c r="AQ70" s="5">
        <v>8273.86</v>
      </c>
    </row>
    <row r="71" spans="1:43" s="4" customFormat="1" x14ac:dyDescent="0.25">
      <c r="A71" s="3">
        <v>4604796</v>
      </c>
      <c r="B71" s="30">
        <v>42038</v>
      </c>
      <c r="C71" s="3" t="s">
        <v>2158</v>
      </c>
      <c r="D71" s="3">
        <v>10004547</v>
      </c>
      <c r="E71" s="4">
        <v>4534147</v>
      </c>
      <c r="F71" s="3" t="s">
        <v>49</v>
      </c>
      <c r="G71" s="4" t="s">
        <v>372</v>
      </c>
      <c r="H71" s="4" t="s">
        <v>2229</v>
      </c>
      <c r="I71" s="5">
        <v>220000</v>
      </c>
      <c r="J71" s="30">
        <v>41957</v>
      </c>
      <c r="K71" s="30">
        <v>42062</v>
      </c>
      <c r="L71" s="3" t="s">
        <v>119</v>
      </c>
      <c r="M71" s="4" t="s">
        <v>2230</v>
      </c>
      <c r="N71" s="3" t="s">
        <v>56</v>
      </c>
      <c r="O71" s="3" t="s">
        <v>139</v>
      </c>
      <c r="P71" s="4" t="s">
        <v>2207</v>
      </c>
      <c r="Q71" s="3"/>
      <c r="R71" s="3"/>
      <c r="Y71" s="4" t="s">
        <v>556</v>
      </c>
      <c r="Z71" s="4" t="s">
        <v>2231</v>
      </c>
      <c r="AA71" s="4" t="s">
        <v>356</v>
      </c>
      <c r="AB71" s="3" t="s">
        <v>375</v>
      </c>
      <c r="AC71" s="3" t="s">
        <v>358</v>
      </c>
      <c r="AD71" s="28">
        <v>42048</v>
      </c>
      <c r="AE71" s="3">
        <v>1000</v>
      </c>
      <c r="AI71" s="4" t="s">
        <v>558</v>
      </c>
      <c r="AJ71" s="4" t="s">
        <v>2232</v>
      </c>
      <c r="AK71" s="3" t="s">
        <v>2210</v>
      </c>
      <c r="AL71" s="4">
        <v>43825</v>
      </c>
      <c r="AM71" s="5">
        <v>220000</v>
      </c>
      <c r="AN71" s="4" t="s">
        <v>124</v>
      </c>
      <c r="AO71" s="4">
        <v>98</v>
      </c>
      <c r="AP71" s="4">
        <v>81121500</v>
      </c>
      <c r="AQ71" s="5">
        <v>218625</v>
      </c>
    </row>
    <row r="72" spans="1:43" s="4" customFormat="1" x14ac:dyDescent="0.25">
      <c r="A72" s="3">
        <v>4604850</v>
      </c>
      <c r="B72" s="30">
        <v>42045</v>
      </c>
      <c r="C72" s="3" t="s">
        <v>2158</v>
      </c>
      <c r="D72" s="3">
        <v>10004655</v>
      </c>
      <c r="E72" s="4">
        <v>4534201</v>
      </c>
      <c r="F72" s="3" t="s">
        <v>49</v>
      </c>
      <c r="G72" s="4" t="s">
        <v>2211</v>
      </c>
      <c r="H72" s="4" t="s">
        <v>2234</v>
      </c>
      <c r="I72" s="5">
        <v>40000</v>
      </c>
      <c r="J72" s="30">
        <v>42045</v>
      </c>
      <c r="K72" s="30">
        <v>42083</v>
      </c>
      <c r="L72" s="3" t="s">
        <v>196</v>
      </c>
      <c r="M72" s="4" t="s">
        <v>2234</v>
      </c>
      <c r="N72" s="3" t="s">
        <v>25</v>
      </c>
      <c r="O72" s="3" t="s">
        <v>139</v>
      </c>
      <c r="P72" s="4" t="s">
        <v>140</v>
      </c>
      <c r="Q72" s="3"/>
      <c r="R72" s="3"/>
      <c r="Y72" s="4" t="s">
        <v>2235</v>
      </c>
      <c r="Z72" s="4" t="s">
        <v>2235</v>
      </c>
      <c r="AB72" s="3"/>
      <c r="AC72" s="3"/>
      <c r="AD72" s="28">
        <v>42047</v>
      </c>
      <c r="AE72" s="3">
        <v>1000</v>
      </c>
      <c r="AI72" s="4" t="s">
        <v>2236</v>
      </c>
      <c r="AJ72" s="4" t="s">
        <v>2236</v>
      </c>
      <c r="AK72" s="3" t="s">
        <v>143</v>
      </c>
      <c r="AL72" s="4">
        <v>141778</v>
      </c>
      <c r="AM72" s="5">
        <v>40000</v>
      </c>
      <c r="AN72" s="4" t="s">
        <v>124</v>
      </c>
      <c r="AO72" s="4">
        <v>99</v>
      </c>
      <c r="AP72" s="4">
        <v>80100000</v>
      </c>
      <c r="AQ72" s="5">
        <v>40000</v>
      </c>
    </row>
    <row r="73" spans="1:43" s="4" customFormat="1" x14ac:dyDescent="0.25">
      <c r="A73" s="3">
        <v>4604853</v>
      </c>
      <c r="B73" s="30">
        <v>42058</v>
      </c>
      <c r="C73" s="3" t="s">
        <v>392</v>
      </c>
      <c r="D73" s="3">
        <v>10004658</v>
      </c>
      <c r="E73" s="4">
        <v>4534204</v>
      </c>
      <c r="F73" s="3" t="s">
        <v>49</v>
      </c>
      <c r="G73" s="4" t="s">
        <v>470</v>
      </c>
      <c r="H73" s="4" t="s">
        <v>471</v>
      </c>
      <c r="I73" s="5">
        <v>59200</v>
      </c>
      <c r="J73" s="30">
        <v>42058</v>
      </c>
      <c r="K73" s="30">
        <v>42111</v>
      </c>
      <c r="L73" s="3" t="s">
        <v>119</v>
      </c>
      <c r="M73" s="4" t="s">
        <v>471</v>
      </c>
      <c r="N73" s="3" t="s">
        <v>56</v>
      </c>
      <c r="O73" s="3" t="s">
        <v>139</v>
      </c>
      <c r="P73" s="4" t="s">
        <v>282</v>
      </c>
      <c r="Q73" s="3"/>
      <c r="R73" s="3"/>
      <c r="Y73" s="4" t="s">
        <v>466</v>
      </c>
      <c r="Z73" s="4" t="s">
        <v>406</v>
      </c>
      <c r="AA73" s="4" t="s">
        <v>356</v>
      </c>
      <c r="AB73" s="3" t="s">
        <v>473</v>
      </c>
      <c r="AC73" s="3" t="s">
        <v>358</v>
      </c>
      <c r="AD73" s="28">
        <v>42165</v>
      </c>
      <c r="AE73" s="3">
        <v>1000</v>
      </c>
      <c r="AI73" s="4" t="s">
        <v>468</v>
      </c>
      <c r="AJ73" s="4" t="s">
        <v>409</v>
      </c>
      <c r="AK73" s="3" t="s">
        <v>286</v>
      </c>
      <c r="AL73" s="4">
        <v>41344</v>
      </c>
      <c r="AM73" s="5">
        <v>59200</v>
      </c>
      <c r="AN73" s="4" t="s">
        <v>124</v>
      </c>
      <c r="AO73" s="4">
        <v>99</v>
      </c>
      <c r="AP73" s="4">
        <v>80141500</v>
      </c>
      <c r="AQ73" s="5">
        <v>59200</v>
      </c>
    </row>
    <row r="74" spans="1:43" s="4" customFormat="1" x14ac:dyDescent="0.25">
      <c r="A74" s="3">
        <v>4604896</v>
      </c>
      <c r="B74" s="30">
        <v>42065</v>
      </c>
      <c r="C74" s="3" t="s">
        <v>2093</v>
      </c>
      <c r="D74" s="3">
        <v>10004680</v>
      </c>
      <c r="E74" s="4">
        <v>4534247</v>
      </c>
      <c r="F74" s="3" t="s">
        <v>49</v>
      </c>
      <c r="G74" s="4" t="s">
        <v>2119</v>
      </c>
      <c r="H74" s="4" t="s">
        <v>2120</v>
      </c>
      <c r="I74" s="5">
        <v>130680</v>
      </c>
      <c r="J74" s="30">
        <v>42066</v>
      </c>
      <c r="K74" s="30">
        <v>42139</v>
      </c>
      <c r="L74" s="3" t="s">
        <v>119</v>
      </c>
      <c r="M74" s="4" t="s">
        <v>2120</v>
      </c>
      <c r="N74" s="3" t="s">
        <v>56</v>
      </c>
      <c r="O74" s="3" t="s">
        <v>139</v>
      </c>
      <c r="P74" s="4" t="s">
        <v>282</v>
      </c>
      <c r="Q74" s="3"/>
      <c r="R74" s="3"/>
      <c r="Y74" s="4" t="s">
        <v>747</v>
      </c>
      <c r="Z74" s="4" t="s">
        <v>747</v>
      </c>
      <c r="AA74" s="4" t="s">
        <v>356</v>
      </c>
      <c r="AB74" s="3" t="s">
        <v>2121</v>
      </c>
      <c r="AC74" s="3" t="s">
        <v>358</v>
      </c>
      <c r="AD74" s="28">
        <v>42160</v>
      </c>
      <c r="AE74" s="3">
        <v>1000</v>
      </c>
      <c r="AI74" s="4" t="s">
        <v>749</v>
      </c>
      <c r="AJ74" s="4" t="s">
        <v>749</v>
      </c>
      <c r="AK74" s="3" t="s">
        <v>286</v>
      </c>
      <c r="AL74" s="4">
        <v>46130</v>
      </c>
      <c r="AM74" s="5">
        <v>130680</v>
      </c>
      <c r="AN74" s="4" t="s">
        <v>124</v>
      </c>
      <c r="AO74" s="4">
        <v>99</v>
      </c>
      <c r="AP74" s="4">
        <v>80101507</v>
      </c>
      <c r="AQ74" s="5">
        <v>84051</v>
      </c>
    </row>
    <row r="75" spans="1:43" s="4" customFormat="1" x14ac:dyDescent="0.25">
      <c r="A75" s="3">
        <v>4604862</v>
      </c>
      <c r="B75" s="30">
        <v>42066</v>
      </c>
      <c r="C75" s="3" t="s">
        <v>1278</v>
      </c>
      <c r="D75" s="3">
        <v>10004675</v>
      </c>
      <c r="E75" s="4">
        <v>4534213</v>
      </c>
      <c r="F75" s="3" t="s">
        <v>49</v>
      </c>
      <c r="G75" s="4" t="s">
        <v>1174</v>
      </c>
      <c r="H75" s="4" t="s">
        <v>1832</v>
      </c>
      <c r="I75" s="5">
        <v>18810</v>
      </c>
      <c r="J75" s="30">
        <v>42072</v>
      </c>
      <c r="K75" s="30">
        <v>42094</v>
      </c>
      <c r="L75" s="3" t="s">
        <v>119</v>
      </c>
      <c r="M75" s="4" t="s">
        <v>1832</v>
      </c>
      <c r="N75" s="3" t="s">
        <v>56</v>
      </c>
      <c r="O75" s="3" t="s">
        <v>139</v>
      </c>
      <c r="P75" s="4" t="s">
        <v>140</v>
      </c>
      <c r="Q75" s="3"/>
      <c r="R75" s="3"/>
      <c r="Y75" s="4" t="s">
        <v>540</v>
      </c>
      <c r="Z75" s="4" t="s">
        <v>1090</v>
      </c>
      <c r="AA75" s="4" t="s">
        <v>1284</v>
      </c>
      <c r="AB75" s="3" t="s">
        <v>1285</v>
      </c>
      <c r="AC75" s="3" t="s">
        <v>1286</v>
      </c>
      <c r="AD75" s="28">
        <v>42067</v>
      </c>
      <c r="AE75" s="3">
        <v>1000</v>
      </c>
      <c r="AI75" s="4" t="s">
        <v>542</v>
      </c>
      <c r="AJ75" s="4" t="s">
        <v>1091</v>
      </c>
      <c r="AK75" s="3" t="s">
        <v>143</v>
      </c>
      <c r="AL75" s="4">
        <v>42811</v>
      </c>
      <c r="AM75" s="5">
        <v>18810</v>
      </c>
      <c r="AN75" s="4" t="s">
        <v>124</v>
      </c>
      <c r="AO75" s="4">
        <v>99</v>
      </c>
      <c r="AP75" s="4">
        <v>84111600</v>
      </c>
      <c r="AQ75" s="4">
        <v>0</v>
      </c>
    </row>
    <row r="76" spans="1:43" s="4" customFormat="1" x14ac:dyDescent="0.25">
      <c r="A76" s="3">
        <v>4604868</v>
      </c>
      <c r="B76" s="30">
        <v>42069</v>
      </c>
      <c r="C76" s="3" t="s">
        <v>1278</v>
      </c>
      <c r="D76" s="3">
        <v>10004684</v>
      </c>
      <c r="E76" s="4">
        <v>4534219</v>
      </c>
      <c r="F76" s="3" t="s">
        <v>49</v>
      </c>
      <c r="G76" s="4" t="s">
        <v>1174</v>
      </c>
      <c r="I76" s="5">
        <v>8897</v>
      </c>
      <c r="J76" s="30">
        <v>41974</v>
      </c>
      <c r="K76" s="30">
        <v>42003</v>
      </c>
      <c r="L76" s="3" t="s">
        <v>119</v>
      </c>
      <c r="M76" s="4" t="s">
        <v>1283</v>
      </c>
      <c r="N76" s="3" t="s">
        <v>56</v>
      </c>
      <c r="O76" s="3" t="s">
        <v>139</v>
      </c>
      <c r="P76" s="4" t="s">
        <v>140</v>
      </c>
      <c r="Q76" s="3"/>
      <c r="R76" s="3"/>
      <c r="Y76" s="4" t="s">
        <v>1079</v>
      </c>
      <c r="Z76" s="4" t="s">
        <v>1090</v>
      </c>
      <c r="AB76" s="3"/>
      <c r="AC76" s="3"/>
      <c r="AD76" s="28">
        <v>42069</v>
      </c>
      <c r="AE76" s="3">
        <v>1000</v>
      </c>
      <c r="AI76" s="4" t="s">
        <v>1083</v>
      </c>
      <c r="AJ76" s="4" t="s">
        <v>1091</v>
      </c>
      <c r="AK76" s="3" t="s">
        <v>143</v>
      </c>
      <c r="AL76" s="4">
        <v>42811</v>
      </c>
      <c r="AM76" s="5">
        <v>8897</v>
      </c>
      <c r="AN76" s="4" t="s">
        <v>124</v>
      </c>
      <c r="AQ76" s="5">
        <v>8897</v>
      </c>
    </row>
    <row r="77" spans="1:43" s="4" customFormat="1" x14ac:dyDescent="0.25">
      <c r="A77" s="3">
        <v>4604901</v>
      </c>
      <c r="B77" s="30">
        <v>42075</v>
      </c>
      <c r="C77" s="3" t="s">
        <v>2342</v>
      </c>
      <c r="D77" s="3">
        <v>10004720</v>
      </c>
      <c r="E77" s="4">
        <v>4534252</v>
      </c>
      <c r="F77" s="3" t="s">
        <v>49</v>
      </c>
      <c r="G77" s="4" t="s">
        <v>2364</v>
      </c>
      <c r="H77" s="4" t="s">
        <v>2301</v>
      </c>
      <c r="I77" s="5">
        <v>101000</v>
      </c>
      <c r="J77" s="30">
        <v>42075</v>
      </c>
      <c r="K77" s="30">
        <v>42185</v>
      </c>
      <c r="L77" s="3" t="s">
        <v>1046</v>
      </c>
      <c r="M77" s="4" t="s">
        <v>2401</v>
      </c>
      <c r="N77" s="3" t="s">
        <v>25</v>
      </c>
      <c r="O77" s="3" t="s">
        <v>139</v>
      </c>
      <c r="P77" s="4" t="s">
        <v>282</v>
      </c>
      <c r="Q77" s="3" t="s">
        <v>139</v>
      </c>
      <c r="R77" s="3" t="s">
        <v>427</v>
      </c>
      <c r="S77" s="4" t="s">
        <v>428</v>
      </c>
      <c r="U77" s="4" t="s">
        <v>139</v>
      </c>
      <c r="V77" s="4" t="s">
        <v>427</v>
      </c>
      <c r="W77" s="4" t="s">
        <v>428</v>
      </c>
      <c r="Y77" s="4" t="s">
        <v>2402</v>
      </c>
      <c r="Z77" s="4" t="s">
        <v>2386</v>
      </c>
      <c r="AB77" s="3"/>
      <c r="AC77" s="3"/>
      <c r="AD77" s="28">
        <v>42158</v>
      </c>
      <c r="AE77" s="3">
        <v>1000</v>
      </c>
      <c r="AI77" s="4" t="s">
        <v>2403</v>
      </c>
      <c r="AJ77" s="4" t="s">
        <v>2387</v>
      </c>
      <c r="AK77" s="3" t="s">
        <v>286</v>
      </c>
      <c r="AL77" s="4">
        <v>141746</v>
      </c>
      <c r="AM77" s="5">
        <v>101000</v>
      </c>
      <c r="AN77" s="4" t="s">
        <v>2282</v>
      </c>
      <c r="AO77" s="4">
        <v>99</v>
      </c>
      <c r="AP77" s="4">
        <v>80120000</v>
      </c>
      <c r="AQ77" s="5">
        <v>100832.26</v>
      </c>
    </row>
    <row r="78" spans="1:43" s="4" customFormat="1" x14ac:dyDescent="0.25">
      <c r="A78" s="3">
        <v>4604891</v>
      </c>
      <c r="B78" s="30">
        <v>42076</v>
      </c>
      <c r="C78" s="3" t="s">
        <v>2342</v>
      </c>
      <c r="D78" s="3">
        <v>10004705</v>
      </c>
      <c r="E78" s="4">
        <v>4534242</v>
      </c>
      <c r="F78" s="3" t="s">
        <v>49</v>
      </c>
      <c r="G78" s="4" t="s">
        <v>2300</v>
      </c>
      <c r="H78" s="4" t="s">
        <v>2301</v>
      </c>
      <c r="I78" s="5">
        <v>7748.3</v>
      </c>
      <c r="J78" s="30">
        <v>42076</v>
      </c>
      <c r="K78" s="30">
        <v>42185</v>
      </c>
      <c r="L78" s="3" t="s">
        <v>1046</v>
      </c>
      <c r="M78" s="4" t="s">
        <v>2400</v>
      </c>
      <c r="N78" s="3" t="s">
        <v>25</v>
      </c>
      <c r="O78" s="3" t="s">
        <v>139</v>
      </c>
      <c r="P78" s="4" t="s">
        <v>282</v>
      </c>
      <c r="Q78" s="3" t="s">
        <v>139</v>
      </c>
      <c r="R78" s="3" t="s">
        <v>427</v>
      </c>
      <c r="S78" s="4" t="s">
        <v>428</v>
      </c>
      <c r="U78" s="4" t="s">
        <v>139</v>
      </c>
      <c r="V78" s="4" t="s">
        <v>427</v>
      </c>
      <c r="W78" s="4" t="s">
        <v>428</v>
      </c>
      <c r="Y78" s="4" t="s">
        <v>2277</v>
      </c>
      <c r="Z78" s="4" t="s">
        <v>2386</v>
      </c>
      <c r="AB78" s="3"/>
      <c r="AC78" s="3"/>
      <c r="AD78" s="28">
        <v>42166</v>
      </c>
      <c r="AE78" s="3">
        <v>1000</v>
      </c>
      <c r="AI78" s="4" t="s">
        <v>2281</v>
      </c>
      <c r="AJ78" s="4" t="s">
        <v>2387</v>
      </c>
      <c r="AK78" s="3" t="s">
        <v>286</v>
      </c>
      <c r="AL78" s="4">
        <v>30080</v>
      </c>
      <c r="AM78" s="5">
        <v>7748.3</v>
      </c>
      <c r="AN78" s="4" t="s">
        <v>2282</v>
      </c>
      <c r="AO78" s="4">
        <v>99</v>
      </c>
      <c r="AP78" s="4">
        <v>80120000</v>
      </c>
      <c r="AQ78" s="5">
        <v>7748.3</v>
      </c>
    </row>
    <row r="79" spans="1:43" s="4" customFormat="1" x14ac:dyDescent="0.25">
      <c r="A79" s="3">
        <v>4604987</v>
      </c>
      <c r="B79" s="30">
        <v>42076</v>
      </c>
      <c r="C79" s="3" t="s">
        <v>2342</v>
      </c>
      <c r="D79" s="3">
        <v>10004751</v>
      </c>
      <c r="E79" s="4">
        <v>4534338</v>
      </c>
      <c r="F79" s="3" t="s">
        <v>49</v>
      </c>
      <c r="G79" s="4" t="s">
        <v>2408</v>
      </c>
      <c r="H79" s="4" t="s">
        <v>2301</v>
      </c>
      <c r="I79" s="5">
        <v>45000</v>
      </c>
      <c r="J79" s="30">
        <v>42109</v>
      </c>
      <c r="K79" s="30">
        <v>42185</v>
      </c>
      <c r="L79" s="3" t="s">
        <v>1046</v>
      </c>
      <c r="M79" s="4" t="s">
        <v>2409</v>
      </c>
      <c r="N79" s="3" t="s">
        <v>25</v>
      </c>
      <c r="O79" s="3" t="s">
        <v>139</v>
      </c>
      <c r="P79" s="4" t="s">
        <v>282</v>
      </c>
      <c r="Q79" s="3" t="s">
        <v>139</v>
      </c>
      <c r="R79" s="3" t="s">
        <v>427</v>
      </c>
      <c r="S79" s="4" t="s">
        <v>428</v>
      </c>
      <c r="U79" s="4" t="s">
        <v>139</v>
      </c>
      <c r="V79" s="4" t="s">
        <v>427</v>
      </c>
      <c r="W79" s="4" t="s">
        <v>428</v>
      </c>
      <c r="Y79" s="4" t="s">
        <v>2277</v>
      </c>
      <c r="Z79" s="4" t="s">
        <v>2386</v>
      </c>
      <c r="AB79" s="3"/>
      <c r="AC79" s="3"/>
      <c r="AD79" s="28">
        <v>42156</v>
      </c>
      <c r="AE79" s="3">
        <v>1000</v>
      </c>
      <c r="AI79" s="4" t="s">
        <v>2281</v>
      </c>
      <c r="AJ79" s="4" t="s">
        <v>2387</v>
      </c>
      <c r="AK79" s="3" t="s">
        <v>286</v>
      </c>
      <c r="AL79" s="4">
        <v>141902</v>
      </c>
      <c r="AM79" s="5">
        <v>45000</v>
      </c>
      <c r="AN79" s="4" t="s">
        <v>2282</v>
      </c>
      <c r="AO79" s="4">
        <v>99</v>
      </c>
      <c r="AP79" s="4">
        <v>80120000</v>
      </c>
      <c r="AQ79" s="5">
        <v>26851.56</v>
      </c>
    </row>
    <row r="80" spans="1:43" s="4" customFormat="1" x14ac:dyDescent="0.25">
      <c r="A80" s="3">
        <v>4604902</v>
      </c>
      <c r="B80" s="30">
        <v>42090</v>
      </c>
      <c r="C80" s="3" t="s">
        <v>2158</v>
      </c>
      <c r="D80" s="3">
        <v>10004710</v>
      </c>
      <c r="E80" s="4">
        <v>4534253</v>
      </c>
      <c r="F80" s="3" t="s">
        <v>49</v>
      </c>
      <c r="G80" s="4" t="s">
        <v>117</v>
      </c>
      <c r="H80" s="4" t="s">
        <v>2248</v>
      </c>
      <c r="I80" s="5">
        <v>72500</v>
      </c>
      <c r="J80" s="30">
        <v>42089</v>
      </c>
      <c r="K80" s="30">
        <v>42185</v>
      </c>
      <c r="L80" s="3" t="s">
        <v>119</v>
      </c>
      <c r="M80" s="4" t="s">
        <v>2249</v>
      </c>
      <c r="N80" s="3" t="s">
        <v>56</v>
      </c>
      <c r="O80" s="3" t="s">
        <v>139</v>
      </c>
      <c r="P80" s="4" t="s">
        <v>282</v>
      </c>
      <c r="Q80" s="3" t="s">
        <v>139</v>
      </c>
      <c r="R80" s="3" t="s">
        <v>427</v>
      </c>
      <c r="S80" s="4" t="s">
        <v>428</v>
      </c>
      <c r="U80" s="4" t="s">
        <v>139</v>
      </c>
      <c r="V80" s="4" t="s">
        <v>427</v>
      </c>
      <c r="W80" s="4" t="s">
        <v>428</v>
      </c>
      <c r="Y80" s="4" t="s">
        <v>738</v>
      </c>
      <c r="Z80" s="4" t="s">
        <v>738</v>
      </c>
      <c r="AA80" s="4" t="s">
        <v>1850</v>
      </c>
      <c r="AB80" s="3" t="s">
        <v>2250</v>
      </c>
      <c r="AC80" s="3" t="s">
        <v>1852</v>
      </c>
      <c r="AD80" s="28">
        <v>42177</v>
      </c>
      <c r="AE80" s="3">
        <v>1000</v>
      </c>
      <c r="AI80" s="4" t="s">
        <v>741</v>
      </c>
      <c r="AJ80" s="4" t="s">
        <v>741</v>
      </c>
      <c r="AK80" s="3" t="s">
        <v>286</v>
      </c>
      <c r="AL80" s="4">
        <v>44797</v>
      </c>
      <c r="AM80" s="5">
        <v>72500</v>
      </c>
      <c r="AN80" s="4" t="s">
        <v>124</v>
      </c>
      <c r="AO80" s="4">
        <v>98</v>
      </c>
      <c r="AP80" s="4">
        <v>80101603</v>
      </c>
      <c r="AQ80" s="5">
        <v>38000</v>
      </c>
    </row>
    <row r="81" spans="1:43" s="4" customFormat="1" x14ac:dyDescent="0.25">
      <c r="A81" s="3">
        <v>4604905</v>
      </c>
      <c r="B81" s="30">
        <v>42093</v>
      </c>
      <c r="C81" s="3" t="s">
        <v>2158</v>
      </c>
      <c r="D81" s="3">
        <v>10004711</v>
      </c>
      <c r="E81" s="4">
        <v>4534256</v>
      </c>
      <c r="F81" s="3" t="s">
        <v>49</v>
      </c>
      <c r="G81" s="4" t="s">
        <v>2251</v>
      </c>
      <c r="H81" s="4" t="s">
        <v>2252</v>
      </c>
      <c r="I81" s="5">
        <v>112060</v>
      </c>
      <c r="J81" s="30">
        <v>42089</v>
      </c>
      <c r="K81" s="30">
        <v>42185</v>
      </c>
      <c r="L81" s="3" t="s">
        <v>119</v>
      </c>
      <c r="M81" s="4" t="s">
        <v>2253</v>
      </c>
      <c r="N81" s="3" t="s">
        <v>56</v>
      </c>
      <c r="O81" s="3" t="s">
        <v>139</v>
      </c>
      <c r="P81" s="4" t="s">
        <v>282</v>
      </c>
      <c r="Q81" s="3" t="s">
        <v>139</v>
      </c>
      <c r="R81" s="3" t="s">
        <v>427</v>
      </c>
      <c r="S81" s="4" t="s">
        <v>428</v>
      </c>
      <c r="U81" s="4" t="s">
        <v>139</v>
      </c>
      <c r="V81" s="4" t="s">
        <v>427</v>
      </c>
      <c r="W81" s="4" t="s">
        <v>428</v>
      </c>
      <c r="Y81" s="4" t="s">
        <v>738</v>
      </c>
      <c r="Z81" s="4" t="s">
        <v>2254</v>
      </c>
      <c r="AA81" s="4" t="s">
        <v>1850</v>
      </c>
      <c r="AB81" s="3" t="s">
        <v>2255</v>
      </c>
      <c r="AC81" s="3" t="s">
        <v>1852</v>
      </c>
      <c r="AD81" s="28">
        <v>42177</v>
      </c>
      <c r="AE81" s="3">
        <v>1000</v>
      </c>
      <c r="AI81" s="4" t="s">
        <v>741</v>
      </c>
      <c r="AJ81" s="4" t="s">
        <v>2256</v>
      </c>
      <c r="AK81" s="3" t="s">
        <v>286</v>
      </c>
      <c r="AL81" s="4">
        <v>141875</v>
      </c>
      <c r="AM81" s="5">
        <v>112060</v>
      </c>
      <c r="AN81" s="4" t="s">
        <v>124</v>
      </c>
      <c r="AO81" s="4">
        <v>98</v>
      </c>
      <c r="AP81" s="4">
        <v>80101507</v>
      </c>
      <c r="AQ81" s="5">
        <v>66655.240000000005</v>
      </c>
    </row>
    <row r="82" spans="1:43" s="4" customFormat="1" x14ac:dyDescent="0.25">
      <c r="A82" s="3">
        <v>4604921</v>
      </c>
      <c r="B82" s="30">
        <v>42095</v>
      </c>
      <c r="C82" s="3" t="s">
        <v>392</v>
      </c>
      <c r="D82" s="3">
        <v>10004708</v>
      </c>
      <c r="E82" s="4">
        <v>4534272</v>
      </c>
      <c r="F82" s="3" t="s">
        <v>49</v>
      </c>
      <c r="G82" s="4" t="s">
        <v>372</v>
      </c>
      <c r="H82" s="4" t="s">
        <v>503</v>
      </c>
      <c r="I82" s="5">
        <v>64500</v>
      </c>
      <c r="J82" s="30">
        <v>42095</v>
      </c>
      <c r="K82" s="30">
        <v>42277</v>
      </c>
      <c r="L82" s="3" t="s">
        <v>119</v>
      </c>
      <c r="M82" s="4" t="s">
        <v>503</v>
      </c>
      <c r="N82" s="3" t="s">
        <v>25</v>
      </c>
      <c r="O82" s="3" t="s">
        <v>139</v>
      </c>
      <c r="P82" s="4" t="s">
        <v>282</v>
      </c>
      <c r="Q82" s="3"/>
      <c r="R82" s="3"/>
      <c r="Y82" s="4" t="s">
        <v>505</v>
      </c>
      <c r="Z82" s="4" t="s">
        <v>505</v>
      </c>
      <c r="AA82" s="4" t="s">
        <v>506</v>
      </c>
      <c r="AB82" s="3"/>
      <c r="AC82" s="3"/>
      <c r="AD82" s="28">
        <v>42107</v>
      </c>
      <c r="AE82" s="3">
        <v>1000</v>
      </c>
      <c r="AI82" s="4" t="s">
        <v>507</v>
      </c>
      <c r="AJ82" s="4" t="s">
        <v>507</v>
      </c>
      <c r="AK82" s="3" t="s">
        <v>286</v>
      </c>
      <c r="AL82" s="4">
        <v>43825</v>
      </c>
      <c r="AM82" s="5">
        <v>64500</v>
      </c>
      <c r="AN82" s="4" t="s">
        <v>124</v>
      </c>
      <c r="AO82" s="4">
        <v>99</v>
      </c>
      <c r="AP82" s="4">
        <v>80101505</v>
      </c>
      <c r="AQ82" s="5">
        <v>62734.13</v>
      </c>
    </row>
    <row r="83" spans="1:43" s="4" customFormat="1" x14ac:dyDescent="0.25">
      <c r="A83" s="3">
        <v>4604924</v>
      </c>
      <c r="B83" s="30">
        <v>42095</v>
      </c>
      <c r="C83" s="3" t="s">
        <v>392</v>
      </c>
      <c r="D83" s="3">
        <v>10004708</v>
      </c>
      <c r="E83" s="4">
        <v>4534275</v>
      </c>
      <c r="F83" s="3" t="s">
        <v>49</v>
      </c>
      <c r="G83" s="4" t="s">
        <v>508</v>
      </c>
      <c r="H83" s="4" t="s">
        <v>503</v>
      </c>
      <c r="I83" s="5">
        <v>79500</v>
      </c>
      <c r="J83" s="30">
        <v>42095</v>
      </c>
      <c r="K83" s="30">
        <v>42277</v>
      </c>
      <c r="L83" s="3" t="s">
        <v>119</v>
      </c>
      <c r="M83" s="4" t="s">
        <v>503</v>
      </c>
      <c r="N83" s="3" t="s">
        <v>25</v>
      </c>
      <c r="O83" s="3" t="s">
        <v>139</v>
      </c>
      <c r="P83" s="4" t="s">
        <v>282</v>
      </c>
      <c r="Q83" s="3"/>
      <c r="R83" s="3"/>
      <c r="Y83" s="4" t="s">
        <v>505</v>
      </c>
      <c r="Z83" s="4" t="s">
        <v>505</v>
      </c>
      <c r="AA83" s="4" t="s">
        <v>509</v>
      </c>
      <c r="AB83" s="3"/>
      <c r="AC83" s="3"/>
      <c r="AD83" s="28">
        <v>42108</v>
      </c>
      <c r="AE83" s="3">
        <v>1000</v>
      </c>
      <c r="AI83" s="4" t="s">
        <v>507</v>
      </c>
      <c r="AJ83" s="4" t="s">
        <v>507</v>
      </c>
      <c r="AK83" s="3" t="s">
        <v>286</v>
      </c>
      <c r="AL83" s="4">
        <v>140425</v>
      </c>
      <c r="AM83" s="5">
        <v>79500</v>
      </c>
      <c r="AN83" s="4" t="s">
        <v>124</v>
      </c>
      <c r="AO83" s="4">
        <v>99</v>
      </c>
      <c r="AP83" s="4">
        <v>80101505</v>
      </c>
      <c r="AQ83" s="5">
        <v>79500</v>
      </c>
    </row>
    <row r="84" spans="1:43" s="4" customFormat="1" x14ac:dyDescent="0.25">
      <c r="A84" s="3">
        <v>4604953</v>
      </c>
      <c r="B84" s="30">
        <v>42095</v>
      </c>
      <c r="C84" s="3" t="s">
        <v>392</v>
      </c>
      <c r="D84" s="3">
        <v>10004708</v>
      </c>
      <c r="E84" s="4">
        <v>4534304</v>
      </c>
      <c r="F84" s="3" t="s">
        <v>49</v>
      </c>
      <c r="G84" s="4" t="s">
        <v>525</v>
      </c>
      <c r="H84" s="4" t="s">
        <v>503</v>
      </c>
      <c r="I84" s="5">
        <v>135500</v>
      </c>
      <c r="J84" s="30">
        <v>42095</v>
      </c>
      <c r="K84" s="30">
        <v>42277</v>
      </c>
      <c r="L84" s="3" t="s">
        <v>119</v>
      </c>
      <c r="M84" s="4" t="s">
        <v>503</v>
      </c>
      <c r="N84" s="3" t="s">
        <v>25</v>
      </c>
      <c r="O84" s="3" t="s">
        <v>139</v>
      </c>
      <c r="P84" s="4" t="s">
        <v>282</v>
      </c>
      <c r="Q84" s="3"/>
      <c r="R84" s="3"/>
      <c r="Y84" s="4" t="s">
        <v>505</v>
      </c>
      <c r="Z84" s="4" t="s">
        <v>505</v>
      </c>
      <c r="AA84" s="4" t="s">
        <v>526</v>
      </c>
      <c r="AB84" s="3"/>
      <c r="AC84" s="3"/>
      <c r="AD84" s="28">
        <v>42129</v>
      </c>
      <c r="AE84" s="3">
        <v>1000</v>
      </c>
      <c r="AI84" s="4" t="s">
        <v>507</v>
      </c>
      <c r="AJ84" s="4" t="s">
        <v>507</v>
      </c>
      <c r="AK84" s="3" t="s">
        <v>286</v>
      </c>
      <c r="AL84" s="4">
        <v>141897</v>
      </c>
      <c r="AM84" s="5">
        <v>135500</v>
      </c>
      <c r="AN84" s="4" t="s">
        <v>124</v>
      </c>
      <c r="AO84" s="4">
        <v>99</v>
      </c>
      <c r="AP84" s="4">
        <v>80101505</v>
      </c>
      <c r="AQ84" s="5">
        <v>135500</v>
      </c>
    </row>
    <row r="85" spans="1:43" s="4" customFormat="1" x14ac:dyDescent="0.25">
      <c r="A85" s="3">
        <v>4604936</v>
      </c>
      <c r="B85" s="30">
        <v>42103</v>
      </c>
      <c r="C85" s="3" t="s">
        <v>1278</v>
      </c>
      <c r="D85" s="3">
        <v>10004750</v>
      </c>
      <c r="E85" s="4">
        <v>4534287</v>
      </c>
      <c r="F85" s="3" t="s">
        <v>49</v>
      </c>
      <c r="G85" s="4" t="s">
        <v>1916</v>
      </c>
      <c r="H85" s="4" t="s">
        <v>1917</v>
      </c>
      <c r="I85" s="5">
        <v>18000</v>
      </c>
      <c r="J85" s="30">
        <v>42103</v>
      </c>
      <c r="K85" s="30">
        <v>42185</v>
      </c>
      <c r="L85" s="3" t="s">
        <v>196</v>
      </c>
      <c r="M85" s="4" t="s">
        <v>1917</v>
      </c>
      <c r="N85" s="3" t="s">
        <v>25</v>
      </c>
      <c r="O85" s="3" t="s">
        <v>139</v>
      </c>
      <c r="P85" s="4" t="s">
        <v>282</v>
      </c>
      <c r="Q85" s="3"/>
      <c r="R85" s="3"/>
      <c r="Y85" s="4" t="s">
        <v>1176</v>
      </c>
      <c r="Z85" s="4" t="s">
        <v>1176</v>
      </c>
      <c r="AB85" s="3"/>
      <c r="AC85" s="3"/>
      <c r="AD85" s="28">
        <v>42179</v>
      </c>
      <c r="AE85" s="3">
        <v>1000</v>
      </c>
      <c r="AI85" s="4" t="s">
        <v>1178</v>
      </c>
      <c r="AJ85" s="4" t="s">
        <v>1178</v>
      </c>
      <c r="AK85" s="3" t="s">
        <v>286</v>
      </c>
      <c r="AL85" s="4">
        <v>141887</v>
      </c>
      <c r="AM85" s="5">
        <v>18000</v>
      </c>
      <c r="AN85" s="4" t="s">
        <v>124</v>
      </c>
      <c r="AO85" s="4">
        <v>99</v>
      </c>
      <c r="AP85" s="4">
        <v>80100000</v>
      </c>
      <c r="AQ85" s="5">
        <v>9272.75</v>
      </c>
    </row>
    <row r="86" spans="1:43" s="4" customFormat="1" x14ac:dyDescent="0.25">
      <c r="A86" s="3">
        <v>4604315</v>
      </c>
      <c r="B86" s="30">
        <v>42104</v>
      </c>
      <c r="C86" s="3" t="s">
        <v>1278</v>
      </c>
      <c r="D86" s="3">
        <v>10004089</v>
      </c>
      <c r="E86" s="4">
        <v>4533666</v>
      </c>
      <c r="F86" s="3" t="s">
        <v>49</v>
      </c>
      <c r="G86" s="4" t="s">
        <v>1174</v>
      </c>
      <c r="H86" s="4" t="s">
        <v>1281</v>
      </c>
      <c r="I86" s="5">
        <v>8897</v>
      </c>
      <c r="J86" s="30">
        <v>41626</v>
      </c>
      <c r="K86" s="30">
        <v>42035</v>
      </c>
      <c r="L86" s="3" t="s">
        <v>119</v>
      </c>
      <c r="M86" s="4" t="s">
        <v>1283</v>
      </c>
      <c r="N86" s="3" t="s">
        <v>56</v>
      </c>
      <c r="O86" s="3" t="s">
        <v>139</v>
      </c>
      <c r="P86" s="4" t="s">
        <v>140</v>
      </c>
      <c r="Q86" s="3"/>
      <c r="R86" s="3"/>
      <c r="Y86" s="4" t="s">
        <v>260</v>
      </c>
      <c r="Z86" s="4" t="s">
        <v>38</v>
      </c>
      <c r="AA86" s="4" t="s">
        <v>1284</v>
      </c>
      <c r="AB86" s="3" t="s">
        <v>1285</v>
      </c>
      <c r="AC86" s="3" t="s">
        <v>1286</v>
      </c>
      <c r="AD86" s="28">
        <v>42104</v>
      </c>
      <c r="AE86" s="3">
        <v>1000</v>
      </c>
      <c r="AI86" s="4" t="s">
        <v>261</v>
      </c>
      <c r="AJ86" s="4" t="s">
        <v>40</v>
      </c>
      <c r="AK86" s="3" t="s">
        <v>143</v>
      </c>
      <c r="AL86" s="4">
        <v>42811</v>
      </c>
      <c r="AM86" s="5">
        <v>8897</v>
      </c>
      <c r="AN86" s="4" t="s">
        <v>124</v>
      </c>
      <c r="AO86" s="4">
        <v>99</v>
      </c>
      <c r="AP86" s="4">
        <v>80100000</v>
      </c>
      <c r="AQ86" s="4">
        <v>0</v>
      </c>
    </row>
    <row r="87" spans="1:43" s="4" customFormat="1" x14ac:dyDescent="0.25">
      <c r="A87" s="3">
        <v>4604758</v>
      </c>
      <c r="B87" s="30">
        <v>42107</v>
      </c>
      <c r="C87" s="3" t="s">
        <v>1278</v>
      </c>
      <c r="D87" s="3">
        <v>10004519</v>
      </c>
      <c r="E87" s="4">
        <v>4534109</v>
      </c>
      <c r="F87" s="3" t="s">
        <v>49</v>
      </c>
      <c r="G87" s="4" t="s">
        <v>1551</v>
      </c>
      <c r="H87" s="4" t="s">
        <v>1705</v>
      </c>
      <c r="I87" s="5">
        <v>61640.2</v>
      </c>
      <c r="J87" s="30">
        <v>41904</v>
      </c>
      <c r="K87" s="30">
        <v>41984</v>
      </c>
      <c r="L87" s="3" t="s">
        <v>196</v>
      </c>
      <c r="M87" s="4" t="s">
        <v>1705</v>
      </c>
      <c r="N87" s="3" t="s">
        <v>25</v>
      </c>
      <c r="O87" s="3" t="s">
        <v>139</v>
      </c>
      <c r="P87" s="4" t="s">
        <v>140</v>
      </c>
      <c r="Q87" s="3"/>
      <c r="R87" s="3"/>
      <c r="Y87" s="4" t="s">
        <v>540</v>
      </c>
      <c r="Z87" s="4" t="s">
        <v>540</v>
      </c>
      <c r="AB87" s="3"/>
      <c r="AC87" s="3"/>
      <c r="AD87" s="28">
        <v>42107</v>
      </c>
      <c r="AE87" s="3">
        <v>1000</v>
      </c>
      <c r="AI87" s="4" t="s">
        <v>542</v>
      </c>
      <c r="AJ87" s="4" t="s">
        <v>542</v>
      </c>
      <c r="AK87" s="3" t="s">
        <v>143</v>
      </c>
      <c r="AL87" s="4">
        <v>141105</v>
      </c>
      <c r="AM87" s="5">
        <v>61640.2</v>
      </c>
      <c r="AN87" s="4" t="s">
        <v>124</v>
      </c>
      <c r="AO87" s="4">
        <v>99</v>
      </c>
      <c r="AP87" s="4">
        <v>80101505</v>
      </c>
      <c r="AQ87" s="5">
        <v>61640.2</v>
      </c>
    </row>
    <row r="88" spans="1:43" s="4" customFormat="1" x14ac:dyDescent="0.25">
      <c r="A88" s="3">
        <v>4604926</v>
      </c>
      <c r="B88" s="30">
        <v>42108</v>
      </c>
      <c r="C88" s="3" t="s">
        <v>2342</v>
      </c>
      <c r="D88" s="3">
        <v>10004746</v>
      </c>
      <c r="E88" s="4">
        <v>4534277</v>
      </c>
      <c r="F88" s="3" t="s">
        <v>49</v>
      </c>
      <c r="G88" s="4" t="s">
        <v>2300</v>
      </c>
      <c r="H88" s="4" t="s">
        <v>2404</v>
      </c>
      <c r="I88" s="5">
        <v>15400</v>
      </c>
      <c r="J88" s="30">
        <v>42108</v>
      </c>
      <c r="K88" s="30">
        <v>42181</v>
      </c>
      <c r="L88" s="3" t="s">
        <v>119</v>
      </c>
      <c r="M88" s="4" t="s">
        <v>2405</v>
      </c>
      <c r="N88" s="3" t="s">
        <v>56</v>
      </c>
      <c r="O88" s="3" t="s">
        <v>139</v>
      </c>
      <c r="P88" s="4" t="s">
        <v>282</v>
      </c>
      <c r="Q88" s="3" t="s">
        <v>139</v>
      </c>
      <c r="R88" s="3" t="s">
        <v>215</v>
      </c>
      <c r="S88" s="4" t="s">
        <v>216</v>
      </c>
      <c r="U88" s="4" t="s">
        <v>139</v>
      </c>
      <c r="V88" s="4" t="s">
        <v>427</v>
      </c>
      <c r="W88" s="4" t="s">
        <v>428</v>
      </c>
      <c r="Y88" s="4" t="s">
        <v>2286</v>
      </c>
      <c r="Z88" s="4" t="s">
        <v>2286</v>
      </c>
      <c r="AA88" s="4" t="s">
        <v>2294</v>
      </c>
      <c r="AB88" s="3" t="s">
        <v>2303</v>
      </c>
      <c r="AC88" s="3" t="s">
        <v>2296</v>
      </c>
      <c r="AD88" s="28">
        <v>42139</v>
      </c>
      <c r="AE88" s="3">
        <v>1000</v>
      </c>
      <c r="AI88" s="4" t="s">
        <v>2288</v>
      </c>
      <c r="AJ88" s="4" t="s">
        <v>2288</v>
      </c>
      <c r="AK88" s="3" t="s">
        <v>286</v>
      </c>
      <c r="AL88" s="4">
        <v>30080</v>
      </c>
      <c r="AM88" s="5">
        <v>15400</v>
      </c>
      <c r="AN88" s="4" t="s">
        <v>2282</v>
      </c>
      <c r="AO88" s="4">
        <v>99</v>
      </c>
      <c r="AP88" s="4">
        <v>80120000</v>
      </c>
      <c r="AQ88" s="5">
        <v>14457.3</v>
      </c>
    </row>
    <row r="89" spans="1:43" s="4" customFormat="1" x14ac:dyDescent="0.25">
      <c r="A89" s="3">
        <v>4604944</v>
      </c>
      <c r="B89" s="30">
        <v>42108</v>
      </c>
      <c r="C89" s="3" t="s">
        <v>1278</v>
      </c>
      <c r="D89" s="3">
        <v>10004740</v>
      </c>
      <c r="E89" s="4">
        <v>4534295</v>
      </c>
      <c r="F89" s="3" t="s">
        <v>49</v>
      </c>
      <c r="G89" s="4" t="s">
        <v>1744</v>
      </c>
      <c r="H89" s="4" t="s">
        <v>1920</v>
      </c>
      <c r="I89" s="5">
        <v>85410.7</v>
      </c>
      <c r="J89" s="30">
        <v>42107</v>
      </c>
      <c r="K89" s="30">
        <v>42185</v>
      </c>
      <c r="L89" s="3" t="s">
        <v>119</v>
      </c>
      <c r="M89" s="4" t="s">
        <v>1920</v>
      </c>
      <c r="N89" s="3" t="s">
        <v>56</v>
      </c>
      <c r="O89" s="3" t="s">
        <v>139</v>
      </c>
      <c r="P89" s="4" t="s">
        <v>140</v>
      </c>
      <c r="Q89" s="3"/>
      <c r="R89" s="3"/>
      <c r="Y89" s="4" t="s">
        <v>405</v>
      </c>
      <c r="Z89" s="4" t="s">
        <v>405</v>
      </c>
      <c r="AA89" s="4" t="s">
        <v>1284</v>
      </c>
      <c r="AB89" s="3" t="s">
        <v>1921</v>
      </c>
      <c r="AC89" s="3" t="s">
        <v>1286</v>
      </c>
      <c r="AD89" s="28">
        <v>42123</v>
      </c>
      <c r="AE89" s="3">
        <v>1000</v>
      </c>
      <c r="AI89" s="4" t="s">
        <v>408</v>
      </c>
      <c r="AJ89" s="4" t="s">
        <v>408</v>
      </c>
      <c r="AK89" s="3" t="s">
        <v>143</v>
      </c>
      <c r="AL89" s="4">
        <v>140381</v>
      </c>
      <c r="AM89" s="5">
        <v>85410.7</v>
      </c>
      <c r="AN89" s="4" t="s">
        <v>124</v>
      </c>
      <c r="AO89" s="4">
        <v>99</v>
      </c>
      <c r="AP89" s="4">
        <v>80101507</v>
      </c>
      <c r="AQ89" s="4">
        <v>0</v>
      </c>
    </row>
    <row r="90" spans="1:43" s="4" customFormat="1" x14ac:dyDescent="0.25">
      <c r="A90" s="3">
        <v>4605010</v>
      </c>
      <c r="B90" s="30">
        <v>42150</v>
      </c>
      <c r="C90" s="3" t="s">
        <v>288</v>
      </c>
      <c r="D90" s="3">
        <v>10004859</v>
      </c>
      <c r="E90" s="4">
        <v>4534361</v>
      </c>
      <c r="F90" s="3" t="s">
        <v>49</v>
      </c>
      <c r="G90" s="4" t="s">
        <v>383</v>
      </c>
      <c r="H90" s="4" t="s">
        <v>384</v>
      </c>
      <c r="I90" s="5">
        <v>33000</v>
      </c>
      <c r="J90" s="30">
        <v>42173</v>
      </c>
      <c r="K90" s="30">
        <v>42248</v>
      </c>
      <c r="L90" s="3" t="s">
        <v>196</v>
      </c>
      <c r="M90" s="4" t="s">
        <v>384</v>
      </c>
      <c r="N90" s="3" t="s">
        <v>25</v>
      </c>
      <c r="O90" s="3" t="s">
        <v>139</v>
      </c>
      <c r="P90" s="4" t="s">
        <v>282</v>
      </c>
      <c r="Q90" s="3"/>
      <c r="R90" s="3"/>
      <c r="Y90" s="4" t="s">
        <v>379</v>
      </c>
      <c r="Z90" s="4" t="s">
        <v>379</v>
      </c>
      <c r="AA90" s="4" t="s">
        <v>387</v>
      </c>
      <c r="AB90" s="3"/>
      <c r="AC90" s="3"/>
      <c r="AD90" s="28">
        <v>42172</v>
      </c>
      <c r="AE90" s="3">
        <v>1000</v>
      </c>
      <c r="AI90" s="4" t="s">
        <v>381</v>
      </c>
      <c r="AJ90" s="4" t="s">
        <v>381</v>
      </c>
      <c r="AK90" s="3" t="s">
        <v>286</v>
      </c>
      <c r="AL90" s="4">
        <v>141621</v>
      </c>
      <c r="AM90" s="5">
        <v>33000</v>
      </c>
      <c r="AN90" s="4" t="s">
        <v>124</v>
      </c>
      <c r="AO90" s="4">
        <v>99</v>
      </c>
      <c r="AP90" s="4">
        <v>80110000</v>
      </c>
      <c r="AQ90" s="4">
        <v>0</v>
      </c>
    </row>
    <row r="91" spans="1:43" s="4" customFormat="1" x14ac:dyDescent="0.25">
      <c r="A91" s="3">
        <v>4605047</v>
      </c>
      <c r="B91" s="30">
        <v>42156</v>
      </c>
      <c r="C91" s="3" t="s">
        <v>2342</v>
      </c>
      <c r="D91" s="3">
        <v>10004898</v>
      </c>
      <c r="E91" s="4">
        <v>4534398</v>
      </c>
      <c r="F91" s="3" t="s">
        <v>49</v>
      </c>
      <c r="G91" s="4" t="s">
        <v>2300</v>
      </c>
      <c r="I91" s="5">
        <v>5000</v>
      </c>
      <c r="J91" s="30">
        <v>42156</v>
      </c>
      <c r="K91" s="30">
        <v>42185</v>
      </c>
      <c r="L91" s="3" t="s">
        <v>1046</v>
      </c>
      <c r="M91" s="4" t="s">
        <v>2413</v>
      </c>
      <c r="N91" s="3" t="s">
        <v>25</v>
      </c>
      <c r="O91" s="3" t="s">
        <v>139</v>
      </c>
      <c r="P91" s="4" t="s">
        <v>282</v>
      </c>
      <c r="Q91" s="3"/>
      <c r="R91" s="3"/>
      <c r="Y91" s="4" t="s">
        <v>2277</v>
      </c>
      <c r="Z91" s="4" t="s">
        <v>2386</v>
      </c>
      <c r="AB91" s="3"/>
      <c r="AC91" s="3"/>
      <c r="AD91" s="28">
        <v>42185</v>
      </c>
      <c r="AE91" s="3">
        <v>1000</v>
      </c>
      <c r="AI91" s="4" t="s">
        <v>2281</v>
      </c>
      <c r="AJ91" s="4" t="s">
        <v>2387</v>
      </c>
      <c r="AK91" s="3" t="s">
        <v>286</v>
      </c>
      <c r="AL91" s="4">
        <v>30080</v>
      </c>
      <c r="AM91" s="5">
        <v>5000</v>
      </c>
      <c r="AN91" s="4" t="s">
        <v>2282</v>
      </c>
      <c r="AQ91" s="4">
        <v>0</v>
      </c>
    </row>
    <row r="92" spans="1:43" s="4" customFormat="1" x14ac:dyDescent="0.25">
      <c r="A92" s="3">
        <v>4605011</v>
      </c>
      <c r="B92" s="30">
        <v>42369</v>
      </c>
      <c r="C92" s="3" t="s">
        <v>2342</v>
      </c>
      <c r="D92" s="3">
        <v>10004860</v>
      </c>
      <c r="E92" s="4">
        <v>4534362</v>
      </c>
      <c r="F92" s="3" t="s">
        <v>49</v>
      </c>
      <c r="G92" s="4" t="s">
        <v>2300</v>
      </c>
      <c r="I92" s="5">
        <v>4000</v>
      </c>
      <c r="J92" s="30">
        <v>42156</v>
      </c>
      <c r="K92" s="30">
        <v>42368</v>
      </c>
      <c r="L92" s="3" t="s">
        <v>1046</v>
      </c>
      <c r="M92" s="4" t="s">
        <v>2410</v>
      </c>
      <c r="N92" s="3" t="s">
        <v>25</v>
      </c>
      <c r="O92" s="3" t="s">
        <v>139</v>
      </c>
      <c r="P92" s="4" t="s">
        <v>282</v>
      </c>
      <c r="Q92" s="3"/>
      <c r="R92" s="3"/>
      <c r="Y92" s="4" t="s">
        <v>2277</v>
      </c>
      <c r="Z92" s="4" t="s">
        <v>2386</v>
      </c>
      <c r="AB92" s="3"/>
      <c r="AC92" s="3"/>
      <c r="AD92" s="28">
        <v>42170</v>
      </c>
      <c r="AE92" s="3">
        <v>1000</v>
      </c>
      <c r="AI92" s="4" t="s">
        <v>2281</v>
      </c>
      <c r="AJ92" s="4" t="s">
        <v>2387</v>
      </c>
      <c r="AK92" s="3" t="s">
        <v>286</v>
      </c>
      <c r="AL92" s="4">
        <v>30080</v>
      </c>
      <c r="AM92" s="5">
        <v>4000</v>
      </c>
      <c r="AN92" s="4" t="s">
        <v>2282</v>
      </c>
      <c r="AQ92" s="4">
        <v>0</v>
      </c>
    </row>
    <row r="93" spans="1:43" s="4" customFormat="1" x14ac:dyDescent="0.25">
      <c r="A93" s="3">
        <v>4604998</v>
      </c>
      <c r="B93" s="30">
        <v>42160</v>
      </c>
      <c r="C93" s="3" t="s">
        <v>288</v>
      </c>
      <c r="D93" s="3">
        <v>10004851</v>
      </c>
      <c r="E93" s="4">
        <v>4534349</v>
      </c>
      <c r="F93" s="3" t="s">
        <v>49</v>
      </c>
      <c r="G93" s="4" t="s">
        <v>372</v>
      </c>
      <c r="H93" s="4" t="s">
        <v>373</v>
      </c>
      <c r="I93" s="5">
        <v>64900</v>
      </c>
      <c r="J93" s="30">
        <v>42160</v>
      </c>
      <c r="K93" s="30">
        <v>42216</v>
      </c>
      <c r="L93" s="3" t="s">
        <v>119</v>
      </c>
      <c r="M93" s="4" t="s">
        <v>373</v>
      </c>
      <c r="N93" s="3" t="s">
        <v>56</v>
      </c>
      <c r="O93" s="3" t="s">
        <v>139</v>
      </c>
      <c r="P93" s="4" t="s">
        <v>140</v>
      </c>
      <c r="Q93" s="3"/>
      <c r="R93" s="3"/>
      <c r="Y93" s="4" t="s">
        <v>120</v>
      </c>
      <c r="Z93" s="4" t="s">
        <v>332</v>
      </c>
      <c r="AA93" s="4" t="s">
        <v>356</v>
      </c>
      <c r="AB93" s="3" t="s">
        <v>375</v>
      </c>
      <c r="AC93" s="3" t="s">
        <v>358</v>
      </c>
      <c r="AD93" s="28">
        <v>42170</v>
      </c>
      <c r="AE93" s="3">
        <v>1000</v>
      </c>
      <c r="AI93" s="4" t="s">
        <v>123</v>
      </c>
      <c r="AJ93" s="4" t="s">
        <v>334</v>
      </c>
      <c r="AK93" s="3" t="s">
        <v>143</v>
      </c>
      <c r="AL93" s="4">
        <v>43825</v>
      </c>
      <c r="AM93" s="5">
        <v>64900</v>
      </c>
      <c r="AN93" s="4" t="s">
        <v>124</v>
      </c>
      <c r="AO93" s="4">
        <v>99</v>
      </c>
      <c r="AP93" s="4">
        <v>80100000</v>
      </c>
      <c r="AQ93" s="4">
        <v>0</v>
      </c>
    </row>
    <row r="94" spans="1:43" s="4" customFormat="1" x14ac:dyDescent="0.25">
      <c r="A94" s="3">
        <v>4605017</v>
      </c>
      <c r="B94" s="30">
        <v>42167</v>
      </c>
      <c r="C94" s="3" t="s">
        <v>2158</v>
      </c>
      <c r="D94" s="3">
        <v>10004834</v>
      </c>
      <c r="E94" s="4">
        <v>4534368</v>
      </c>
      <c r="F94" s="3" t="s">
        <v>49</v>
      </c>
      <c r="G94" s="4" t="s">
        <v>2268</v>
      </c>
      <c r="H94" s="4" t="s">
        <v>2269</v>
      </c>
      <c r="I94" s="5">
        <v>52800</v>
      </c>
      <c r="J94" s="30">
        <v>42156</v>
      </c>
      <c r="K94" s="30">
        <v>42185</v>
      </c>
      <c r="L94" s="3" t="s">
        <v>196</v>
      </c>
      <c r="M94" s="4" t="s">
        <v>2270</v>
      </c>
      <c r="N94" s="3" t="s">
        <v>25</v>
      </c>
      <c r="O94" s="3" t="s">
        <v>139</v>
      </c>
      <c r="P94" s="4" t="s">
        <v>282</v>
      </c>
      <c r="Q94" s="3"/>
      <c r="R94" s="3"/>
      <c r="Y94" s="4" t="s">
        <v>767</v>
      </c>
      <c r="Z94" s="4" t="s">
        <v>767</v>
      </c>
      <c r="AB94" s="3"/>
      <c r="AC94" s="3"/>
      <c r="AD94" s="28">
        <v>42172</v>
      </c>
      <c r="AE94" s="3">
        <v>1000</v>
      </c>
      <c r="AI94" s="4" t="s">
        <v>769</v>
      </c>
      <c r="AJ94" s="4" t="s">
        <v>769</v>
      </c>
      <c r="AK94" s="3" t="s">
        <v>286</v>
      </c>
      <c r="AL94" s="4">
        <v>140501</v>
      </c>
      <c r="AM94" s="5">
        <v>52800</v>
      </c>
      <c r="AN94" s="4" t="s">
        <v>124</v>
      </c>
      <c r="AO94" s="4">
        <v>99</v>
      </c>
      <c r="AP94" s="4">
        <v>80101507</v>
      </c>
      <c r="AQ94" s="4">
        <v>0</v>
      </c>
    </row>
    <row r="95" spans="1:43" s="4" customFormat="1" x14ac:dyDescent="0.25">
      <c r="A95" s="3">
        <v>4605018</v>
      </c>
      <c r="B95" s="30">
        <v>42167</v>
      </c>
      <c r="C95" s="3" t="s">
        <v>2158</v>
      </c>
      <c r="D95" s="3">
        <v>10004834</v>
      </c>
      <c r="E95" s="4">
        <v>4534369</v>
      </c>
      <c r="F95" s="3" t="s">
        <v>49</v>
      </c>
      <c r="G95" s="4" t="s">
        <v>2268</v>
      </c>
      <c r="H95" s="4" t="s">
        <v>2271</v>
      </c>
      <c r="I95" s="5">
        <v>44000</v>
      </c>
      <c r="J95" s="30">
        <v>42156</v>
      </c>
      <c r="K95" s="30">
        <v>42185</v>
      </c>
      <c r="L95" s="3" t="s">
        <v>196</v>
      </c>
      <c r="M95" s="4" t="s">
        <v>2270</v>
      </c>
      <c r="N95" s="3" t="s">
        <v>25</v>
      </c>
      <c r="O95" s="3" t="s">
        <v>139</v>
      </c>
      <c r="P95" s="4" t="s">
        <v>282</v>
      </c>
      <c r="Q95" s="3"/>
      <c r="R95" s="3"/>
      <c r="Y95" s="4" t="s">
        <v>767</v>
      </c>
      <c r="Z95" s="4" t="s">
        <v>767</v>
      </c>
      <c r="AB95" s="3"/>
      <c r="AC95" s="3"/>
      <c r="AD95" s="28">
        <v>42174</v>
      </c>
      <c r="AE95" s="3">
        <v>1000</v>
      </c>
      <c r="AI95" s="4" t="s">
        <v>769</v>
      </c>
      <c r="AJ95" s="4" t="s">
        <v>769</v>
      </c>
      <c r="AK95" s="3" t="s">
        <v>286</v>
      </c>
      <c r="AL95" s="4">
        <v>140501</v>
      </c>
      <c r="AM95" s="5">
        <v>44000</v>
      </c>
      <c r="AN95" s="4" t="s">
        <v>124</v>
      </c>
      <c r="AO95" s="4">
        <v>99</v>
      </c>
      <c r="AP95" s="4">
        <v>80101507</v>
      </c>
      <c r="AQ95" s="4">
        <v>0</v>
      </c>
    </row>
    <row r="96" spans="1:43" s="4" customFormat="1" x14ac:dyDescent="0.25">
      <c r="A96" s="3">
        <v>4605075</v>
      </c>
      <c r="B96" s="30">
        <v>42171</v>
      </c>
      <c r="C96" s="3" t="s">
        <v>2342</v>
      </c>
      <c r="D96" s="3">
        <v>10004935</v>
      </c>
      <c r="E96" s="4">
        <v>4534426</v>
      </c>
      <c r="F96" s="3" t="s">
        <v>49</v>
      </c>
      <c r="G96" s="4" t="s">
        <v>2300</v>
      </c>
      <c r="I96" s="5">
        <v>5000</v>
      </c>
      <c r="J96" s="30">
        <v>42171</v>
      </c>
      <c r="K96" s="30">
        <v>42369</v>
      </c>
      <c r="L96" s="3" t="s">
        <v>1046</v>
      </c>
      <c r="M96" s="4" t="s">
        <v>2414</v>
      </c>
      <c r="N96" s="3" t="s">
        <v>25</v>
      </c>
      <c r="O96" s="3" t="s">
        <v>139</v>
      </c>
      <c r="P96" s="4" t="s">
        <v>282</v>
      </c>
      <c r="Q96" s="3"/>
      <c r="R96" s="3"/>
      <c r="Y96" s="4" t="s">
        <v>2277</v>
      </c>
      <c r="Z96" s="4" t="s">
        <v>2386</v>
      </c>
      <c r="AB96" s="3"/>
      <c r="AC96" s="3"/>
      <c r="AD96" s="28">
        <v>42188</v>
      </c>
      <c r="AE96" s="3">
        <v>1000</v>
      </c>
      <c r="AI96" s="4" t="s">
        <v>2281</v>
      </c>
      <c r="AJ96" s="4" t="s">
        <v>2387</v>
      </c>
      <c r="AK96" s="3" t="s">
        <v>286</v>
      </c>
      <c r="AL96" s="4">
        <v>30080</v>
      </c>
      <c r="AM96" s="5">
        <v>5000</v>
      </c>
      <c r="AN96" s="4" t="s">
        <v>2282</v>
      </c>
      <c r="AQ96" s="4">
        <v>0</v>
      </c>
    </row>
    <row r="97" spans="1:43" s="4" customFormat="1" x14ac:dyDescent="0.25">
      <c r="A97" s="3">
        <v>4605054</v>
      </c>
      <c r="B97" s="30">
        <v>42184</v>
      </c>
      <c r="C97" s="3" t="s">
        <v>392</v>
      </c>
      <c r="D97" s="3">
        <v>10004824</v>
      </c>
      <c r="E97" s="4">
        <v>4534405</v>
      </c>
      <c r="F97" s="3" t="s">
        <v>49</v>
      </c>
      <c r="G97" s="4" t="s">
        <v>553</v>
      </c>
      <c r="H97" s="4" t="s">
        <v>554</v>
      </c>
      <c r="I97" s="34">
        <v>77000</v>
      </c>
      <c r="J97" s="30">
        <v>42166</v>
      </c>
      <c r="K97" s="30">
        <v>42230</v>
      </c>
      <c r="L97" s="3" t="s">
        <v>119</v>
      </c>
      <c r="M97" s="4" t="s">
        <v>554</v>
      </c>
      <c r="N97" s="3" t="s">
        <v>56</v>
      </c>
      <c r="O97" s="3" t="s">
        <v>139</v>
      </c>
      <c r="P97" s="4" t="s">
        <v>140</v>
      </c>
      <c r="Q97" s="3"/>
      <c r="R97" s="3"/>
      <c r="Y97" s="4" t="s">
        <v>556</v>
      </c>
      <c r="Z97" s="4" t="s">
        <v>556</v>
      </c>
      <c r="AA97" s="4" t="s">
        <v>356</v>
      </c>
      <c r="AB97" s="3" t="s">
        <v>557</v>
      </c>
      <c r="AC97" s="3" t="s">
        <v>358</v>
      </c>
      <c r="AD97" s="28">
        <v>42184</v>
      </c>
      <c r="AE97" s="3">
        <v>1000</v>
      </c>
      <c r="AI97" s="4" t="s">
        <v>558</v>
      </c>
      <c r="AJ97" s="4" t="s">
        <v>558</v>
      </c>
      <c r="AK97" s="3" t="s">
        <v>143</v>
      </c>
      <c r="AL97" s="4">
        <v>42555</v>
      </c>
      <c r="AM97" s="5">
        <v>77000</v>
      </c>
      <c r="AN97" s="4" t="s">
        <v>124</v>
      </c>
      <c r="AO97" s="4">
        <v>99</v>
      </c>
      <c r="AP97" s="4">
        <v>80101603</v>
      </c>
      <c r="AQ97" s="34">
        <v>27500</v>
      </c>
    </row>
    <row r="98" spans="1:43" x14ac:dyDescent="0.25">
      <c r="I98" s="35">
        <f>SUM(I48:I97)</f>
        <v>8250713.5599999996</v>
      </c>
      <c r="AQ98" s="35">
        <f>SUM(AQ48:AQ97)</f>
        <v>3610240.3399999994</v>
      </c>
    </row>
    <row r="100" spans="1:43" ht="15.75" x14ac:dyDescent="0.25">
      <c r="I100" s="15">
        <f>I46+I98</f>
        <v>18099369.27</v>
      </c>
      <c r="AQ100" s="15">
        <f>AQ46+AQ98</f>
        <v>7853898.709999999</v>
      </c>
    </row>
    <row r="102" spans="1:43" x14ac:dyDescent="0.25">
      <c r="A102" s="36"/>
      <c r="B102" s="37"/>
    </row>
    <row r="103" spans="1:43" x14ac:dyDescent="0.25">
      <c r="A103" s="36"/>
      <c r="B103" s="37"/>
    </row>
    <row r="104" spans="1:43" x14ac:dyDescent="0.25">
      <c r="A104" s="36"/>
      <c r="B104" s="37"/>
    </row>
    <row r="105" spans="1:43" x14ac:dyDescent="0.25">
      <c r="A105" s="36"/>
      <c r="B105" s="37"/>
    </row>
    <row r="108" spans="1:43" x14ac:dyDescent="0.25">
      <c r="A108" s="38" t="s">
        <v>2533</v>
      </c>
      <c r="B108" s="39">
        <v>2.194626</v>
      </c>
      <c r="C108" t="s">
        <v>2468</v>
      </c>
    </row>
    <row r="109" spans="1:43" x14ac:dyDescent="0.25">
      <c r="A109" s="40" t="s">
        <v>2534</v>
      </c>
      <c r="B109" s="39">
        <v>9.2152080000000005</v>
      </c>
      <c r="C109" t="s">
        <v>2468</v>
      </c>
    </row>
    <row r="110" spans="1:43" x14ac:dyDescent="0.25">
      <c r="A110" s="40" t="s">
        <v>2535</v>
      </c>
      <c r="B110" s="41">
        <f>AQ100/1000000</f>
        <v>7.8538987099999993</v>
      </c>
      <c r="C110" t="s">
        <v>2469</v>
      </c>
    </row>
  </sheetData>
  <sortState ref="A4:AQ95">
    <sortCondition ref="B4:B95"/>
  </sortState>
  <mergeCells count="3">
    <mergeCell ref="A1:AQ1"/>
    <mergeCell ref="A3:AQ3"/>
    <mergeCell ref="A47:AQ47"/>
  </mergeCells>
  <pageMargins left="0.7" right="0.7" top="0.75" bottom="0.75" header="0.3" footer="0.3"/>
  <pageSetup paperSize="9" scale="95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4"/>
  <sheetViews>
    <sheetView workbookViewId="0">
      <selection activeCell="D14" sqref="D14"/>
    </sheetView>
  </sheetViews>
  <sheetFormatPr defaultRowHeight="15" x14ac:dyDescent="0.25"/>
  <cols>
    <col min="1" max="2" width="10.7109375" customWidth="1"/>
    <col min="3" max="3" width="20.140625" bestFit="1" customWidth="1"/>
    <col min="4" max="5" width="10.85546875" bestFit="1" customWidth="1"/>
    <col min="6" max="6" width="12.5703125" bestFit="1" customWidth="1"/>
    <col min="7" max="7" width="41.140625" bestFit="1" customWidth="1"/>
    <col min="8" max="8" width="94.7109375" bestFit="1" customWidth="1"/>
    <col min="9" max="9" width="15.7109375" customWidth="1"/>
    <col min="10" max="12" width="10.7109375" customWidth="1"/>
    <col min="13" max="13" width="42.7109375" customWidth="1"/>
    <col min="14" max="14" width="20.7109375" customWidth="1"/>
    <col min="15" max="15" width="11.7109375" customWidth="1"/>
    <col min="16" max="16" width="43" bestFit="1" customWidth="1"/>
    <col min="17" max="18" width="14.7109375" customWidth="1"/>
    <col min="19" max="19" width="32.5703125" bestFit="1" customWidth="1"/>
    <col min="21" max="22" width="8.42578125" bestFit="1" customWidth="1"/>
    <col min="23" max="23" width="19.5703125" bestFit="1" customWidth="1"/>
    <col min="24" max="24" width="69.5703125" bestFit="1" customWidth="1"/>
    <col min="25" max="26" width="24" bestFit="1" customWidth="1"/>
    <col min="27" max="27" width="40.28515625" bestFit="1" customWidth="1"/>
    <col min="28" max="28" width="19.42578125" bestFit="1" customWidth="1"/>
    <col min="29" max="29" width="11.85546875" bestFit="1" customWidth="1"/>
    <col min="30" max="30" width="10.7109375" customWidth="1"/>
    <col min="35" max="36" width="15.7109375" bestFit="1" customWidth="1"/>
    <col min="37" max="37" width="11.7109375" customWidth="1"/>
    <col min="38" max="38" width="12" bestFit="1" customWidth="1"/>
    <col min="39" max="39" width="15.42578125" bestFit="1" customWidth="1"/>
    <col min="40" max="40" width="12.7109375" bestFit="1" customWidth="1"/>
    <col min="41" max="41" width="11.7109375" customWidth="1"/>
  </cols>
  <sheetData>
    <row r="1" spans="1:42" ht="18.75" x14ac:dyDescent="0.25">
      <c r="A1" s="47" t="s">
        <v>2456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</row>
    <row r="2" spans="1:42" s="1" customFormat="1" ht="60" x14ac:dyDescent="0.25">
      <c r="A2" s="2" t="s">
        <v>2427</v>
      </c>
      <c r="B2" s="2" t="s">
        <v>2428</v>
      </c>
      <c r="C2" s="2" t="s">
        <v>2429</v>
      </c>
      <c r="D2" s="2" t="s">
        <v>2430</v>
      </c>
      <c r="E2" s="2" t="s">
        <v>2431</v>
      </c>
      <c r="F2" s="2" t="s">
        <v>2432</v>
      </c>
      <c r="G2" s="2" t="s">
        <v>0</v>
      </c>
      <c r="H2" s="2" t="s">
        <v>1</v>
      </c>
      <c r="I2" s="2" t="s">
        <v>2433</v>
      </c>
      <c r="J2" s="2" t="s">
        <v>2434</v>
      </c>
      <c r="K2" s="2" t="s">
        <v>2435</v>
      </c>
      <c r="L2" s="2" t="s">
        <v>2436</v>
      </c>
      <c r="M2" s="2" t="s">
        <v>2</v>
      </c>
      <c r="N2" s="2" t="s">
        <v>3</v>
      </c>
      <c r="O2" s="2" t="s">
        <v>2437</v>
      </c>
      <c r="P2" s="2" t="s">
        <v>4</v>
      </c>
      <c r="Q2" s="2" t="s">
        <v>2438</v>
      </c>
      <c r="R2" s="2" t="s">
        <v>2439</v>
      </c>
      <c r="S2" s="2" t="s">
        <v>2440</v>
      </c>
      <c r="T2" s="2" t="s">
        <v>6</v>
      </c>
      <c r="U2" s="2" t="s">
        <v>6</v>
      </c>
      <c r="V2" s="2" t="s">
        <v>5</v>
      </c>
      <c r="W2" s="2" t="s">
        <v>5</v>
      </c>
      <c r="X2" s="2" t="s">
        <v>7</v>
      </c>
      <c r="Y2" s="2" t="s">
        <v>8</v>
      </c>
      <c r="Z2" s="2" t="s">
        <v>9</v>
      </c>
      <c r="AA2" s="2" t="s">
        <v>2447</v>
      </c>
      <c r="AB2" s="2" t="s">
        <v>2446</v>
      </c>
      <c r="AC2" s="2" t="s">
        <v>2445</v>
      </c>
      <c r="AD2" s="2" t="s">
        <v>10</v>
      </c>
      <c r="AE2" s="2" t="s">
        <v>2441</v>
      </c>
      <c r="AF2" s="2" t="s">
        <v>11</v>
      </c>
      <c r="AG2" s="2" t="s">
        <v>11</v>
      </c>
      <c r="AH2" s="2" t="s">
        <v>12</v>
      </c>
      <c r="AI2" s="2" t="s">
        <v>8</v>
      </c>
      <c r="AJ2" s="2" t="s">
        <v>13</v>
      </c>
      <c r="AK2" s="2" t="s">
        <v>2444</v>
      </c>
      <c r="AL2" s="2" t="s">
        <v>14</v>
      </c>
      <c r="AM2" s="2" t="s">
        <v>15</v>
      </c>
      <c r="AN2" s="2" t="s">
        <v>16</v>
      </c>
      <c r="AO2" s="2" t="s">
        <v>2443</v>
      </c>
      <c r="AP2" s="2" t="s">
        <v>2442</v>
      </c>
    </row>
    <row r="3" spans="1:42" s="4" customFormat="1" x14ac:dyDescent="0.25">
      <c r="A3" s="3">
        <v>4602575</v>
      </c>
      <c r="B3" s="28">
        <v>41052</v>
      </c>
      <c r="C3" s="3" t="s">
        <v>2273</v>
      </c>
      <c r="D3" s="3">
        <v>10002521</v>
      </c>
      <c r="E3" s="4">
        <v>4531926</v>
      </c>
      <c r="F3" s="3" t="s">
        <v>49</v>
      </c>
      <c r="G3" s="4" t="s">
        <v>2300</v>
      </c>
      <c r="H3" s="4" t="s">
        <v>2301</v>
      </c>
      <c r="I3" s="5">
        <v>21890</v>
      </c>
      <c r="J3" s="3" t="s">
        <v>2299</v>
      </c>
      <c r="K3" s="3" t="s">
        <v>77</v>
      </c>
      <c r="L3" s="3" t="s">
        <v>119</v>
      </c>
      <c r="M3" s="4" t="s">
        <v>2302</v>
      </c>
      <c r="N3" s="3" t="s">
        <v>56</v>
      </c>
      <c r="O3" s="3" t="s">
        <v>139</v>
      </c>
      <c r="P3" s="4" t="s">
        <v>282</v>
      </c>
      <c r="Q3" s="3"/>
      <c r="R3" s="3"/>
      <c r="Y3" s="4" t="s">
        <v>2277</v>
      </c>
      <c r="Z3" s="4" t="s">
        <v>2293</v>
      </c>
      <c r="AA3" s="4" t="s">
        <v>2294</v>
      </c>
      <c r="AB3" s="3" t="s">
        <v>2303</v>
      </c>
      <c r="AC3" s="3" t="s">
        <v>2296</v>
      </c>
      <c r="AD3" s="3" t="s">
        <v>53</v>
      </c>
      <c r="AE3" s="3">
        <v>1000</v>
      </c>
      <c r="AI3" s="4" t="s">
        <v>2281</v>
      </c>
      <c r="AJ3" s="4" t="s">
        <v>2298</v>
      </c>
      <c r="AK3" s="3" t="s">
        <v>286</v>
      </c>
      <c r="AL3" s="4">
        <v>30080</v>
      </c>
      <c r="AM3" s="5">
        <v>21890</v>
      </c>
      <c r="AN3" s="4" t="s">
        <v>2282</v>
      </c>
      <c r="AO3" s="4">
        <v>99</v>
      </c>
      <c r="AP3" s="4">
        <v>80120000</v>
      </c>
    </row>
    <row r="4" spans="1:42" s="4" customFormat="1" x14ac:dyDescent="0.25">
      <c r="A4" s="3">
        <v>4603031</v>
      </c>
      <c r="B4" s="28">
        <v>41135</v>
      </c>
      <c r="C4" s="3" t="s">
        <v>2273</v>
      </c>
      <c r="D4" s="3">
        <v>10002871</v>
      </c>
      <c r="E4" s="4">
        <v>4532382</v>
      </c>
      <c r="F4" s="3" t="s">
        <v>49</v>
      </c>
      <c r="G4" s="4" t="s">
        <v>2300</v>
      </c>
      <c r="H4" s="4" t="s">
        <v>2301</v>
      </c>
      <c r="I4" s="5">
        <v>16900</v>
      </c>
      <c r="J4" s="3" t="s">
        <v>2307</v>
      </c>
      <c r="K4" s="3" t="s">
        <v>807</v>
      </c>
      <c r="L4" s="3" t="s">
        <v>196</v>
      </c>
      <c r="M4" s="4" t="s">
        <v>2308</v>
      </c>
      <c r="N4" s="3" t="s">
        <v>56</v>
      </c>
      <c r="O4" s="3" t="s">
        <v>139</v>
      </c>
      <c r="P4" s="4" t="s">
        <v>282</v>
      </c>
      <c r="Q4" s="3" t="s">
        <v>139</v>
      </c>
      <c r="R4" s="3" t="s">
        <v>427</v>
      </c>
      <c r="S4" s="4" t="s">
        <v>428</v>
      </c>
      <c r="U4" s="4" t="s">
        <v>139</v>
      </c>
      <c r="V4" s="4" t="s">
        <v>427</v>
      </c>
      <c r="W4" s="4" t="s">
        <v>428</v>
      </c>
      <c r="Y4" s="4" t="s">
        <v>2292</v>
      </c>
      <c r="Z4" s="4" t="s">
        <v>2293</v>
      </c>
      <c r="AA4" s="4" t="s">
        <v>2294</v>
      </c>
      <c r="AB4" s="3" t="s">
        <v>2303</v>
      </c>
      <c r="AC4" s="3" t="s">
        <v>2296</v>
      </c>
      <c r="AD4" s="3" t="s">
        <v>1753</v>
      </c>
      <c r="AE4" s="3">
        <v>1000</v>
      </c>
      <c r="AI4" s="4" t="s">
        <v>2297</v>
      </c>
      <c r="AJ4" s="4" t="s">
        <v>2298</v>
      </c>
      <c r="AK4" s="3" t="s">
        <v>286</v>
      </c>
      <c r="AL4" s="4">
        <v>30080</v>
      </c>
      <c r="AM4" s="5">
        <v>16900</v>
      </c>
      <c r="AN4" s="4" t="s">
        <v>2282</v>
      </c>
      <c r="AO4" s="4">
        <v>99</v>
      </c>
      <c r="AP4" s="4">
        <v>80120000</v>
      </c>
    </row>
    <row r="5" spans="1:42" s="4" customFormat="1" x14ac:dyDescent="0.25">
      <c r="A5" s="3">
        <v>4603168</v>
      </c>
      <c r="B5" s="28">
        <v>41184</v>
      </c>
      <c r="C5" s="3" t="s">
        <v>2273</v>
      </c>
      <c r="D5" s="3">
        <v>10003017</v>
      </c>
      <c r="E5" s="4">
        <v>4532519</v>
      </c>
      <c r="F5" s="3" t="s">
        <v>49</v>
      </c>
      <c r="G5" s="4" t="s">
        <v>2300</v>
      </c>
      <c r="H5" s="4" t="s">
        <v>2315</v>
      </c>
      <c r="I5" s="5">
        <v>15000</v>
      </c>
      <c r="J5" s="3" t="s">
        <v>1113</v>
      </c>
      <c r="K5" s="3" t="s">
        <v>807</v>
      </c>
      <c r="L5" s="3" t="s">
        <v>54</v>
      </c>
      <c r="M5" s="4" t="s">
        <v>2316</v>
      </c>
      <c r="N5" s="3" t="s">
        <v>56</v>
      </c>
      <c r="O5" s="3" t="s">
        <v>139</v>
      </c>
      <c r="P5" s="4" t="s">
        <v>282</v>
      </c>
      <c r="Q5" s="3" t="s">
        <v>139</v>
      </c>
      <c r="R5" s="3" t="s">
        <v>427</v>
      </c>
      <c r="S5" s="4" t="s">
        <v>428</v>
      </c>
      <c r="U5" s="4" t="s">
        <v>139</v>
      </c>
      <c r="V5" s="4" t="s">
        <v>427</v>
      </c>
      <c r="W5" s="4" t="s">
        <v>428</v>
      </c>
      <c r="Y5" s="4" t="s">
        <v>2286</v>
      </c>
      <c r="Z5" s="4" t="s">
        <v>2293</v>
      </c>
      <c r="AA5" s="4" t="s">
        <v>2294</v>
      </c>
      <c r="AB5" s="3" t="s">
        <v>2303</v>
      </c>
      <c r="AC5" s="3" t="s">
        <v>2296</v>
      </c>
      <c r="AD5" s="3" t="s">
        <v>774</v>
      </c>
      <c r="AE5" s="3">
        <v>1000</v>
      </c>
      <c r="AI5" s="4" t="s">
        <v>2288</v>
      </c>
      <c r="AJ5" s="4" t="s">
        <v>2298</v>
      </c>
      <c r="AK5" s="3" t="s">
        <v>286</v>
      </c>
      <c r="AL5" s="4">
        <v>30080</v>
      </c>
      <c r="AM5" s="5">
        <v>15000</v>
      </c>
      <c r="AN5" s="4" t="s">
        <v>2282</v>
      </c>
      <c r="AO5" s="4">
        <v>99</v>
      </c>
      <c r="AP5" s="4">
        <v>80120000</v>
      </c>
    </row>
    <row r="6" spans="1:42" s="4" customFormat="1" x14ac:dyDescent="0.25">
      <c r="A6" s="3">
        <v>4603707</v>
      </c>
      <c r="B6" s="28">
        <v>41862</v>
      </c>
      <c r="C6" s="3" t="s">
        <v>1042</v>
      </c>
      <c r="D6" s="3">
        <v>10003561</v>
      </c>
      <c r="E6" s="4">
        <v>4533058</v>
      </c>
      <c r="F6" s="3" t="s">
        <v>49</v>
      </c>
      <c r="G6" s="4" t="s">
        <v>1170</v>
      </c>
      <c r="H6" s="4" t="s">
        <v>1171</v>
      </c>
      <c r="I6" s="5">
        <v>17700</v>
      </c>
      <c r="J6" s="3" t="s">
        <v>1172</v>
      </c>
      <c r="K6" s="3" t="s">
        <v>324</v>
      </c>
      <c r="L6" s="3" t="s">
        <v>119</v>
      </c>
      <c r="M6" s="4" t="s">
        <v>1171</v>
      </c>
      <c r="N6" s="3" t="s">
        <v>56</v>
      </c>
      <c r="O6" s="3"/>
      <c r="Q6" s="3"/>
      <c r="R6" s="3"/>
      <c r="Y6" s="4" t="s">
        <v>1056</v>
      </c>
      <c r="Z6" s="4" t="s">
        <v>1090</v>
      </c>
      <c r="AA6" s="4" t="s">
        <v>1095</v>
      </c>
      <c r="AB6" s="3" t="s">
        <v>1173</v>
      </c>
      <c r="AC6" s="3" t="s">
        <v>1097</v>
      </c>
      <c r="AD6" s="3" t="s">
        <v>1169</v>
      </c>
      <c r="AE6" s="3">
        <v>1000</v>
      </c>
      <c r="AI6" s="4" t="s">
        <v>1058</v>
      </c>
      <c r="AJ6" s="4" t="s">
        <v>1091</v>
      </c>
      <c r="AK6" s="3"/>
      <c r="AL6" s="4">
        <v>41114</v>
      </c>
      <c r="AM6" s="5">
        <v>17700</v>
      </c>
      <c r="AN6" s="4" t="s">
        <v>124</v>
      </c>
      <c r="AO6" s="4">
        <v>99</v>
      </c>
      <c r="AP6" s="4">
        <v>44100000</v>
      </c>
    </row>
    <row r="7" spans="1:42" s="4" customFormat="1" x14ac:dyDescent="0.25">
      <c r="A7" s="3">
        <v>4603865</v>
      </c>
      <c r="B7" s="28">
        <v>41452</v>
      </c>
      <c r="C7" s="3" t="s">
        <v>560</v>
      </c>
      <c r="D7" s="3">
        <v>10003645</v>
      </c>
      <c r="E7" s="4">
        <v>4533216</v>
      </c>
      <c r="F7" s="3" t="s">
        <v>49</v>
      </c>
      <c r="G7" s="4" t="s">
        <v>637</v>
      </c>
      <c r="H7" s="4" t="s">
        <v>638</v>
      </c>
      <c r="I7" s="5">
        <v>10000</v>
      </c>
      <c r="J7" s="3" t="s">
        <v>631</v>
      </c>
      <c r="K7" s="3" t="s">
        <v>620</v>
      </c>
      <c r="L7" s="3" t="s">
        <v>196</v>
      </c>
      <c r="M7" s="4" t="s">
        <v>638</v>
      </c>
      <c r="N7" s="3" t="s">
        <v>25</v>
      </c>
      <c r="O7" s="3"/>
      <c r="Q7" s="3"/>
      <c r="R7" s="3"/>
      <c r="Y7" s="4" t="s">
        <v>639</v>
      </c>
      <c r="Z7" s="4" t="s">
        <v>639</v>
      </c>
      <c r="AA7" s="4" t="s">
        <v>640</v>
      </c>
      <c r="AB7" s="3"/>
      <c r="AC7" s="3"/>
      <c r="AD7" s="3" t="s">
        <v>636</v>
      </c>
      <c r="AE7" s="3">
        <v>1000</v>
      </c>
      <c r="AI7" s="4" t="s">
        <v>641</v>
      </c>
      <c r="AJ7" s="4" t="s">
        <v>641</v>
      </c>
      <c r="AK7" s="3"/>
      <c r="AL7" s="4">
        <v>40566</v>
      </c>
      <c r="AM7" s="5">
        <v>10000</v>
      </c>
      <c r="AN7" s="4" t="s">
        <v>124</v>
      </c>
      <c r="AO7" s="4">
        <v>99</v>
      </c>
      <c r="AP7" s="4">
        <v>80101604</v>
      </c>
    </row>
    <row r="8" spans="1:42" s="4" customFormat="1" x14ac:dyDescent="0.25">
      <c r="A8" s="3">
        <v>4604080</v>
      </c>
      <c r="B8" s="28">
        <v>41813</v>
      </c>
      <c r="C8" s="3" t="s">
        <v>797</v>
      </c>
      <c r="D8" s="3">
        <v>10003841</v>
      </c>
      <c r="E8" s="4">
        <v>4533431</v>
      </c>
      <c r="F8" s="3" t="s">
        <v>49</v>
      </c>
      <c r="G8" s="4" t="s">
        <v>995</v>
      </c>
      <c r="H8" s="4" t="s">
        <v>996</v>
      </c>
      <c r="I8" s="5">
        <v>24310</v>
      </c>
      <c r="J8" s="3" t="s">
        <v>650</v>
      </c>
      <c r="K8" s="3" t="s">
        <v>997</v>
      </c>
      <c r="L8" s="3" t="s">
        <v>196</v>
      </c>
      <c r="M8" s="4" t="s">
        <v>998</v>
      </c>
      <c r="N8" s="3" t="s">
        <v>25</v>
      </c>
      <c r="O8" s="3"/>
      <c r="Q8" s="3"/>
      <c r="R8" s="3"/>
      <c r="Y8" s="4" t="s">
        <v>298</v>
      </c>
      <c r="Z8" s="4" t="s">
        <v>298</v>
      </c>
      <c r="AB8" s="3"/>
      <c r="AC8" s="3"/>
      <c r="AD8" s="3" t="s">
        <v>122</v>
      </c>
      <c r="AE8" s="3">
        <v>1000</v>
      </c>
      <c r="AI8" s="4" t="s">
        <v>300</v>
      </c>
      <c r="AJ8" s="4" t="s">
        <v>300</v>
      </c>
      <c r="AK8" s="3"/>
      <c r="AL8" s="4">
        <v>140353</v>
      </c>
      <c r="AM8" s="5">
        <v>24310</v>
      </c>
      <c r="AN8" s="4" t="s">
        <v>124</v>
      </c>
      <c r="AO8" s="4">
        <v>99</v>
      </c>
      <c r="AP8" s="4">
        <v>81112200</v>
      </c>
    </row>
    <row r="9" spans="1:42" s="4" customFormat="1" x14ac:dyDescent="0.25">
      <c r="A9" s="3">
        <v>4604106</v>
      </c>
      <c r="B9" s="28">
        <v>41813</v>
      </c>
      <c r="C9" s="3" t="s">
        <v>1042</v>
      </c>
      <c r="D9" s="3">
        <v>10003880</v>
      </c>
      <c r="E9" s="4">
        <v>4533457</v>
      </c>
      <c r="F9" s="3" t="s">
        <v>49</v>
      </c>
      <c r="G9" s="4" t="s">
        <v>1245</v>
      </c>
      <c r="H9" s="4" t="s">
        <v>1246</v>
      </c>
      <c r="I9" s="5">
        <v>13000</v>
      </c>
      <c r="J9" s="3" t="s">
        <v>1247</v>
      </c>
      <c r="K9" s="3" t="s">
        <v>832</v>
      </c>
      <c r="L9" s="3" t="s">
        <v>196</v>
      </c>
      <c r="M9" s="4" t="s">
        <v>1248</v>
      </c>
      <c r="N9" s="3" t="s">
        <v>25</v>
      </c>
      <c r="O9" s="3"/>
      <c r="Q9" s="3"/>
      <c r="R9" s="3"/>
      <c r="Y9" s="4" t="s">
        <v>1249</v>
      </c>
      <c r="Z9" s="4" t="s">
        <v>1090</v>
      </c>
      <c r="AB9" s="3"/>
      <c r="AC9" s="3"/>
      <c r="AD9" s="3" t="s">
        <v>577</v>
      </c>
      <c r="AE9" s="3">
        <v>1000</v>
      </c>
      <c r="AI9" s="4" t="s">
        <v>1250</v>
      </c>
      <c r="AJ9" s="4" t="s">
        <v>1091</v>
      </c>
      <c r="AK9" s="3"/>
      <c r="AL9" s="4">
        <v>140158</v>
      </c>
      <c r="AM9" s="5">
        <v>13000</v>
      </c>
      <c r="AN9" s="4" t="s">
        <v>124</v>
      </c>
      <c r="AO9" s="4">
        <v>99</v>
      </c>
      <c r="AP9" s="4">
        <v>76111500</v>
      </c>
    </row>
    <row r="10" spans="1:42" s="4" customFormat="1" x14ac:dyDescent="0.25">
      <c r="A10" s="3">
        <v>4604250</v>
      </c>
      <c r="B10" s="28">
        <v>41564</v>
      </c>
      <c r="C10" s="3" t="s">
        <v>2273</v>
      </c>
      <c r="D10" s="3">
        <v>10004011</v>
      </c>
      <c r="E10" s="4">
        <v>4533601</v>
      </c>
      <c r="F10" s="3" t="s">
        <v>49</v>
      </c>
      <c r="G10" s="4" t="s">
        <v>2300</v>
      </c>
      <c r="H10" s="4" t="s">
        <v>2337</v>
      </c>
      <c r="I10" s="5">
        <v>24700</v>
      </c>
      <c r="J10" s="3" t="s">
        <v>2336</v>
      </c>
      <c r="K10" s="3" t="s">
        <v>807</v>
      </c>
      <c r="L10" s="3" t="s">
        <v>1046</v>
      </c>
      <c r="M10" s="4" t="s">
        <v>2338</v>
      </c>
      <c r="N10" s="3" t="s">
        <v>25</v>
      </c>
      <c r="O10" s="3" t="s">
        <v>139</v>
      </c>
      <c r="P10" s="4" t="s">
        <v>282</v>
      </c>
      <c r="Q10" s="3" t="s">
        <v>139</v>
      </c>
      <c r="R10" s="3" t="s">
        <v>427</v>
      </c>
      <c r="S10" s="4" t="s">
        <v>428</v>
      </c>
      <c r="U10" s="4" t="s">
        <v>139</v>
      </c>
      <c r="V10" s="4" t="s">
        <v>427</v>
      </c>
      <c r="W10" s="4" t="s">
        <v>428</v>
      </c>
      <c r="Y10" s="4" t="s">
        <v>2293</v>
      </c>
      <c r="Z10" s="4" t="s">
        <v>2293</v>
      </c>
      <c r="AB10" s="3"/>
      <c r="AC10" s="3"/>
      <c r="AD10" s="3" t="s">
        <v>2228</v>
      </c>
      <c r="AE10" s="3">
        <v>1000</v>
      </c>
      <c r="AI10" s="4" t="s">
        <v>2298</v>
      </c>
      <c r="AJ10" s="4" t="s">
        <v>2298</v>
      </c>
      <c r="AK10" s="3" t="s">
        <v>286</v>
      </c>
      <c r="AL10" s="4">
        <v>30080</v>
      </c>
      <c r="AM10" s="5">
        <v>24700</v>
      </c>
      <c r="AN10" s="4" t="s">
        <v>2282</v>
      </c>
      <c r="AO10" s="4">
        <v>98</v>
      </c>
      <c r="AP10" s="4">
        <v>80120000</v>
      </c>
    </row>
    <row r="11" spans="1:42" s="4" customFormat="1" x14ac:dyDescent="0.25">
      <c r="A11" s="3">
        <v>4604316</v>
      </c>
      <c r="B11" s="28">
        <v>41626</v>
      </c>
      <c r="C11" s="3" t="s">
        <v>1278</v>
      </c>
      <c r="D11" s="3">
        <v>10004089</v>
      </c>
      <c r="E11" s="4">
        <v>4533667</v>
      </c>
      <c r="F11" s="3" t="s">
        <v>49</v>
      </c>
      <c r="G11" s="4" t="s">
        <v>1174</v>
      </c>
      <c r="H11" s="4" t="s">
        <v>1287</v>
      </c>
      <c r="I11" s="5">
        <v>15252</v>
      </c>
      <c r="J11" s="3" t="s">
        <v>1282</v>
      </c>
      <c r="K11" s="3" t="s">
        <v>137</v>
      </c>
      <c r="L11" s="3" t="s">
        <v>119</v>
      </c>
      <c r="M11" s="4" t="s">
        <v>1287</v>
      </c>
      <c r="N11" s="3" t="s">
        <v>56</v>
      </c>
      <c r="O11" s="3" t="s">
        <v>139</v>
      </c>
      <c r="P11" s="4" t="s">
        <v>140</v>
      </c>
      <c r="Q11" s="3"/>
      <c r="R11" s="3"/>
      <c r="Y11" s="4" t="s">
        <v>38</v>
      </c>
      <c r="Z11" s="4" t="s">
        <v>38</v>
      </c>
      <c r="AA11" s="4" t="s">
        <v>1284</v>
      </c>
      <c r="AB11" s="3" t="s">
        <v>1285</v>
      </c>
      <c r="AC11" s="3" t="s">
        <v>1286</v>
      </c>
      <c r="AD11" s="3" t="s">
        <v>847</v>
      </c>
      <c r="AE11" s="3">
        <v>1000</v>
      </c>
      <c r="AI11" s="4" t="s">
        <v>40</v>
      </c>
      <c r="AJ11" s="4" t="s">
        <v>40</v>
      </c>
      <c r="AK11" s="3" t="s">
        <v>143</v>
      </c>
      <c r="AL11" s="4">
        <v>42811</v>
      </c>
      <c r="AM11" s="5">
        <v>15252</v>
      </c>
      <c r="AN11" s="4" t="s">
        <v>124</v>
      </c>
      <c r="AO11" s="4">
        <v>99</v>
      </c>
      <c r="AP11" s="4">
        <v>80100000</v>
      </c>
    </row>
    <row r="12" spans="1:42" s="4" customFormat="1" x14ac:dyDescent="0.25">
      <c r="A12" s="3">
        <v>4604346</v>
      </c>
      <c r="B12" s="28">
        <v>41674</v>
      </c>
      <c r="C12" s="3" t="s">
        <v>1278</v>
      </c>
      <c r="D12" s="3">
        <v>10004120</v>
      </c>
      <c r="E12" s="4">
        <v>4533697</v>
      </c>
      <c r="F12" s="3" t="s">
        <v>49</v>
      </c>
      <c r="G12" s="4" t="s">
        <v>1299</v>
      </c>
      <c r="H12" s="4" t="s">
        <v>1300</v>
      </c>
      <c r="I12" s="5">
        <v>12900</v>
      </c>
      <c r="J12" s="3" t="s">
        <v>701</v>
      </c>
      <c r="K12" s="3" t="s">
        <v>321</v>
      </c>
      <c r="L12" s="3" t="s">
        <v>196</v>
      </c>
      <c r="M12" s="4" t="s">
        <v>1301</v>
      </c>
      <c r="N12" s="3" t="s">
        <v>25</v>
      </c>
      <c r="O12" s="3"/>
      <c r="Q12" s="3"/>
      <c r="R12" s="3"/>
      <c r="Y12" s="4" t="s">
        <v>1056</v>
      </c>
      <c r="Z12" s="4" t="s">
        <v>1090</v>
      </c>
      <c r="AB12" s="3"/>
      <c r="AC12" s="3"/>
      <c r="AD12" s="3" t="s">
        <v>1302</v>
      </c>
      <c r="AE12" s="3">
        <v>1000</v>
      </c>
      <c r="AI12" s="4" t="s">
        <v>1058</v>
      </c>
      <c r="AJ12" s="4" t="s">
        <v>1091</v>
      </c>
      <c r="AK12" s="3"/>
      <c r="AL12" s="4">
        <v>30951</v>
      </c>
      <c r="AM12" s="5">
        <v>12900</v>
      </c>
      <c r="AN12" s="4" t="s">
        <v>124</v>
      </c>
      <c r="AO12" s="4">
        <v>99</v>
      </c>
      <c r="AP12" s="4">
        <v>43222500</v>
      </c>
    </row>
    <row r="13" spans="1:42" s="4" customFormat="1" x14ac:dyDescent="0.25">
      <c r="A13" s="3">
        <v>4604367</v>
      </c>
      <c r="B13" s="28">
        <v>41690</v>
      </c>
      <c r="C13" s="3" t="s">
        <v>2342</v>
      </c>
      <c r="D13" s="3">
        <v>10004152</v>
      </c>
      <c r="E13" s="4">
        <v>4533718</v>
      </c>
      <c r="F13" s="3" t="s">
        <v>49</v>
      </c>
      <c r="G13" s="4" t="s">
        <v>2300</v>
      </c>
      <c r="H13" s="4" t="s">
        <v>2301</v>
      </c>
      <c r="I13" s="5">
        <v>20000</v>
      </c>
      <c r="J13" s="3" t="s">
        <v>2348</v>
      </c>
      <c r="K13" s="3" t="s">
        <v>807</v>
      </c>
      <c r="L13" s="3" t="s">
        <v>1046</v>
      </c>
      <c r="M13" s="4" t="s">
        <v>2349</v>
      </c>
      <c r="N13" s="3" t="s">
        <v>25</v>
      </c>
      <c r="O13" s="3" t="s">
        <v>139</v>
      </c>
      <c r="P13" s="4" t="s">
        <v>282</v>
      </c>
      <c r="Q13" s="3" t="s">
        <v>139</v>
      </c>
      <c r="R13" s="3" t="s">
        <v>427</v>
      </c>
      <c r="S13" s="4" t="s">
        <v>428</v>
      </c>
      <c r="U13" s="4" t="s">
        <v>139</v>
      </c>
      <c r="V13" s="4" t="s">
        <v>427</v>
      </c>
      <c r="W13" s="4" t="s">
        <v>428</v>
      </c>
      <c r="Y13" s="4" t="s">
        <v>2277</v>
      </c>
      <c r="Z13" s="4" t="s">
        <v>2293</v>
      </c>
      <c r="AB13" s="3"/>
      <c r="AC13" s="3"/>
      <c r="AD13" s="3" t="s">
        <v>768</v>
      </c>
      <c r="AE13" s="3">
        <v>1000</v>
      </c>
      <c r="AI13" s="4" t="s">
        <v>2281</v>
      </c>
      <c r="AJ13" s="4" t="s">
        <v>2298</v>
      </c>
      <c r="AK13" s="3" t="s">
        <v>286</v>
      </c>
      <c r="AL13" s="4">
        <v>30080</v>
      </c>
      <c r="AM13" s="5">
        <v>20000</v>
      </c>
      <c r="AN13" s="4" t="s">
        <v>2282</v>
      </c>
      <c r="AO13" s="4">
        <v>99</v>
      </c>
      <c r="AP13" s="4">
        <v>80120000</v>
      </c>
    </row>
    <row r="14" spans="1:42" s="4" customFormat="1" x14ac:dyDescent="0.25">
      <c r="A14" s="3">
        <v>4604369</v>
      </c>
      <c r="B14" s="28">
        <v>41691</v>
      </c>
      <c r="C14" s="3" t="s">
        <v>2342</v>
      </c>
      <c r="D14" s="3">
        <v>10004154</v>
      </c>
      <c r="E14" s="4">
        <v>4533720</v>
      </c>
      <c r="F14" s="3" t="s">
        <v>49</v>
      </c>
      <c r="G14" s="4" t="s">
        <v>2290</v>
      </c>
      <c r="H14" s="4" t="s">
        <v>2301</v>
      </c>
      <c r="I14" s="5">
        <v>16378</v>
      </c>
      <c r="J14" s="3" t="s">
        <v>928</v>
      </c>
      <c r="K14" s="3" t="s">
        <v>1194</v>
      </c>
      <c r="L14" s="3" t="s">
        <v>1046</v>
      </c>
      <c r="M14" s="4" t="s">
        <v>2350</v>
      </c>
      <c r="N14" s="3" t="s">
        <v>25</v>
      </c>
      <c r="O14" s="3" t="s">
        <v>139</v>
      </c>
      <c r="P14" s="4" t="s">
        <v>282</v>
      </c>
      <c r="Q14" s="3" t="s">
        <v>139</v>
      </c>
      <c r="R14" s="3" t="s">
        <v>215</v>
      </c>
      <c r="S14" s="4" t="s">
        <v>216</v>
      </c>
      <c r="U14" s="4" t="s">
        <v>139</v>
      </c>
      <c r="V14" s="4" t="s">
        <v>427</v>
      </c>
      <c r="W14" s="4" t="s">
        <v>428</v>
      </c>
      <c r="Y14" s="4" t="s">
        <v>2277</v>
      </c>
      <c r="Z14" s="4" t="s">
        <v>2293</v>
      </c>
      <c r="AB14" s="3"/>
      <c r="AC14" s="3"/>
      <c r="AD14" s="3" t="s">
        <v>1613</v>
      </c>
      <c r="AE14" s="3">
        <v>1000</v>
      </c>
      <c r="AI14" s="4" t="s">
        <v>2281</v>
      </c>
      <c r="AJ14" s="4" t="s">
        <v>2298</v>
      </c>
      <c r="AK14" s="3" t="s">
        <v>286</v>
      </c>
      <c r="AL14" s="4">
        <v>140444</v>
      </c>
      <c r="AM14" s="5">
        <v>16378</v>
      </c>
      <c r="AN14" s="4" t="s">
        <v>2282</v>
      </c>
      <c r="AO14" s="4">
        <v>99</v>
      </c>
      <c r="AP14" s="4">
        <v>80120000</v>
      </c>
    </row>
    <row r="15" spans="1:42" s="4" customFormat="1" x14ac:dyDescent="0.25">
      <c r="A15" s="3">
        <v>4604396</v>
      </c>
      <c r="B15" s="28">
        <v>41699</v>
      </c>
      <c r="C15" s="3" t="s">
        <v>560</v>
      </c>
      <c r="D15" s="3">
        <v>10004182</v>
      </c>
      <c r="E15" s="4">
        <v>4533747</v>
      </c>
      <c r="F15" s="3" t="s">
        <v>49</v>
      </c>
      <c r="G15" s="4" t="s">
        <v>726</v>
      </c>
      <c r="H15" s="4" t="s">
        <v>727</v>
      </c>
      <c r="I15" s="5">
        <v>13976.02</v>
      </c>
      <c r="J15" s="3" t="s">
        <v>725</v>
      </c>
      <c r="K15" s="3" t="s">
        <v>728</v>
      </c>
      <c r="L15" s="3" t="s">
        <v>119</v>
      </c>
      <c r="M15" s="4" t="s">
        <v>727</v>
      </c>
      <c r="N15" s="3" t="s">
        <v>25</v>
      </c>
      <c r="O15" s="3"/>
      <c r="Q15" s="3"/>
      <c r="R15" s="3"/>
      <c r="Y15" s="4" t="s">
        <v>729</v>
      </c>
      <c r="Z15" s="4" t="s">
        <v>729</v>
      </c>
      <c r="AA15" s="4">
        <v>41184</v>
      </c>
      <c r="AB15" s="3"/>
      <c r="AC15" s="3"/>
      <c r="AD15" s="3" t="s">
        <v>730</v>
      </c>
      <c r="AE15" s="3">
        <v>1000</v>
      </c>
      <c r="AI15" s="4" t="s">
        <v>731</v>
      </c>
      <c r="AJ15" s="4" t="s">
        <v>731</v>
      </c>
      <c r="AK15" s="3"/>
      <c r="AL15" s="4">
        <v>41184</v>
      </c>
      <c r="AM15" s="5">
        <v>13976.02</v>
      </c>
      <c r="AN15" s="4" t="s">
        <v>124</v>
      </c>
      <c r="AO15" s="4">
        <v>99</v>
      </c>
      <c r="AP15" s="4">
        <v>81112200</v>
      </c>
    </row>
    <row r="16" spans="1:42" s="4" customFormat="1" x14ac:dyDescent="0.25">
      <c r="A16" s="3">
        <v>4604435</v>
      </c>
      <c r="B16" s="28">
        <v>41704</v>
      </c>
      <c r="C16" s="3" t="s">
        <v>2158</v>
      </c>
      <c r="D16" s="3">
        <v>10004224</v>
      </c>
      <c r="E16" s="4">
        <v>4533786</v>
      </c>
      <c r="F16" s="3" t="s">
        <v>49</v>
      </c>
      <c r="G16" s="4" t="s">
        <v>2196</v>
      </c>
      <c r="H16" s="4" t="s">
        <v>2197</v>
      </c>
      <c r="I16" s="5">
        <v>15000</v>
      </c>
      <c r="J16" s="3" t="s">
        <v>2195</v>
      </c>
      <c r="K16" s="3" t="s">
        <v>223</v>
      </c>
      <c r="L16" s="3" t="s">
        <v>196</v>
      </c>
      <c r="M16" s="4" t="s">
        <v>2197</v>
      </c>
      <c r="N16" s="3" t="s">
        <v>25</v>
      </c>
      <c r="O16" s="3" t="s">
        <v>139</v>
      </c>
      <c r="P16" s="4" t="s">
        <v>140</v>
      </c>
      <c r="Q16" s="3"/>
      <c r="R16" s="3"/>
      <c r="Y16" s="4" t="s">
        <v>307</v>
      </c>
      <c r="Z16" s="4" t="s">
        <v>307</v>
      </c>
      <c r="AB16" s="3"/>
      <c r="AC16" s="3"/>
      <c r="AD16" s="3" t="s">
        <v>1601</v>
      </c>
      <c r="AE16" s="3">
        <v>1000</v>
      </c>
      <c r="AI16" s="4" t="s">
        <v>309</v>
      </c>
      <c r="AJ16" s="4" t="s">
        <v>309</v>
      </c>
      <c r="AK16" s="3" t="s">
        <v>143</v>
      </c>
      <c r="AL16" s="4">
        <v>141718</v>
      </c>
      <c r="AM16" s="5">
        <v>15000</v>
      </c>
      <c r="AN16" s="4" t="s">
        <v>124</v>
      </c>
      <c r="AO16" s="4">
        <v>99</v>
      </c>
      <c r="AP16" s="4">
        <v>80100000</v>
      </c>
    </row>
    <row r="17" spans="1:42" s="4" customFormat="1" x14ac:dyDescent="0.25">
      <c r="A17" s="3">
        <v>4604442</v>
      </c>
      <c r="B17" s="28">
        <v>41752</v>
      </c>
      <c r="C17" s="3" t="s">
        <v>255</v>
      </c>
      <c r="D17" s="3">
        <v>10004234</v>
      </c>
      <c r="E17" s="4">
        <v>4533793</v>
      </c>
      <c r="F17" s="3" t="s">
        <v>49</v>
      </c>
      <c r="G17" s="4" t="s">
        <v>256</v>
      </c>
      <c r="H17" s="4" t="s">
        <v>257</v>
      </c>
      <c r="I17" s="5">
        <v>11196.63</v>
      </c>
      <c r="J17" s="3" t="s">
        <v>258</v>
      </c>
      <c r="K17" s="3" t="s">
        <v>259</v>
      </c>
      <c r="L17" s="3" t="s">
        <v>196</v>
      </c>
      <c r="M17" s="4" t="s">
        <v>257</v>
      </c>
      <c r="N17" s="3" t="s">
        <v>25</v>
      </c>
      <c r="O17" s="3"/>
      <c r="Q17" s="3"/>
      <c r="R17" s="3"/>
      <c r="Y17" s="4" t="s">
        <v>260</v>
      </c>
      <c r="Z17" s="4" t="s">
        <v>260</v>
      </c>
      <c r="AB17" s="3"/>
      <c r="AC17" s="3"/>
      <c r="AD17" s="3" t="s">
        <v>254</v>
      </c>
      <c r="AE17" s="3">
        <v>1000</v>
      </c>
      <c r="AI17" s="4" t="s">
        <v>261</v>
      </c>
      <c r="AJ17" s="4" t="s">
        <v>261</v>
      </c>
      <c r="AK17" s="3"/>
      <c r="AL17" s="4">
        <v>48397</v>
      </c>
      <c r="AM17" s="5">
        <v>11196.63</v>
      </c>
      <c r="AN17" s="4" t="s">
        <v>124</v>
      </c>
      <c r="AO17" s="4">
        <v>99</v>
      </c>
      <c r="AP17" s="4">
        <v>86000000</v>
      </c>
    </row>
    <row r="18" spans="1:42" s="4" customFormat="1" x14ac:dyDescent="0.25">
      <c r="A18" s="3">
        <v>4604456</v>
      </c>
      <c r="B18" s="28">
        <v>41820</v>
      </c>
      <c r="C18" s="3" t="s">
        <v>2158</v>
      </c>
      <c r="D18" s="3">
        <v>10004224</v>
      </c>
      <c r="E18" s="4">
        <v>4533807</v>
      </c>
      <c r="F18" s="3" t="s">
        <v>49</v>
      </c>
      <c r="G18" s="4" t="s">
        <v>2202</v>
      </c>
      <c r="H18" s="4" t="s">
        <v>2197</v>
      </c>
      <c r="I18" s="5">
        <v>22500</v>
      </c>
      <c r="J18" s="3" t="s">
        <v>2195</v>
      </c>
      <c r="K18" s="3" t="s">
        <v>223</v>
      </c>
      <c r="L18" s="3" t="s">
        <v>196</v>
      </c>
      <c r="M18" s="4" t="s">
        <v>2197</v>
      </c>
      <c r="N18" s="3" t="s">
        <v>25</v>
      </c>
      <c r="O18" s="3" t="s">
        <v>139</v>
      </c>
      <c r="P18" s="4" t="s">
        <v>140</v>
      </c>
      <c r="Q18" s="3"/>
      <c r="R18" s="3"/>
      <c r="Y18" s="4" t="s">
        <v>307</v>
      </c>
      <c r="Z18" s="4" t="s">
        <v>307</v>
      </c>
      <c r="AB18" s="3"/>
      <c r="AC18" s="3"/>
      <c r="AD18" s="3" t="s">
        <v>1601</v>
      </c>
      <c r="AE18" s="3">
        <v>1000</v>
      </c>
      <c r="AI18" s="4" t="s">
        <v>309</v>
      </c>
      <c r="AJ18" s="4" t="s">
        <v>309</v>
      </c>
      <c r="AK18" s="3" t="s">
        <v>143</v>
      </c>
      <c r="AL18" s="4">
        <v>141726</v>
      </c>
      <c r="AM18" s="5">
        <v>22500</v>
      </c>
      <c r="AN18" s="4" t="s">
        <v>124</v>
      </c>
      <c r="AO18" s="4">
        <v>99</v>
      </c>
      <c r="AP18" s="4">
        <v>80100000</v>
      </c>
    </row>
    <row r="19" spans="1:42" s="4" customFormat="1" x14ac:dyDescent="0.25">
      <c r="A19" s="3">
        <v>4604466</v>
      </c>
      <c r="B19" s="28">
        <v>41820</v>
      </c>
      <c r="C19" s="3" t="s">
        <v>2158</v>
      </c>
      <c r="D19" s="3">
        <v>10004224</v>
      </c>
      <c r="E19" s="4">
        <v>4533817</v>
      </c>
      <c r="F19" s="3" t="s">
        <v>49</v>
      </c>
      <c r="G19" s="4" t="s">
        <v>2203</v>
      </c>
      <c r="H19" s="4" t="s">
        <v>2197</v>
      </c>
      <c r="I19" s="5">
        <v>22500</v>
      </c>
      <c r="J19" s="3" t="s">
        <v>2195</v>
      </c>
      <c r="K19" s="3" t="s">
        <v>223</v>
      </c>
      <c r="L19" s="3" t="s">
        <v>196</v>
      </c>
      <c r="M19" s="4" t="s">
        <v>2197</v>
      </c>
      <c r="N19" s="3" t="s">
        <v>25</v>
      </c>
      <c r="O19" s="3" t="s">
        <v>139</v>
      </c>
      <c r="P19" s="4" t="s">
        <v>140</v>
      </c>
      <c r="Q19" s="3"/>
      <c r="R19" s="3"/>
      <c r="Y19" s="4" t="s">
        <v>307</v>
      </c>
      <c r="Z19" s="4" t="s">
        <v>307</v>
      </c>
      <c r="AB19" s="3"/>
      <c r="AC19" s="3"/>
      <c r="AD19" s="3" t="s">
        <v>1601</v>
      </c>
      <c r="AE19" s="3">
        <v>1000</v>
      </c>
      <c r="AI19" s="4" t="s">
        <v>309</v>
      </c>
      <c r="AJ19" s="4" t="s">
        <v>309</v>
      </c>
      <c r="AK19" s="3" t="s">
        <v>143</v>
      </c>
      <c r="AL19" s="4">
        <v>141732</v>
      </c>
      <c r="AM19" s="5">
        <v>22500</v>
      </c>
      <c r="AN19" s="4" t="s">
        <v>124</v>
      </c>
      <c r="AO19" s="4">
        <v>99</v>
      </c>
      <c r="AP19" s="4">
        <v>80100000</v>
      </c>
    </row>
    <row r="20" spans="1:42" s="4" customFormat="1" x14ac:dyDescent="0.25">
      <c r="A20" s="3">
        <v>4604522</v>
      </c>
      <c r="B20" s="28">
        <v>41803</v>
      </c>
      <c r="C20" s="3" t="s">
        <v>1278</v>
      </c>
      <c r="D20" s="3">
        <v>10004314</v>
      </c>
      <c r="E20" s="4">
        <v>4533873</v>
      </c>
      <c r="F20" s="3" t="s">
        <v>49</v>
      </c>
      <c r="G20" s="4" t="s">
        <v>1357</v>
      </c>
      <c r="H20" s="4" t="s">
        <v>1358</v>
      </c>
      <c r="I20" s="5">
        <v>22000</v>
      </c>
      <c r="J20" s="3" t="s">
        <v>76</v>
      </c>
      <c r="K20" s="3" t="s">
        <v>77</v>
      </c>
      <c r="L20" s="3" t="s">
        <v>119</v>
      </c>
      <c r="M20" s="4" t="s">
        <v>1358</v>
      </c>
      <c r="N20" s="3" t="s">
        <v>56</v>
      </c>
      <c r="O20" s="3"/>
      <c r="Q20" s="3"/>
      <c r="R20" s="3"/>
      <c r="Y20" s="4" t="s">
        <v>466</v>
      </c>
      <c r="Z20" s="4" t="s">
        <v>466</v>
      </c>
      <c r="AA20" s="4" t="s">
        <v>1324</v>
      </c>
      <c r="AB20" s="3" t="s">
        <v>1359</v>
      </c>
      <c r="AC20" s="3" t="s">
        <v>1326</v>
      </c>
      <c r="AD20" s="3" t="s">
        <v>1356</v>
      </c>
      <c r="AE20" s="3">
        <v>1000</v>
      </c>
      <c r="AI20" s="4" t="s">
        <v>468</v>
      </c>
      <c r="AJ20" s="4" t="s">
        <v>468</v>
      </c>
      <c r="AK20" s="3"/>
      <c r="AL20" s="4">
        <v>49941</v>
      </c>
      <c r="AM20" s="5">
        <v>22000</v>
      </c>
      <c r="AN20" s="4" t="s">
        <v>124</v>
      </c>
      <c r="AO20" s="4">
        <v>99</v>
      </c>
      <c r="AP20" s="4">
        <v>43230000</v>
      </c>
    </row>
    <row r="21" spans="1:42" s="4" customFormat="1" x14ac:dyDescent="0.25">
      <c r="A21" s="3">
        <v>4604524</v>
      </c>
      <c r="B21" s="28">
        <v>41803</v>
      </c>
      <c r="C21" s="3" t="s">
        <v>1278</v>
      </c>
      <c r="D21" s="3">
        <v>10004314</v>
      </c>
      <c r="E21" s="4">
        <v>4533875</v>
      </c>
      <c r="F21" s="3" t="s">
        <v>49</v>
      </c>
      <c r="G21" s="4" t="s">
        <v>1353</v>
      </c>
      <c r="H21" s="4" t="s">
        <v>1364</v>
      </c>
      <c r="I21" s="5">
        <v>21780</v>
      </c>
      <c r="J21" s="3" t="s">
        <v>76</v>
      </c>
      <c r="K21" s="3" t="s">
        <v>77</v>
      </c>
      <c r="L21" s="3" t="s">
        <v>119</v>
      </c>
      <c r="M21" s="4" t="s">
        <v>1364</v>
      </c>
      <c r="N21" s="3" t="s">
        <v>56</v>
      </c>
      <c r="O21" s="3"/>
      <c r="Q21" s="3"/>
      <c r="R21" s="3"/>
      <c r="Y21" s="4" t="s">
        <v>466</v>
      </c>
      <c r="Z21" s="4" t="s">
        <v>466</v>
      </c>
      <c r="AA21" s="4" t="s">
        <v>1324</v>
      </c>
      <c r="AB21" s="3" t="s">
        <v>1355</v>
      </c>
      <c r="AC21" s="3" t="s">
        <v>1326</v>
      </c>
      <c r="AD21" s="3" t="s">
        <v>1356</v>
      </c>
      <c r="AE21" s="3">
        <v>1000</v>
      </c>
      <c r="AI21" s="4" t="s">
        <v>468</v>
      </c>
      <c r="AJ21" s="4" t="s">
        <v>468</v>
      </c>
      <c r="AK21" s="3"/>
      <c r="AL21" s="4">
        <v>140449</v>
      </c>
      <c r="AM21" s="5">
        <v>21780</v>
      </c>
      <c r="AN21" s="4" t="s">
        <v>124</v>
      </c>
      <c r="AO21" s="4">
        <v>99</v>
      </c>
      <c r="AP21" s="4">
        <v>43230000</v>
      </c>
    </row>
    <row r="22" spans="1:42" s="4" customFormat="1" x14ac:dyDescent="0.25">
      <c r="A22" s="3">
        <v>4604547</v>
      </c>
      <c r="B22" s="28">
        <v>41810</v>
      </c>
      <c r="C22" s="3" t="s">
        <v>107</v>
      </c>
      <c r="D22" s="3">
        <v>10004332</v>
      </c>
      <c r="E22" s="4">
        <v>4533898</v>
      </c>
      <c r="F22" s="3" t="s">
        <v>49</v>
      </c>
      <c r="G22" s="4" t="s">
        <v>193</v>
      </c>
      <c r="H22" s="4" t="s">
        <v>194</v>
      </c>
      <c r="I22" s="5">
        <v>10120</v>
      </c>
      <c r="J22" s="3" t="s">
        <v>195</v>
      </c>
      <c r="K22" s="3" t="s">
        <v>77</v>
      </c>
      <c r="L22" s="3" t="s">
        <v>196</v>
      </c>
      <c r="M22" s="4" t="s">
        <v>197</v>
      </c>
      <c r="N22" s="3" t="s">
        <v>25</v>
      </c>
      <c r="O22" s="3"/>
      <c r="Q22" s="3"/>
      <c r="R22" s="3"/>
      <c r="Y22" s="4" t="s">
        <v>198</v>
      </c>
      <c r="Z22" s="4" t="s">
        <v>198</v>
      </c>
      <c r="AA22" s="4" t="s">
        <v>199</v>
      </c>
      <c r="AB22" s="3"/>
      <c r="AC22" s="3"/>
      <c r="AD22" s="3" t="s">
        <v>200</v>
      </c>
      <c r="AE22" s="3">
        <v>1000</v>
      </c>
      <c r="AI22" s="4" t="s">
        <v>201</v>
      </c>
      <c r="AJ22" s="4" t="s">
        <v>201</v>
      </c>
      <c r="AK22" s="3"/>
      <c r="AL22" s="4">
        <v>48568</v>
      </c>
      <c r="AM22" s="5">
        <v>10120</v>
      </c>
      <c r="AN22" s="4" t="s">
        <v>124</v>
      </c>
      <c r="AO22" s="4">
        <v>99</v>
      </c>
      <c r="AP22" s="4">
        <v>55110000</v>
      </c>
    </row>
    <row r="23" spans="1:42" s="4" customFormat="1" x14ac:dyDescent="0.25">
      <c r="A23" s="3">
        <v>4604557</v>
      </c>
      <c r="B23" s="28">
        <v>41575</v>
      </c>
      <c r="C23" s="3" t="s">
        <v>1042</v>
      </c>
      <c r="D23" s="3">
        <v>10004017</v>
      </c>
      <c r="E23" s="4">
        <v>4533908</v>
      </c>
      <c r="F23" s="3" t="s">
        <v>49</v>
      </c>
      <c r="G23" s="4" t="s">
        <v>1174</v>
      </c>
      <c r="H23" s="4" t="s">
        <v>1270</v>
      </c>
      <c r="I23" s="5">
        <v>15400</v>
      </c>
      <c r="J23" s="3" t="s">
        <v>1271</v>
      </c>
      <c r="K23" s="3" t="s">
        <v>395</v>
      </c>
      <c r="L23" s="3" t="s">
        <v>196</v>
      </c>
      <c r="M23" s="4" t="s">
        <v>1270</v>
      </c>
      <c r="N23" s="3" t="s">
        <v>25</v>
      </c>
      <c r="O23" s="3"/>
      <c r="Q23" s="3"/>
      <c r="R23" s="3"/>
      <c r="Y23" s="4" t="s">
        <v>540</v>
      </c>
      <c r="Z23" s="4" t="s">
        <v>540</v>
      </c>
      <c r="AB23" s="3"/>
      <c r="AC23" s="3"/>
      <c r="AD23" s="3" t="s">
        <v>577</v>
      </c>
      <c r="AE23" s="3">
        <v>1000</v>
      </c>
      <c r="AI23" s="4" t="s">
        <v>542</v>
      </c>
      <c r="AJ23" s="4" t="s">
        <v>542</v>
      </c>
      <c r="AK23" s="3"/>
      <c r="AL23" s="4">
        <v>42811</v>
      </c>
      <c r="AM23" s="5">
        <v>15400</v>
      </c>
      <c r="AN23" s="4" t="s">
        <v>124</v>
      </c>
      <c r="AO23" s="4">
        <v>99</v>
      </c>
      <c r="AP23" s="4">
        <v>43230000</v>
      </c>
    </row>
    <row r="24" spans="1:42" s="4" customFormat="1" x14ac:dyDescent="0.25">
      <c r="A24" s="3">
        <v>4604569</v>
      </c>
      <c r="B24" s="28">
        <v>41820</v>
      </c>
      <c r="C24" s="3" t="s">
        <v>1278</v>
      </c>
      <c r="D24" s="3">
        <v>10004314</v>
      </c>
      <c r="E24" s="4">
        <v>4533920</v>
      </c>
      <c r="F24" s="3" t="s">
        <v>49</v>
      </c>
      <c r="G24" s="4" t="s">
        <v>1353</v>
      </c>
      <c r="H24" s="4" t="s">
        <v>1364</v>
      </c>
      <c r="I24" s="5">
        <v>17820</v>
      </c>
      <c r="J24" s="3" t="s">
        <v>76</v>
      </c>
      <c r="K24" s="3" t="s">
        <v>77</v>
      </c>
      <c r="L24" s="3" t="s">
        <v>119</v>
      </c>
      <c r="M24" s="4" t="s">
        <v>1364</v>
      </c>
      <c r="N24" s="3" t="s">
        <v>56</v>
      </c>
      <c r="O24" s="3"/>
      <c r="Q24" s="3"/>
      <c r="R24" s="3"/>
      <c r="Y24" s="4" t="s">
        <v>466</v>
      </c>
      <c r="Z24" s="4" t="s">
        <v>466</v>
      </c>
      <c r="AA24" s="4" t="s">
        <v>1324</v>
      </c>
      <c r="AB24" s="3" t="s">
        <v>1355</v>
      </c>
      <c r="AC24" s="3" t="s">
        <v>1326</v>
      </c>
      <c r="AD24" s="3" t="s">
        <v>1098</v>
      </c>
      <c r="AE24" s="3">
        <v>1000</v>
      </c>
      <c r="AI24" s="4" t="s">
        <v>468</v>
      </c>
      <c r="AJ24" s="4" t="s">
        <v>468</v>
      </c>
      <c r="AK24" s="3"/>
      <c r="AL24" s="4">
        <v>140449</v>
      </c>
      <c r="AM24" s="5">
        <v>17820</v>
      </c>
      <c r="AN24" s="4" t="s">
        <v>124</v>
      </c>
      <c r="AO24" s="4">
        <v>99</v>
      </c>
      <c r="AP24" s="4">
        <v>43230000</v>
      </c>
    </row>
    <row r="25" spans="1:42" s="4" customFormat="1" x14ac:dyDescent="0.25">
      <c r="A25" s="3">
        <v>4604584</v>
      </c>
      <c r="B25" s="28">
        <v>41822</v>
      </c>
      <c r="C25" s="3" t="s">
        <v>2145</v>
      </c>
      <c r="D25" s="3">
        <v>10004368</v>
      </c>
      <c r="E25" s="4">
        <v>4533935</v>
      </c>
      <c r="F25" s="3" t="s">
        <v>49</v>
      </c>
      <c r="G25" s="4" t="s">
        <v>453</v>
      </c>
      <c r="H25" s="4" t="s">
        <v>2146</v>
      </c>
      <c r="I25" s="5">
        <v>16500</v>
      </c>
      <c r="J25" s="3" t="s">
        <v>416</v>
      </c>
      <c r="K25" s="3" t="s">
        <v>2147</v>
      </c>
      <c r="L25" s="3" t="s">
        <v>196</v>
      </c>
      <c r="M25" s="4" t="s">
        <v>2146</v>
      </c>
      <c r="N25" s="3" t="s">
        <v>25</v>
      </c>
      <c r="O25" s="3"/>
      <c r="Q25" s="3"/>
      <c r="R25" s="3"/>
      <c r="Y25" s="4" t="s">
        <v>2148</v>
      </c>
      <c r="Z25" s="4" t="s">
        <v>2148</v>
      </c>
      <c r="AB25" s="3"/>
      <c r="AC25" s="3"/>
      <c r="AD25" s="3" t="s">
        <v>627</v>
      </c>
      <c r="AE25" s="3">
        <v>1000</v>
      </c>
      <c r="AI25" s="4" t="s">
        <v>2149</v>
      </c>
      <c r="AJ25" s="4" t="s">
        <v>2149</v>
      </c>
      <c r="AK25" s="3"/>
      <c r="AL25" s="4">
        <v>47630</v>
      </c>
      <c r="AM25" s="5">
        <v>16500</v>
      </c>
      <c r="AN25" s="4" t="s">
        <v>124</v>
      </c>
      <c r="AO25" s="4">
        <v>99</v>
      </c>
      <c r="AP25" s="4">
        <v>86000000</v>
      </c>
    </row>
    <row r="26" spans="1:42" s="4" customFormat="1" x14ac:dyDescent="0.25">
      <c r="A26" s="3">
        <v>4604585</v>
      </c>
      <c r="B26" s="28">
        <v>42185</v>
      </c>
      <c r="C26" s="3" t="s">
        <v>1278</v>
      </c>
      <c r="D26" s="3">
        <v>10004364</v>
      </c>
      <c r="E26" s="4">
        <v>4533936</v>
      </c>
      <c r="F26" s="3" t="s">
        <v>49</v>
      </c>
      <c r="G26" s="4" t="s">
        <v>1437</v>
      </c>
      <c r="H26" s="4" t="s">
        <v>1438</v>
      </c>
      <c r="I26" s="5">
        <v>10319</v>
      </c>
      <c r="J26" s="3" t="s">
        <v>76</v>
      </c>
      <c r="K26" s="3" t="s">
        <v>77</v>
      </c>
      <c r="L26" s="3" t="s">
        <v>196</v>
      </c>
      <c r="M26" s="4" t="s">
        <v>1438</v>
      </c>
      <c r="N26" s="3" t="s">
        <v>25</v>
      </c>
      <c r="O26" s="3"/>
      <c r="Q26" s="3"/>
      <c r="R26" s="3"/>
      <c r="Y26" s="4" t="s">
        <v>1068</v>
      </c>
      <c r="Z26" s="4" t="s">
        <v>1090</v>
      </c>
      <c r="AB26" s="3"/>
      <c r="AC26" s="3"/>
      <c r="AD26" s="3" t="s">
        <v>77</v>
      </c>
      <c r="AE26" s="3">
        <v>1000</v>
      </c>
      <c r="AI26" s="4" t="s">
        <v>1071</v>
      </c>
      <c r="AJ26" s="4" t="s">
        <v>1091</v>
      </c>
      <c r="AK26" s="3"/>
      <c r="AL26" s="4">
        <v>49501</v>
      </c>
      <c r="AM26" s="5">
        <v>10319</v>
      </c>
      <c r="AN26" s="4" t="s">
        <v>124</v>
      </c>
      <c r="AO26" s="4">
        <v>99</v>
      </c>
      <c r="AP26" s="4">
        <v>50000000</v>
      </c>
    </row>
    <row r="27" spans="1:42" s="4" customFormat="1" x14ac:dyDescent="0.25">
      <c r="A27" s="3">
        <v>4604587</v>
      </c>
      <c r="B27" s="28">
        <v>42184</v>
      </c>
      <c r="C27" s="3" t="s">
        <v>1278</v>
      </c>
      <c r="D27" s="3">
        <v>10004366</v>
      </c>
      <c r="E27" s="4">
        <v>4533938</v>
      </c>
      <c r="F27" s="3" t="s">
        <v>49</v>
      </c>
      <c r="G27" s="4" t="s">
        <v>1441</v>
      </c>
      <c r="H27" s="4" t="s">
        <v>1442</v>
      </c>
      <c r="I27" s="5">
        <v>11210</v>
      </c>
      <c r="J27" s="3" t="s">
        <v>76</v>
      </c>
      <c r="K27" s="3" t="s">
        <v>77</v>
      </c>
      <c r="L27" s="3" t="s">
        <v>196</v>
      </c>
      <c r="M27" s="4" t="s">
        <v>1442</v>
      </c>
      <c r="N27" s="3" t="s">
        <v>25</v>
      </c>
      <c r="O27" s="3"/>
      <c r="Q27" s="3"/>
      <c r="R27" s="3"/>
      <c r="Y27" s="4" t="s">
        <v>1068</v>
      </c>
      <c r="Z27" s="4" t="s">
        <v>1090</v>
      </c>
      <c r="AB27" s="3"/>
      <c r="AC27" s="3"/>
      <c r="AD27" s="3" t="s">
        <v>287</v>
      </c>
      <c r="AE27" s="3">
        <v>1000</v>
      </c>
      <c r="AI27" s="4" t="s">
        <v>1071</v>
      </c>
      <c r="AJ27" s="4" t="s">
        <v>1091</v>
      </c>
      <c r="AK27" s="3"/>
      <c r="AL27" s="4">
        <v>40407</v>
      </c>
      <c r="AM27" s="5">
        <v>11210</v>
      </c>
      <c r="AN27" s="4" t="s">
        <v>124</v>
      </c>
      <c r="AO27" s="4">
        <v>99</v>
      </c>
      <c r="AP27" s="4">
        <v>46151600</v>
      </c>
    </row>
    <row r="28" spans="1:42" s="4" customFormat="1" x14ac:dyDescent="0.25">
      <c r="A28" s="3">
        <v>4604593</v>
      </c>
      <c r="B28" s="28">
        <v>41820</v>
      </c>
      <c r="C28" s="3" t="s">
        <v>2158</v>
      </c>
      <c r="D28" s="3">
        <v>10004373</v>
      </c>
      <c r="E28" s="4">
        <v>4533944</v>
      </c>
      <c r="F28" s="3" t="s">
        <v>49</v>
      </c>
      <c r="G28" s="4" t="s">
        <v>2205</v>
      </c>
      <c r="H28" s="4" t="s">
        <v>2206</v>
      </c>
      <c r="I28" s="5">
        <v>10000</v>
      </c>
      <c r="J28" s="3" t="s">
        <v>200</v>
      </c>
      <c r="K28" s="3" t="s">
        <v>1543</v>
      </c>
      <c r="L28" s="3" t="s">
        <v>196</v>
      </c>
      <c r="M28" s="4" t="s">
        <v>2206</v>
      </c>
      <c r="N28" s="3" t="s">
        <v>25</v>
      </c>
      <c r="O28" s="3" t="s">
        <v>139</v>
      </c>
      <c r="P28" s="4" t="s">
        <v>2207</v>
      </c>
      <c r="Q28" s="3"/>
      <c r="R28" s="3"/>
      <c r="Y28" s="4" t="s">
        <v>2208</v>
      </c>
      <c r="Z28" s="4" t="s">
        <v>2208</v>
      </c>
      <c r="AB28" s="3"/>
      <c r="AC28" s="3"/>
      <c r="AD28" s="3" t="s">
        <v>223</v>
      </c>
      <c r="AE28" s="3">
        <v>1000</v>
      </c>
      <c r="AI28" s="4" t="s">
        <v>2209</v>
      </c>
      <c r="AJ28" s="4" t="s">
        <v>2209</v>
      </c>
      <c r="AK28" s="3" t="s">
        <v>2210</v>
      </c>
      <c r="AL28" s="4">
        <v>141765</v>
      </c>
      <c r="AM28" s="5">
        <v>10000</v>
      </c>
      <c r="AN28" s="4" t="s">
        <v>124</v>
      </c>
      <c r="AO28" s="4">
        <v>99</v>
      </c>
      <c r="AP28" s="4">
        <v>80101505</v>
      </c>
    </row>
    <row r="29" spans="1:42" s="4" customFormat="1" x14ac:dyDescent="0.25">
      <c r="A29" s="3">
        <v>4604596</v>
      </c>
      <c r="B29" s="28">
        <v>41860</v>
      </c>
      <c r="C29" s="3" t="s">
        <v>1278</v>
      </c>
      <c r="D29" s="3">
        <v>10004374</v>
      </c>
      <c r="E29" s="4">
        <v>4533947</v>
      </c>
      <c r="F29" s="3" t="s">
        <v>49</v>
      </c>
      <c r="G29" s="4" t="s">
        <v>1458</v>
      </c>
      <c r="H29" s="4" t="s">
        <v>1459</v>
      </c>
      <c r="I29" s="5">
        <v>15000</v>
      </c>
      <c r="J29" s="3" t="s">
        <v>1457</v>
      </c>
      <c r="K29" s="3" t="s">
        <v>1460</v>
      </c>
      <c r="L29" s="3" t="s">
        <v>196</v>
      </c>
      <c r="M29" s="4" t="s">
        <v>1461</v>
      </c>
      <c r="N29" s="3" t="s">
        <v>25</v>
      </c>
      <c r="O29" s="3"/>
      <c r="Q29" s="3"/>
      <c r="R29" s="3"/>
      <c r="Y29" s="4" t="s">
        <v>1141</v>
      </c>
      <c r="Z29" s="4" t="s">
        <v>1141</v>
      </c>
      <c r="AB29" s="3"/>
      <c r="AC29" s="3"/>
      <c r="AD29" s="3" t="s">
        <v>1452</v>
      </c>
      <c r="AE29" s="3">
        <v>1000</v>
      </c>
      <c r="AI29" s="4" t="s">
        <v>1144</v>
      </c>
      <c r="AJ29" s="4" t="s">
        <v>1144</v>
      </c>
      <c r="AK29" s="3"/>
      <c r="AL29" s="4">
        <v>49909</v>
      </c>
      <c r="AM29" s="5">
        <v>15000</v>
      </c>
      <c r="AN29" s="4" t="s">
        <v>124</v>
      </c>
      <c r="AO29" s="4">
        <v>99</v>
      </c>
      <c r="AP29" s="4">
        <v>72101500</v>
      </c>
    </row>
    <row r="30" spans="1:42" s="4" customFormat="1" x14ac:dyDescent="0.25">
      <c r="A30" s="3">
        <v>4604598</v>
      </c>
      <c r="B30" s="28">
        <v>41827</v>
      </c>
      <c r="C30" s="3" t="s">
        <v>1278</v>
      </c>
      <c r="D30" s="3">
        <v>10004378</v>
      </c>
      <c r="E30" s="4">
        <v>4533949</v>
      </c>
      <c r="F30" s="3" t="s">
        <v>49</v>
      </c>
      <c r="G30" s="4" t="s">
        <v>1099</v>
      </c>
      <c r="H30" s="4" t="s">
        <v>1464</v>
      </c>
      <c r="I30" s="5">
        <v>12000</v>
      </c>
      <c r="J30" s="3" t="s">
        <v>76</v>
      </c>
      <c r="K30" s="3" t="s">
        <v>77</v>
      </c>
      <c r="L30" s="3" t="s">
        <v>196</v>
      </c>
      <c r="M30" s="4" t="s">
        <v>1465</v>
      </c>
      <c r="N30" s="3" t="s">
        <v>25</v>
      </c>
      <c r="O30" s="3"/>
      <c r="Q30" s="3"/>
      <c r="R30" s="3"/>
      <c r="Y30" s="4" t="s">
        <v>1056</v>
      </c>
      <c r="Z30" s="4" t="s">
        <v>1090</v>
      </c>
      <c r="AB30" s="3"/>
      <c r="AC30" s="3"/>
      <c r="AD30" s="3" t="s">
        <v>1462</v>
      </c>
      <c r="AE30" s="3">
        <v>1000</v>
      </c>
      <c r="AI30" s="4" t="s">
        <v>1058</v>
      </c>
      <c r="AJ30" s="4" t="s">
        <v>1091</v>
      </c>
      <c r="AK30" s="3"/>
      <c r="AL30" s="4">
        <v>140163</v>
      </c>
      <c r="AM30" s="5">
        <v>12000</v>
      </c>
      <c r="AN30" s="4" t="s">
        <v>124</v>
      </c>
      <c r="AO30" s="4">
        <v>99</v>
      </c>
      <c r="AP30" s="4">
        <v>43222500</v>
      </c>
    </row>
    <row r="31" spans="1:42" s="4" customFormat="1" x14ac:dyDescent="0.25">
      <c r="A31" s="3">
        <v>4604600</v>
      </c>
      <c r="B31" s="28">
        <v>41827</v>
      </c>
      <c r="C31" s="3" t="s">
        <v>1278</v>
      </c>
      <c r="D31" s="3">
        <v>10004381</v>
      </c>
      <c r="E31" s="4">
        <v>4533951</v>
      </c>
      <c r="F31" s="3" t="s">
        <v>49</v>
      </c>
      <c r="G31" s="4" t="s">
        <v>1471</v>
      </c>
      <c r="H31" s="4" t="s">
        <v>1472</v>
      </c>
      <c r="I31" s="5">
        <v>20000</v>
      </c>
      <c r="J31" s="3" t="s">
        <v>76</v>
      </c>
      <c r="K31" s="3" t="s">
        <v>77</v>
      </c>
      <c r="L31" s="3" t="s">
        <v>119</v>
      </c>
      <c r="M31" s="4" t="s">
        <v>1473</v>
      </c>
      <c r="N31" s="3" t="s">
        <v>56</v>
      </c>
      <c r="O31" s="3"/>
      <c r="Q31" s="3"/>
      <c r="R31" s="3"/>
      <c r="Y31" s="4" t="s">
        <v>1056</v>
      </c>
      <c r="Z31" s="4" t="s">
        <v>1090</v>
      </c>
      <c r="AA31" s="4" t="s">
        <v>1474</v>
      </c>
      <c r="AB31" s="3" t="s">
        <v>1475</v>
      </c>
      <c r="AC31" s="3" t="s">
        <v>1476</v>
      </c>
      <c r="AD31" s="3" t="s">
        <v>1462</v>
      </c>
      <c r="AE31" s="3">
        <v>1000</v>
      </c>
      <c r="AI31" s="4" t="s">
        <v>1058</v>
      </c>
      <c r="AJ31" s="4" t="s">
        <v>1091</v>
      </c>
      <c r="AK31" s="3"/>
      <c r="AL31" s="4">
        <v>48891</v>
      </c>
      <c r="AM31" s="5">
        <v>20000</v>
      </c>
      <c r="AN31" s="4" t="s">
        <v>124</v>
      </c>
      <c r="AO31" s="4">
        <v>99</v>
      </c>
      <c r="AP31" s="4">
        <v>43211503</v>
      </c>
    </row>
    <row r="32" spans="1:42" s="4" customFormat="1" x14ac:dyDescent="0.25">
      <c r="A32" s="3">
        <v>4604602</v>
      </c>
      <c r="B32" s="28">
        <v>42066</v>
      </c>
      <c r="C32" s="3" t="s">
        <v>1278</v>
      </c>
      <c r="D32" s="3">
        <v>10004382</v>
      </c>
      <c r="E32" s="4">
        <v>4533953</v>
      </c>
      <c r="F32" s="3" t="s">
        <v>49</v>
      </c>
      <c r="G32" s="4" t="s">
        <v>1380</v>
      </c>
      <c r="H32" s="4" t="s">
        <v>1480</v>
      </c>
      <c r="I32" s="5">
        <v>15000</v>
      </c>
      <c r="J32" s="3" t="s">
        <v>1462</v>
      </c>
      <c r="K32" s="3" t="s">
        <v>77</v>
      </c>
      <c r="L32" s="3" t="s">
        <v>196</v>
      </c>
      <c r="M32" s="4" t="s">
        <v>1480</v>
      </c>
      <c r="N32" s="3" t="s">
        <v>25</v>
      </c>
      <c r="O32" s="3"/>
      <c r="Q32" s="3"/>
      <c r="R32" s="3"/>
      <c r="Y32" s="4" t="s">
        <v>1047</v>
      </c>
      <c r="Z32" s="4" t="s">
        <v>1382</v>
      </c>
      <c r="AB32" s="3"/>
      <c r="AC32" s="3"/>
      <c r="AD32" s="3" t="s">
        <v>486</v>
      </c>
      <c r="AE32" s="3">
        <v>1000</v>
      </c>
      <c r="AI32" s="4" t="s">
        <v>1050</v>
      </c>
      <c r="AJ32" s="4" t="s">
        <v>1383</v>
      </c>
      <c r="AK32" s="3"/>
      <c r="AL32" s="4">
        <v>46327</v>
      </c>
      <c r="AM32" s="5">
        <v>15000</v>
      </c>
      <c r="AN32" s="4" t="s">
        <v>124</v>
      </c>
      <c r="AO32" s="4">
        <v>99</v>
      </c>
      <c r="AP32" s="4">
        <v>80101507</v>
      </c>
    </row>
    <row r="33" spans="1:42" s="4" customFormat="1" x14ac:dyDescent="0.25">
      <c r="A33" s="3">
        <v>4604604</v>
      </c>
      <c r="B33" s="28">
        <v>42188</v>
      </c>
      <c r="C33" s="3" t="s">
        <v>1278</v>
      </c>
      <c r="D33" s="3">
        <v>10004384</v>
      </c>
      <c r="E33" s="4">
        <v>4533955</v>
      </c>
      <c r="F33" s="3" t="s">
        <v>49</v>
      </c>
      <c r="G33" s="4" t="s">
        <v>1482</v>
      </c>
      <c r="H33" s="4" t="s">
        <v>1483</v>
      </c>
      <c r="I33" s="5">
        <v>10053.81</v>
      </c>
      <c r="J33" s="3" t="s">
        <v>76</v>
      </c>
      <c r="K33" s="3" t="s">
        <v>77</v>
      </c>
      <c r="L33" s="3" t="s">
        <v>196</v>
      </c>
      <c r="M33" s="4" t="s">
        <v>1483</v>
      </c>
      <c r="N33" s="3" t="s">
        <v>25</v>
      </c>
      <c r="O33" s="3"/>
      <c r="Q33" s="3"/>
      <c r="R33" s="3"/>
      <c r="Y33" s="4" t="s">
        <v>1068</v>
      </c>
      <c r="Z33" s="4" t="s">
        <v>1090</v>
      </c>
      <c r="AB33" s="3"/>
      <c r="AC33" s="3"/>
      <c r="AD33" s="3" t="s">
        <v>1481</v>
      </c>
      <c r="AE33" s="3">
        <v>1000</v>
      </c>
      <c r="AI33" s="4" t="s">
        <v>1071</v>
      </c>
      <c r="AJ33" s="4" t="s">
        <v>1091</v>
      </c>
      <c r="AK33" s="3"/>
      <c r="AL33" s="4">
        <v>30395</v>
      </c>
      <c r="AM33" s="5">
        <v>10053.81</v>
      </c>
      <c r="AN33" s="4" t="s">
        <v>124</v>
      </c>
      <c r="AO33" s="4">
        <v>99</v>
      </c>
      <c r="AP33" s="4">
        <v>78102200</v>
      </c>
    </row>
    <row r="34" spans="1:42" s="4" customFormat="1" x14ac:dyDescent="0.25">
      <c r="A34" s="3">
        <v>4604608</v>
      </c>
      <c r="B34" s="28">
        <v>42164</v>
      </c>
      <c r="C34" s="3" t="s">
        <v>1278</v>
      </c>
      <c r="D34" s="3">
        <v>10004390</v>
      </c>
      <c r="E34" s="4">
        <v>4533959</v>
      </c>
      <c r="F34" s="3" t="s">
        <v>49</v>
      </c>
      <c r="G34" s="4" t="s">
        <v>1492</v>
      </c>
      <c r="H34" s="4" t="s">
        <v>1493</v>
      </c>
      <c r="I34" s="5">
        <v>12071.84</v>
      </c>
      <c r="J34" s="3" t="s">
        <v>1462</v>
      </c>
      <c r="K34" s="3" t="s">
        <v>77</v>
      </c>
      <c r="L34" s="3" t="s">
        <v>196</v>
      </c>
      <c r="M34" s="4" t="s">
        <v>1493</v>
      </c>
      <c r="N34" s="3" t="s">
        <v>25</v>
      </c>
      <c r="O34" s="3"/>
      <c r="Q34" s="3"/>
      <c r="R34" s="3"/>
      <c r="Y34" s="4" t="s">
        <v>1068</v>
      </c>
      <c r="Z34" s="4" t="s">
        <v>1090</v>
      </c>
      <c r="AB34" s="3"/>
      <c r="AC34" s="3"/>
      <c r="AD34" s="3" t="s">
        <v>1491</v>
      </c>
      <c r="AE34" s="3">
        <v>1000</v>
      </c>
      <c r="AI34" s="4" t="s">
        <v>1071</v>
      </c>
      <c r="AJ34" s="4" t="s">
        <v>1091</v>
      </c>
      <c r="AK34" s="3"/>
      <c r="AL34" s="4">
        <v>49420</v>
      </c>
      <c r="AM34" s="5">
        <v>12071.84</v>
      </c>
      <c r="AN34" s="4" t="s">
        <v>124</v>
      </c>
      <c r="AO34" s="4">
        <v>99</v>
      </c>
      <c r="AP34" s="4">
        <v>80131500</v>
      </c>
    </row>
    <row r="35" spans="1:42" s="4" customFormat="1" x14ac:dyDescent="0.25">
      <c r="A35" s="3">
        <v>4604620</v>
      </c>
      <c r="B35" s="28">
        <v>41831</v>
      </c>
      <c r="C35" s="3" t="s">
        <v>2083</v>
      </c>
      <c r="D35" s="3">
        <v>10004395</v>
      </c>
      <c r="E35" s="4">
        <v>4533971</v>
      </c>
      <c r="F35" s="3" t="s">
        <v>49</v>
      </c>
      <c r="G35" s="4" t="s">
        <v>2085</v>
      </c>
      <c r="H35" s="4" t="s">
        <v>2086</v>
      </c>
      <c r="I35" s="5">
        <v>24000</v>
      </c>
      <c r="J35" s="3" t="s">
        <v>1052</v>
      </c>
      <c r="K35" s="3" t="s">
        <v>77</v>
      </c>
      <c r="L35" s="3" t="s">
        <v>196</v>
      </c>
      <c r="M35" s="4" t="s">
        <v>2086</v>
      </c>
      <c r="N35" s="3" t="s">
        <v>25</v>
      </c>
      <c r="O35" s="3"/>
      <c r="Q35" s="3"/>
      <c r="R35" s="3"/>
      <c r="Y35" s="4" t="s">
        <v>1616</v>
      </c>
      <c r="Z35" s="4" t="s">
        <v>1616</v>
      </c>
      <c r="AB35" s="3"/>
      <c r="AC35" s="3"/>
      <c r="AD35" s="3" t="s">
        <v>1121</v>
      </c>
      <c r="AE35" s="3">
        <v>1000</v>
      </c>
      <c r="AI35" s="4" t="s">
        <v>1617</v>
      </c>
      <c r="AJ35" s="4" t="s">
        <v>1617</v>
      </c>
      <c r="AK35" s="3"/>
      <c r="AL35" s="4">
        <v>141774</v>
      </c>
      <c r="AM35" s="5">
        <v>24000</v>
      </c>
      <c r="AN35" s="4" t="s">
        <v>124</v>
      </c>
      <c r="AO35" s="4">
        <v>99</v>
      </c>
      <c r="AP35" s="4">
        <v>80101604</v>
      </c>
    </row>
    <row r="36" spans="1:42" s="4" customFormat="1" x14ac:dyDescent="0.25">
      <c r="A36" s="3">
        <v>4604624</v>
      </c>
      <c r="B36" s="28">
        <v>42181</v>
      </c>
      <c r="C36" s="3" t="s">
        <v>1278</v>
      </c>
      <c r="D36" s="3">
        <v>10004407</v>
      </c>
      <c r="E36" s="4">
        <v>4533975</v>
      </c>
      <c r="F36" s="3" t="s">
        <v>49</v>
      </c>
      <c r="G36" s="4" t="s">
        <v>1527</v>
      </c>
      <c r="H36" s="4" t="s">
        <v>1528</v>
      </c>
      <c r="I36" s="5">
        <v>20913.560000000001</v>
      </c>
      <c r="J36" s="3" t="s">
        <v>1462</v>
      </c>
      <c r="K36" s="3" t="s">
        <v>77</v>
      </c>
      <c r="L36" s="3" t="s">
        <v>196</v>
      </c>
      <c r="M36" s="4" t="s">
        <v>1528</v>
      </c>
      <c r="N36" s="3" t="s">
        <v>25</v>
      </c>
      <c r="O36" s="3"/>
      <c r="Q36" s="3"/>
      <c r="R36" s="3"/>
      <c r="Y36" s="4" t="s">
        <v>1068</v>
      </c>
      <c r="Z36" s="4" t="s">
        <v>1090</v>
      </c>
      <c r="AB36" s="3"/>
      <c r="AC36" s="3"/>
      <c r="AD36" s="3" t="s">
        <v>1209</v>
      </c>
      <c r="AE36" s="3">
        <v>1000</v>
      </c>
      <c r="AI36" s="4" t="s">
        <v>1071</v>
      </c>
      <c r="AJ36" s="4" t="s">
        <v>1091</v>
      </c>
      <c r="AK36" s="3"/>
      <c r="AL36" s="4">
        <v>140948</v>
      </c>
      <c r="AM36" s="5">
        <v>20913.560000000001</v>
      </c>
      <c r="AN36" s="4" t="s">
        <v>124</v>
      </c>
      <c r="AO36" s="4">
        <v>99</v>
      </c>
      <c r="AP36" s="4">
        <v>83100000</v>
      </c>
    </row>
    <row r="37" spans="1:42" s="4" customFormat="1" x14ac:dyDescent="0.25">
      <c r="A37" s="3">
        <v>4604628</v>
      </c>
      <c r="B37" s="28">
        <v>41838</v>
      </c>
      <c r="C37" s="3" t="s">
        <v>2083</v>
      </c>
      <c r="D37" s="3">
        <v>10004421</v>
      </c>
      <c r="E37" s="4">
        <v>4533979</v>
      </c>
      <c r="F37" s="3" t="s">
        <v>49</v>
      </c>
      <c r="G37" s="4" t="s">
        <v>2090</v>
      </c>
      <c r="H37" s="4" t="s">
        <v>2091</v>
      </c>
      <c r="I37" s="5">
        <v>14850</v>
      </c>
      <c r="J37" s="3" t="s">
        <v>2089</v>
      </c>
      <c r="K37" s="3" t="s">
        <v>1568</v>
      </c>
      <c r="L37" s="3" t="s">
        <v>196</v>
      </c>
      <c r="M37" s="4" t="s">
        <v>2091</v>
      </c>
      <c r="N37" s="3" t="s">
        <v>25</v>
      </c>
      <c r="O37" s="3"/>
      <c r="Q37" s="3"/>
      <c r="R37" s="3"/>
      <c r="Y37" s="4" t="s">
        <v>1616</v>
      </c>
      <c r="Z37" s="4" t="s">
        <v>1616</v>
      </c>
      <c r="AB37" s="3"/>
      <c r="AC37" s="3"/>
      <c r="AD37" s="3" t="s">
        <v>258</v>
      </c>
      <c r="AE37" s="3">
        <v>1000</v>
      </c>
      <c r="AI37" s="4" t="s">
        <v>1617</v>
      </c>
      <c r="AJ37" s="4" t="s">
        <v>1617</v>
      </c>
      <c r="AK37" s="3"/>
      <c r="AL37" s="4">
        <v>141776</v>
      </c>
      <c r="AM37" s="5">
        <v>14850</v>
      </c>
      <c r="AN37" s="4" t="s">
        <v>124</v>
      </c>
      <c r="AO37" s="4">
        <v>99</v>
      </c>
      <c r="AP37" s="4">
        <v>80141609</v>
      </c>
    </row>
    <row r="38" spans="1:42" s="4" customFormat="1" x14ac:dyDescent="0.25">
      <c r="A38" s="3">
        <v>4604629</v>
      </c>
      <c r="B38" s="28">
        <v>42188</v>
      </c>
      <c r="C38" s="3" t="s">
        <v>1278</v>
      </c>
      <c r="D38" s="3">
        <v>10004422</v>
      </c>
      <c r="E38" s="4">
        <v>4533980</v>
      </c>
      <c r="F38" s="3" t="s">
        <v>49</v>
      </c>
      <c r="G38" s="4" t="s">
        <v>1541</v>
      </c>
      <c r="H38" s="4" t="s">
        <v>1542</v>
      </c>
      <c r="I38" s="5">
        <v>10449.65</v>
      </c>
      <c r="J38" s="3" t="s">
        <v>76</v>
      </c>
      <c r="K38" s="3" t="s">
        <v>77</v>
      </c>
      <c r="L38" s="3" t="s">
        <v>196</v>
      </c>
      <c r="M38" s="4" t="s">
        <v>1542</v>
      </c>
      <c r="N38" s="3" t="s">
        <v>25</v>
      </c>
      <c r="O38" s="3"/>
      <c r="Q38" s="3"/>
      <c r="R38" s="3"/>
      <c r="Y38" s="4" t="s">
        <v>344</v>
      </c>
      <c r="Z38" s="4" t="s">
        <v>344</v>
      </c>
      <c r="AB38" s="3"/>
      <c r="AC38" s="3"/>
      <c r="AD38" s="3" t="s">
        <v>1481</v>
      </c>
      <c r="AE38" s="3">
        <v>1000</v>
      </c>
      <c r="AI38" s="4" t="s">
        <v>345</v>
      </c>
      <c r="AJ38" s="4" t="s">
        <v>345</v>
      </c>
      <c r="AK38" s="3"/>
      <c r="AL38" s="4">
        <v>140298</v>
      </c>
      <c r="AM38" s="5">
        <v>10449.65</v>
      </c>
      <c r="AN38" s="4" t="s">
        <v>124</v>
      </c>
      <c r="AO38" s="4">
        <v>99</v>
      </c>
      <c r="AP38" s="4">
        <v>43230000</v>
      </c>
    </row>
    <row r="39" spans="1:42" s="4" customFormat="1" x14ac:dyDescent="0.25">
      <c r="A39" s="3">
        <v>4604631</v>
      </c>
      <c r="B39" s="28">
        <v>41843</v>
      </c>
      <c r="C39" s="3" t="s">
        <v>1278</v>
      </c>
      <c r="D39" s="3">
        <v>10004426</v>
      </c>
      <c r="E39" s="4">
        <v>4533982</v>
      </c>
      <c r="F39" s="3" t="s">
        <v>49</v>
      </c>
      <c r="G39" s="4" t="s">
        <v>1544</v>
      </c>
      <c r="H39" s="4" t="s">
        <v>1545</v>
      </c>
      <c r="I39" s="5">
        <v>15000</v>
      </c>
      <c r="J39" s="3" t="s">
        <v>1543</v>
      </c>
      <c r="K39" s="3" t="s">
        <v>77</v>
      </c>
      <c r="L39" s="3" t="s">
        <v>196</v>
      </c>
      <c r="M39" s="4" t="s">
        <v>1546</v>
      </c>
      <c r="N39" s="3" t="s">
        <v>25</v>
      </c>
      <c r="O39" s="3"/>
      <c r="Q39" s="3"/>
      <c r="R39" s="3"/>
      <c r="Y39" s="4" t="s">
        <v>1056</v>
      </c>
      <c r="Z39" s="4" t="s">
        <v>1090</v>
      </c>
      <c r="AB39" s="3"/>
      <c r="AC39" s="3"/>
      <c r="AD39" s="3" t="s">
        <v>1543</v>
      </c>
      <c r="AE39" s="3">
        <v>1000</v>
      </c>
      <c r="AI39" s="4" t="s">
        <v>1058</v>
      </c>
      <c r="AJ39" s="4" t="s">
        <v>1091</v>
      </c>
      <c r="AK39" s="3"/>
      <c r="AL39" s="4">
        <v>40356</v>
      </c>
      <c r="AM39" s="5">
        <v>15000</v>
      </c>
      <c r="AN39" s="4" t="s">
        <v>124</v>
      </c>
      <c r="AO39" s="4">
        <v>99</v>
      </c>
      <c r="AP39" s="4">
        <v>78141501</v>
      </c>
    </row>
    <row r="40" spans="1:42" s="4" customFormat="1" x14ac:dyDescent="0.25">
      <c r="A40" s="3">
        <v>4604633</v>
      </c>
      <c r="B40" s="28">
        <v>41575</v>
      </c>
      <c r="C40" s="3" t="s">
        <v>560</v>
      </c>
      <c r="D40" s="3">
        <v>10004429</v>
      </c>
      <c r="E40" s="4">
        <v>4533984</v>
      </c>
      <c r="F40" s="3" t="s">
        <v>49</v>
      </c>
      <c r="G40" s="4" t="s">
        <v>763</v>
      </c>
      <c r="H40" s="4" t="s">
        <v>764</v>
      </c>
      <c r="I40" s="5">
        <v>10670</v>
      </c>
      <c r="J40" s="3" t="s">
        <v>765</v>
      </c>
      <c r="K40" s="3" t="s">
        <v>259</v>
      </c>
      <c r="L40" s="3" t="s">
        <v>196</v>
      </c>
      <c r="M40" s="4" t="s">
        <v>766</v>
      </c>
      <c r="N40" s="3" t="s">
        <v>25</v>
      </c>
      <c r="O40" s="3"/>
      <c r="Q40" s="3"/>
      <c r="R40" s="3"/>
      <c r="Y40" s="4" t="s">
        <v>767</v>
      </c>
      <c r="Z40" s="4" t="s">
        <v>767</v>
      </c>
      <c r="AB40" s="3"/>
      <c r="AC40" s="3"/>
      <c r="AD40" s="3" t="s">
        <v>768</v>
      </c>
      <c r="AE40" s="3">
        <v>1000</v>
      </c>
      <c r="AI40" s="4" t="s">
        <v>769</v>
      </c>
      <c r="AJ40" s="4" t="s">
        <v>769</v>
      </c>
      <c r="AK40" s="3"/>
      <c r="AL40" s="4">
        <v>30265</v>
      </c>
      <c r="AM40" s="5">
        <v>10670</v>
      </c>
      <c r="AN40" s="4" t="s">
        <v>124</v>
      </c>
      <c r="AO40" s="4">
        <v>99</v>
      </c>
      <c r="AP40" s="4">
        <v>80141607</v>
      </c>
    </row>
    <row r="41" spans="1:42" s="4" customFormat="1" x14ac:dyDescent="0.25">
      <c r="A41" s="3">
        <v>4604641</v>
      </c>
      <c r="B41" s="28">
        <v>41837</v>
      </c>
      <c r="C41" s="3" t="s">
        <v>1278</v>
      </c>
      <c r="D41" s="3">
        <v>10004387</v>
      </c>
      <c r="E41" s="4">
        <v>4533992</v>
      </c>
      <c r="F41" s="3" t="s">
        <v>49</v>
      </c>
      <c r="G41" s="4" t="s">
        <v>1566</v>
      </c>
      <c r="H41" s="4" t="s">
        <v>1567</v>
      </c>
      <c r="I41" s="5">
        <v>11000</v>
      </c>
      <c r="J41" s="3" t="s">
        <v>1565</v>
      </c>
      <c r="K41" s="3" t="s">
        <v>1568</v>
      </c>
      <c r="L41" s="3" t="s">
        <v>196</v>
      </c>
      <c r="M41" s="4" t="s">
        <v>1567</v>
      </c>
      <c r="N41" s="3" t="s">
        <v>25</v>
      </c>
      <c r="O41" s="3"/>
      <c r="Q41" s="3"/>
      <c r="R41" s="3"/>
      <c r="Y41" s="4" t="s">
        <v>1309</v>
      </c>
      <c r="Z41" s="4" t="s">
        <v>1569</v>
      </c>
      <c r="AB41" s="3"/>
      <c r="AC41" s="3"/>
      <c r="AD41" s="3" t="s">
        <v>1570</v>
      </c>
      <c r="AE41" s="3">
        <v>1000</v>
      </c>
      <c r="AI41" s="4" t="s">
        <v>1313</v>
      </c>
      <c r="AJ41" s="4" t="s">
        <v>1571</v>
      </c>
      <c r="AK41" s="3"/>
      <c r="AL41" s="4">
        <v>140505</v>
      </c>
      <c r="AM41" s="5">
        <v>11000</v>
      </c>
      <c r="AN41" s="4" t="s">
        <v>124</v>
      </c>
      <c r="AO41" s="4">
        <v>99</v>
      </c>
      <c r="AP41" s="4">
        <v>82141501</v>
      </c>
    </row>
    <row r="42" spans="1:42" s="4" customFormat="1" x14ac:dyDescent="0.25">
      <c r="A42" s="3">
        <v>4604642</v>
      </c>
      <c r="B42" s="28">
        <v>41852</v>
      </c>
      <c r="C42" s="3" t="s">
        <v>1278</v>
      </c>
      <c r="D42" s="3">
        <v>10004436</v>
      </c>
      <c r="E42" s="4">
        <v>4533993</v>
      </c>
      <c r="F42" s="3" t="s">
        <v>49</v>
      </c>
      <c r="G42" s="4" t="s">
        <v>1245</v>
      </c>
      <c r="H42" s="4" t="s">
        <v>1572</v>
      </c>
      <c r="I42" s="5">
        <v>14392</v>
      </c>
      <c r="J42" s="3" t="s">
        <v>214</v>
      </c>
      <c r="K42" s="3" t="s">
        <v>1573</v>
      </c>
      <c r="L42" s="3" t="s">
        <v>196</v>
      </c>
      <c r="M42" s="4" t="s">
        <v>1574</v>
      </c>
      <c r="N42" s="3" t="s">
        <v>25</v>
      </c>
      <c r="O42" s="3"/>
      <c r="Q42" s="3"/>
      <c r="R42" s="3"/>
      <c r="Y42" s="4" t="s">
        <v>1249</v>
      </c>
      <c r="Z42" s="4" t="s">
        <v>1090</v>
      </c>
      <c r="AB42" s="3"/>
      <c r="AC42" s="3"/>
      <c r="AD42" s="3" t="s">
        <v>223</v>
      </c>
      <c r="AE42" s="3">
        <v>1000</v>
      </c>
      <c r="AI42" s="4" t="s">
        <v>1250</v>
      </c>
      <c r="AJ42" s="4" t="s">
        <v>1091</v>
      </c>
      <c r="AK42" s="3"/>
      <c r="AL42" s="4">
        <v>140158</v>
      </c>
      <c r="AM42" s="5">
        <v>14392</v>
      </c>
      <c r="AN42" s="4" t="s">
        <v>124</v>
      </c>
      <c r="AO42" s="4">
        <v>99</v>
      </c>
      <c r="AP42" s="4">
        <v>76111500</v>
      </c>
    </row>
    <row r="43" spans="1:42" s="4" customFormat="1" x14ac:dyDescent="0.25">
      <c r="A43" s="3">
        <v>4604648</v>
      </c>
      <c r="B43" s="28">
        <v>42185</v>
      </c>
      <c r="C43" s="3" t="s">
        <v>1278</v>
      </c>
      <c r="D43" s="3">
        <v>10004441</v>
      </c>
      <c r="E43" s="4">
        <v>4533999</v>
      </c>
      <c r="F43" s="3" t="s">
        <v>49</v>
      </c>
      <c r="G43" s="4" t="s">
        <v>1454</v>
      </c>
      <c r="H43" s="4" t="s">
        <v>1577</v>
      </c>
      <c r="I43" s="5">
        <v>13064.95</v>
      </c>
      <c r="J43" s="3" t="s">
        <v>1578</v>
      </c>
      <c r="K43" s="3" t="s">
        <v>291</v>
      </c>
      <c r="L43" s="3" t="s">
        <v>196</v>
      </c>
      <c r="M43" s="4" t="s">
        <v>1577</v>
      </c>
      <c r="N43" s="3" t="s">
        <v>25</v>
      </c>
      <c r="O43" s="3"/>
      <c r="Q43" s="3"/>
      <c r="R43" s="3"/>
      <c r="Y43" s="4" t="s">
        <v>1141</v>
      </c>
      <c r="Z43" s="4" t="s">
        <v>1141</v>
      </c>
      <c r="AB43" s="3"/>
      <c r="AC43" s="3"/>
      <c r="AD43" s="3" t="s">
        <v>77</v>
      </c>
      <c r="AE43" s="3">
        <v>1000</v>
      </c>
      <c r="AI43" s="4" t="s">
        <v>1144</v>
      </c>
      <c r="AJ43" s="4" t="s">
        <v>1144</v>
      </c>
      <c r="AK43" s="3"/>
      <c r="AL43" s="4">
        <v>141769</v>
      </c>
      <c r="AM43" s="5">
        <v>13064.95</v>
      </c>
      <c r="AN43" s="4" t="s">
        <v>124</v>
      </c>
      <c r="AO43" s="4">
        <v>99</v>
      </c>
      <c r="AP43" s="4">
        <v>72101500</v>
      </c>
    </row>
    <row r="44" spans="1:42" s="4" customFormat="1" x14ac:dyDescent="0.25">
      <c r="A44" s="3">
        <v>4604650</v>
      </c>
      <c r="B44" s="28">
        <v>41855</v>
      </c>
      <c r="C44" s="3" t="s">
        <v>1278</v>
      </c>
      <c r="D44" s="3">
        <v>10004443</v>
      </c>
      <c r="E44" s="4">
        <v>4534001</v>
      </c>
      <c r="F44" s="3" t="s">
        <v>49</v>
      </c>
      <c r="G44" s="4" t="s">
        <v>1579</v>
      </c>
      <c r="H44" s="4" t="s">
        <v>1580</v>
      </c>
      <c r="I44" s="5">
        <v>17325</v>
      </c>
      <c r="J44" s="3" t="s">
        <v>1578</v>
      </c>
      <c r="K44" s="3" t="s">
        <v>187</v>
      </c>
      <c r="L44" s="3" t="s">
        <v>196</v>
      </c>
      <c r="M44" s="4" t="s">
        <v>1580</v>
      </c>
      <c r="N44" s="3" t="s">
        <v>25</v>
      </c>
      <c r="O44" s="3"/>
      <c r="Q44" s="3"/>
      <c r="R44" s="3"/>
      <c r="Y44" s="4" t="s">
        <v>1309</v>
      </c>
      <c r="Z44" s="4" t="s">
        <v>1309</v>
      </c>
      <c r="AB44" s="3"/>
      <c r="AC44" s="3"/>
      <c r="AD44" s="3" t="s">
        <v>794</v>
      </c>
      <c r="AE44" s="3">
        <v>1000</v>
      </c>
      <c r="AI44" s="4" t="s">
        <v>1313</v>
      </c>
      <c r="AJ44" s="4" t="s">
        <v>1313</v>
      </c>
      <c r="AK44" s="3"/>
      <c r="AL44" s="4">
        <v>141755</v>
      </c>
      <c r="AM44" s="5">
        <v>17325</v>
      </c>
      <c r="AN44" s="4" t="s">
        <v>124</v>
      </c>
      <c r="AO44" s="4">
        <v>99</v>
      </c>
      <c r="AP44" s="4">
        <v>80101507</v>
      </c>
    </row>
    <row r="45" spans="1:42" s="4" customFormat="1" x14ac:dyDescent="0.25">
      <c r="A45" s="3">
        <v>4604656</v>
      </c>
      <c r="B45" s="28">
        <v>41859</v>
      </c>
      <c r="C45" s="3" t="s">
        <v>1278</v>
      </c>
      <c r="D45" s="3">
        <v>10004451</v>
      </c>
      <c r="E45" s="4">
        <v>4534007</v>
      </c>
      <c r="F45" s="3" t="s">
        <v>49</v>
      </c>
      <c r="G45" s="4" t="s">
        <v>174</v>
      </c>
      <c r="H45" s="4" t="s">
        <v>1548</v>
      </c>
      <c r="I45" s="5">
        <v>11550.07</v>
      </c>
      <c r="J45" s="3" t="s">
        <v>1194</v>
      </c>
      <c r="K45" s="3" t="s">
        <v>77</v>
      </c>
      <c r="L45" s="3" t="s">
        <v>119</v>
      </c>
      <c r="M45" s="4" t="s">
        <v>1548</v>
      </c>
      <c r="N45" s="3" t="s">
        <v>56</v>
      </c>
      <c r="O45" s="3"/>
      <c r="Q45" s="3"/>
      <c r="R45" s="3"/>
      <c r="Y45" s="4" t="s">
        <v>178</v>
      </c>
      <c r="Z45" s="4" t="s">
        <v>179</v>
      </c>
      <c r="AA45" s="4" t="s">
        <v>188</v>
      </c>
      <c r="AB45" s="3" t="s">
        <v>401</v>
      </c>
      <c r="AC45" s="3" t="s">
        <v>190</v>
      </c>
      <c r="AD45" s="3" t="s">
        <v>324</v>
      </c>
      <c r="AE45" s="3">
        <v>1000</v>
      </c>
      <c r="AI45" s="4" t="s">
        <v>181</v>
      </c>
      <c r="AJ45" s="4" t="s">
        <v>182</v>
      </c>
      <c r="AK45" s="3"/>
      <c r="AL45" s="4">
        <v>40476</v>
      </c>
      <c r="AM45" s="5">
        <v>11550.07</v>
      </c>
      <c r="AN45" s="4" t="s">
        <v>124</v>
      </c>
      <c r="AO45" s="4">
        <v>99</v>
      </c>
      <c r="AP45" s="4">
        <v>80111600</v>
      </c>
    </row>
    <row r="46" spans="1:42" s="4" customFormat="1" x14ac:dyDescent="0.25">
      <c r="A46" s="3">
        <v>4604659</v>
      </c>
      <c r="B46" s="28">
        <v>41862</v>
      </c>
      <c r="C46" s="3" t="s">
        <v>1278</v>
      </c>
      <c r="D46" s="3">
        <v>10004454</v>
      </c>
      <c r="E46" s="4">
        <v>4534010</v>
      </c>
      <c r="F46" s="3" t="s">
        <v>49</v>
      </c>
      <c r="G46" s="4" t="s">
        <v>174</v>
      </c>
      <c r="H46" s="4" t="s">
        <v>1548</v>
      </c>
      <c r="I46" s="5">
        <v>11367.36</v>
      </c>
      <c r="J46" s="3" t="s">
        <v>1169</v>
      </c>
      <c r="K46" s="3" t="s">
        <v>77</v>
      </c>
      <c r="L46" s="3" t="s">
        <v>119</v>
      </c>
      <c r="M46" s="4" t="s">
        <v>1548</v>
      </c>
      <c r="N46" s="3" t="s">
        <v>56</v>
      </c>
      <c r="O46" s="3"/>
      <c r="Q46" s="3"/>
      <c r="R46" s="3"/>
      <c r="Y46" s="4" t="s">
        <v>178</v>
      </c>
      <c r="Z46" s="4" t="s">
        <v>179</v>
      </c>
      <c r="AA46" s="4" t="s">
        <v>188</v>
      </c>
      <c r="AB46" s="3" t="s">
        <v>401</v>
      </c>
      <c r="AC46" s="3" t="s">
        <v>190</v>
      </c>
      <c r="AD46" s="3" t="s">
        <v>324</v>
      </c>
      <c r="AE46" s="3">
        <v>1000</v>
      </c>
      <c r="AI46" s="4" t="s">
        <v>181</v>
      </c>
      <c r="AJ46" s="4" t="s">
        <v>182</v>
      </c>
      <c r="AK46" s="3"/>
      <c r="AL46" s="4">
        <v>40476</v>
      </c>
      <c r="AM46" s="5">
        <v>11367.36</v>
      </c>
      <c r="AN46" s="4" t="s">
        <v>124</v>
      </c>
      <c r="AO46" s="4">
        <v>99</v>
      </c>
      <c r="AP46" s="4">
        <v>80111600</v>
      </c>
    </row>
    <row r="47" spans="1:42" s="4" customFormat="1" x14ac:dyDescent="0.25">
      <c r="A47" s="3">
        <v>4604670</v>
      </c>
      <c r="B47" s="28">
        <v>41871</v>
      </c>
      <c r="C47" s="3" t="s">
        <v>1278</v>
      </c>
      <c r="D47" s="3">
        <v>10004465</v>
      </c>
      <c r="E47" s="4">
        <v>4534021</v>
      </c>
      <c r="F47" s="3" t="s">
        <v>49</v>
      </c>
      <c r="G47" s="4" t="s">
        <v>1517</v>
      </c>
      <c r="H47" s="4" t="s">
        <v>1602</v>
      </c>
      <c r="I47" s="5">
        <v>17600</v>
      </c>
      <c r="J47" s="3" t="s">
        <v>1601</v>
      </c>
      <c r="K47" s="3" t="s">
        <v>832</v>
      </c>
      <c r="L47" s="3" t="s">
        <v>196</v>
      </c>
      <c r="M47" s="4" t="s">
        <v>1602</v>
      </c>
      <c r="N47" s="3" t="s">
        <v>25</v>
      </c>
      <c r="O47" s="3"/>
      <c r="Q47" s="3"/>
      <c r="R47" s="3"/>
      <c r="Y47" s="4" t="s">
        <v>1222</v>
      </c>
      <c r="Z47" s="4" t="s">
        <v>1090</v>
      </c>
      <c r="AB47" s="3"/>
      <c r="AC47" s="3"/>
      <c r="AD47" s="3" t="s">
        <v>183</v>
      </c>
      <c r="AE47" s="3">
        <v>1000</v>
      </c>
      <c r="AI47" s="4" t="s">
        <v>1226</v>
      </c>
      <c r="AJ47" s="4" t="s">
        <v>1091</v>
      </c>
      <c r="AK47" s="3"/>
      <c r="AL47" s="4">
        <v>49903</v>
      </c>
      <c r="AM47" s="5">
        <v>17600</v>
      </c>
      <c r="AN47" s="4" t="s">
        <v>124</v>
      </c>
      <c r="AO47" s="4">
        <v>99</v>
      </c>
      <c r="AP47" s="4">
        <v>81111700</v>
      </c>
    </row>
    <row r="48" spans="1:42" s="4" customFormat="1" x14ac:dyDescent="0.25">
      <c r="A48" s="3">
        <v>4604672</v>
      </c>
      <c r="B48" s="28">
        <v>41871</v>
      </c>
      <c r="C48" s="3" t="s">
        <v>2342</v>
      </c>
      <c r="D48" s="3">
        <v>10004462</v>
      </c>
      <c r="E48" s="4">
        <v>4534023</v>
      </c>
      <c r="F48" s="3" t="s">
        <v>49</v>
      </c>
      <c r="G48" s="4" t="s">
        <v>2372</v>
      </c>
      <c r="H48" s="4" t="s">
        <v>2382</v>
      </c>
      <c r="I48" s="5">
        <v>13500</v>
      </c>
      <c r="J48" s="3" t="s">
        <v>1601</v>
      </c>
      <c r="K48" s="3" t="s">
        <v>1608</v>
      </c>
      <c r="L48" s="3" t="s">
        <v>196</v>
      </c>
      <c r="M48" s="4" t="s">
        <v>2382</v>
      </c>
      <c r="N48" s="3" t="s">
        <v>25</v>
      </c>
      <c r="O48" s="3" t="s">
        <v>139</v>
      </c>
      <c r="P48" s="4" t="s">
        <v>282</v>
      </c>
      <c r="Q48" s="3"/>
      <c r="R48" s="3"/>
      <c r="Y48" s="4" t="s">
        <v>2277</v>
      </c>
      <c r="Z48" s="4" t="s">
        <v>2293</v>
      </c>
      <c r="AB48" s="3"/>
      <c r="AC48" s="3"/>
      <c r="AD48" s="3" t="s">
        <v>1822</v>
      </c>
      <c r="AE48" s="3">
        <v>1000</v>
      </c>
      <c r="AI48" s="4" t="s">
        <v>2281</v>
      </c>
      <c r="AJ48" s="4" t="s">
        <v>2298</v>
      </c>
      <c r="AK48" s="3" t="s">
        <v>286</v>
      </c>
      <c r="AL48" s="4">
        <v>30353</v>
      </c>
      <c r="AM48" s="5">
        <v>13500</v>
      </c>
      <c r="AN48" s="4" t="s">
        <v>124</v>
      </c>
      <c r="AO48" s="4">
        <v>99</v>
      </c>
      <c r="AP48" s="4">
        <v>86000000</v>
      </c>
    </row>
    <row r="49" spans="1:42" s="4" customFormat="1" x14ac:dyDescent="0.25">
      <c r="A49" s="3">
        <v>4604673</v>
      </c>
      <c r="B49" s="28">
        <v>42181</v>
      </c>
      <c r="C49" s="3" t="s">
        <v>1278</v>
      </c>
      <c r="D49" s="3">
        <v>10004463</v>
      </c>
      <c r="E49" s="4">
        <v>4534024</v>
      </c>
      <c r="F49" s="3" t="s">
        <v>49</v>
      </c>
      <c r="G49" s="4" t="s">
        <v>1605</v>
      </c>
      <c r="H49" s="4" t="s">
        <v>1606</v>
      </c>
      <c r="I49" s="5">
        <v>19110</v>
      </c>
      <c r="J49" s="3" t="s">
        <v>214</v>
      </c>
      <c r="K49" s="3" t="s">
        <v>77</v>
      </c>
      <c r="L49" s="3" t="s">
        <v>196</v>
      </c>
      <c r="M49" s="4" t="s">
        <v>1607</v>
      </c>
      <c r="N49" s="3" t="s">
        <v>25</v>
      </c>
      <c r="O49" s="3"/>
      <c r="Q49" s="3"/>
      <c r="R49" s="3"/>
      <c r="Y49" s="4" t="s">
        <v>1068</v>
      </c>
      <c r="Z49" s="4" t="s">
        <v>1090</v>
      </c>
      <c r="AB49" s="3"/>
      <c r="AC49" s="3"/>
      <c r="AD49" s="3" t="s">
        <v>439</v>
      </c>
      <c r="AE49" s="3">
        <v>1000</v>
      </c>
      <c r="AI49" s="4" t="s">
        <v>1071</v>
      </c>
      <c r="AJ49" s="4" t="s">
        <v>1091</v>
      </c>
      <c r="AK49" s="3"/>
      <c r="AL49" s="4">
        <v>30956</v>
      </c>
      <c r="AM49" s="5">
        <v>19110</v>
      </c>
      <c r="AN49" s="4" t="s">
        <v>124</v>
      </c>
      <c r="AO49" s="4">
        <v>99</v>
      </c>
      <c r="AP49" s="4">
        <v>80111700</v>
      </c>
    </row>
    <row r="50" spans="1:42" s="4" customFormat="1" x14ac:dyDescent="0.25">
      <c r="A50" s="3">
        <v>4604676</v>
      </c>
      <c r="B50" s="28">
        <v>41872</v>
      </c>
      <c r="C50" s="3" t="s">
        <v>2342</v>
      </c>
      <c r="D50" s="3">
        <v>10004473</v>
      </c>
      <c r="E50" s="4">
        <v>4534027</v>
      </c>
      <c r="F50" s="3" t="s">
        <v>49</v>
      </c>
      <c r="G50" s="4" t="s">
        <v>2300</v>
      </c>
      <c r="H50" s="4" t="s">
        <v>2301</v>
      </c>
      <c r="I50" s="5">
        <v>15000</v>
      </c>
      <c r="J50" s="3" t="s">
        <v>191</v>
      </c>
      <c r="K50" s="3" t="s">
        <v>807</v>
      </c>
      <c r="L50" s="3" t="s">
        <v>1046</v>
      </c>
      <c r="M50" s="4" t="s">
        <v>2384</v>
      </c>
      <c r="N50" s="3" t="s">
        <v>25</v>
      </c>
      <c r="O50" s="3" t="s">
        <v>139</v>
      </c>
      <c r="P50" s="4" t="s">
        <v>282</v>
      </c>
      <c r="Q50" s="3" t="s">
        <v>139</v>
      </c>
      <c r="R50" s="3" t="s">
        <v>215</v>
      </c>
      <c r="S50" s="4" t="s">
        <v>216</v>
      </c>
      <c r="U50" s="4" t="s">
        <v>139</v>
      </c>
      <c r="V50" s="4" t="s">
        <v>427</v>
      </c>
      <c r="W50" s="4" t="s">
        <v>428</v>
      </c>
      <c r="Y50" s="4" t="s">
        <v>2293</v>
      </c>
      <c r="Z50" s="4" t="s">
        <v>2293</v>
      </c>
      <c r="AB50" s="3"/>
      <c r="AC50" s="3"/>
      <c r="AD50" s="3" t="s">
        <v>1608</v>
      </c>
      <c r="AE50" s="3">
        <v>1000</v>
      </c>
      <c r="AI50" s="4" t="s">
        <v>2298</v>
      </c>
      <c r="AJ50" s="4" t="s">
        <v>2298</v>
      </c>
      <c r="AK50" s="3" t="s">
        <v>286</v>
      </c>
      <c r="AL50" s="4">
        <v>30080</v>
      </c>
      <c r="AM50" s="5">
        <v>15000</v>
      </c>
      <c r="AN50" s="4" t="s">
        <v>2282</v>
      </c>
      <c r="AO50" s="4">
        <v>99</v>
      </c>
      <c r="AP50" s="4">
        <v>80120000</v>
      </c>
    </row>
    <row r="51" spans="1:42" s="4" customFormat="1" x14ac:dyDescent="0.25">
      <c r="A51" s="3">
        <v>4604685</v>
      </c>
      <c r="B51" s="28">
        <v>41885</v>
      </c>
      <c r="C51" s="3" t="s">
        <v>1278</v>
      </c>
      <c r="D51" s="3">
        <v>10004483</v>
      </c>
      <c r="E51" s="4">
        <v>4534036</v>
      </c>
      <c r="F51" s="3" t="s">
        <v>49</v>
      </c>
      <c r="G51" s="4" t="s">
        <v>318</v>
      </c>
      <c r="H51" s="4" t="s">
        <v>1626</v>
      </c>
      <c r="I51" s="5">
        <v>19850.57</v>
      </c>
      <c r="J51" s="3" t="s">
        <v>1625</v>
      </c>
      <c r="K51" s="3" t="s">
        <v>1627</v>
      </c>
      <c r="L51" s="3" t="s">
        <v>119</v>
      </c>
      <c r="M51" s="4" t="s">
        <v>1626</v>
      </c>
      <c r="N51" s="3" t="s">
        <v>56</v>
      </c>
      <c r="O51" s="3"/>
      <c r="Q51" s="3"/>
      <c r="R51" s="3"/>
      <c r="Y51" s="4" t="s">
        <v>178</v>
      </c>
      <c r="Z51" s="4" t="s">
        <v>178</v>
      </c>
      <c r="AA51" s="4" t="s">
        <v>188</v>
      </c>
      <c r="AB51" s="3" t="s">
        <v>1320</v>
      </c>
      <c r="AC51" s="3" t="s">
        <v>190</v>
      </c>
      <c r="AD51" s="3" t="s">
        <v>385</v>
      </c>
      <c r="AE51" s="3">
        <v>1000</v>
      </c>
      <c r="AI51" s="4" t="s">
        <v>181</v>
      </c>
      <c r="AJ51" s="4" t="s">
        <v>181</v>
      </c>
      <c r="AK51" s="3"/>
      <c r="AL51" s="4">
        <v>141551</v>
      </c>
      <c r="AM51" s="5">
        <v>19850.57</v>
      </c>
      <c r="AN51" s="4" t="s">
        <v>124</v>
      </c>
      <c r="AO51" s="4">
        <v>99</v>
      </c>
      <c r="AP51" s="4">
        <v>80111600</v>
      </c>
    </row>
    <row r="52" spans="1:42" s="4" customFormat="1" x14ac:dyDescent="0.25">
      <c r="A52" s="3">
        <v>4604688</v>
      </c>
      <c r="B52" s="28">
        <v>41913</v>
      </c>
      <c r="C52" s="3" t="s">
        <v>560</v>
      </c>
      <c r="D52" s="3">
        <v>10004446</v>
      </c>
      <c r="E52" s="4">
        <v>4534039</v>
      </c>
      <c r="F52" s="3" t="s">
        <v>49</v>
      </c>
      <c r="G52" s="4" t="s">
        <v>781</v>
      </c>
      <c r="H52" s="4" t="s">
        <v>782</v>
      </c>
      <c r="I52" s="5">
        <v>17470</v>
      </c>
      <c r="J52" s="3" t="s">
        <v>173</v>
      </c>
      <c r="K52" s="3" t="s">
        <v>173</v>
      </c>
      <c r="L52" s="3" t="s">
        <v>196</v>
      </c>
      <c r="M52" s="4" t="s">
        <v>781</v>
      </c>
      <c r="N52" s="3" t="s">
        <v>25</v>
      </c>
      <c r="O52" s="3"/>
      <c r="Q52" s="3"/>
      <c r="R52" s="3"/>
      <c r="Y52" s="4" t="s">
        <v>747</v>
      </c>
      <c r="Z52" s="4" t="s">
        <v>747</v>
      </c>
      <c r="AB52" s="3"/>
      <c r="AC52" s="3"/>
      <c r="AD52" s="3" t="s">
        <v>301</v>
      </c>
      <c r="AE52" s="3">
        <v>1000</v>
      </c>
      <c r="AI52" s="4" t="s">
        <v>749</v>
      </c>
      <c r="AJ52" s="4" t="s">
        <v>749</v>
      </c>
      <c r="AK52" s="3"/>
      <c r="AL52" s="4">
        <v>141791</v>
      </c>
      <c r="AM52" s="5">
        <v>17470</v>
      </c>
      <c r="AN52" s="4" t="s">
        <v>124</v>
      </c>
      <c r="AO52" s="4">
        <v>99</v>
      </c>
      <c r="AP52" s="4">
        <v>90110000</v>
      </c>
    </row>
    <row r="53" spans="1:42" s="4" customFormat="1" x14ac:dyDescent="0.25">
      <c r="A53" s="3">
        <v>4604690</v>
      </c>
      <c r="B53" s="28">
        <v>41911</v>
      </c>
      <c r="C53" s="3" t="s">
        <v>560</v>
      </c>
      <c r="D53" s="3">
        <v>10004446</v>
      </c>
      <c r="E53" s="4">
        <v>4534041</v>
      </c>
      <c r="F53" s="3" t="s">
        <v>49</v>
      </c>
      <c r="G53" s="4" t="s">
        <v>784</v>
      </c>
      <c r="H53" s="4" t="s">
        <v>785</v>
      </c>
      <c r="I53" s="5">
        <v>18000</v>
      </c>
      <c r="J53" s="3" t="s">
        <v>783</v>
      </c>
      <c r="K53" s="3" t="s">
        <v>783</v>
      </c>
      <c r="L53" s="3" t="s">
        <v>196</v>
      </c>
      <c r="M53" s="4" t="s">
        <v>785</v>
      </c>
      <c r="N53" s="3" t="s">
        <v>25</v>
      </c>
      <c r="O53" s="3"/>
      <c r="Q53" s="3"/>
      <c r="R53" s="3"/>
      <c r="Y53" s="4" t="s">
        <v>747</v>
      </c>
      <c r="Z53" s="4" t="s">
        <v>747</v>
      </c>
      <c r="AB53" s="3"/>
      <c r="AC53" s="3"/>
      <c r="AD53" s="3" t="s">
        <v>786</v>
      </c>
      <c r="AE53" s="3">
        <v>1000</v>
      </c>
      <c r="AI53" s="4" t="s">
        <v>749</v>
      </c>
      <c r="AJ53" s="4" t="s">
        <v>749</v>
      </c>
      <c r="AK53" s="3"/>
      <c r="AL53" s="4">
        <v>141792</v>
      </c>
      <c r="AM53" s="5">
        <v>18000</v>
      </c>
      <c r="AN53" s="4" t="s">
        <v>124</v>
      </c>
      <c r="AO53" s="4">
        <v>99</v>
      </c>
      <c r="AP53" s="4">
        <v>90110000</v>
      </c>
    </row>
    <row r="54" spans="1:42" s="4" customFormat="1" x14ac:dyDescent="0.25">
      <c r="A54" s="3">
        <v>4604692</v>
      </c>
      <c r="B54" s="28">
        <v>41883</v>
      </c>
      <c r="C54" s="3" t="s">
        <v>1278</v>
      </c>
      <c r="D54" s="3">
        <v>10004482</v>
      </c>
      <c r="E54" s="4">
        <v>4534043</v>
      </c>
      <c r="F54" s="3" t="s">
        <v>49</v>
      </c>
      <c r="G54" s="4" t="s">
        <v>1638</v>
      </c>
      <c r="H54" s="4" t="s">
        <v>1639</v>
      </c>
      <c r="I54" s="5">
        <v>19800</v>
      </c>
      <c r="J54" s="3" t="s">
        <v>1039</v>
      </c>
      <c r="K54" s="3" t="s">
        <v>1640</v>
      </c>
      <c r="L54" s="3" t="s">
        <v>196</v>
      </c>
      <c r="M54" s="4" t="s">
        <v>1639</v>
      </c>
      <c r="N54" s="3" t="s">
        <v>25</v>
      </c>
      <c r="O54" s="3"/>
      <c r="Q54" s="3"/>
      <c r="R54" s="3"/>
      <c r="Y54" s="4" t="s">
        <v>267</v>
      </c>
      <c r="Z54" s="4" t="s">
        <v>267</v>
      </c>
      <c r="AB54" s="3"/>
      <c r="AC54" s="3"/>
      <c r="AD54" s="3" t="s">
        <v>745</v>
      </c>
      <c r="AE54" s="3">
        <v>1000</v>
      </c>
      <c r="AI54" s="4" t="s">
        <v>270</v>
      </c>
      <c r="AJ54" s="4" t="s">
        <v>270</v>
      </c>
      <c r="AK54" s="3"/>
      <c r="AL54" s="4">
        <v>48042</v>
      </c>
      <c r="AM54" s="5">
        <v>19800</v>
      </c>
      <c r="AN54" s="4" t="s">
        <v>124</v>
      </c>
      <c r="AO54" s="4">
        <v>99</v>
      </c>
      <c r="AP54" s="4">
        <v>80110000</v>
      </c>
    </row>
    <row r="55" spans="1:42" s="4" customFormat="1" x14ac:dyDescent="0.25">
      <c r="A55" s="3">
        <v>4604693</v>
      </c>
      <c r="B55" s="28">
        <v>41892</v>
      </c>
      <c r="C55" s="3" t="s">
        <v>1278</v>
      </c>
      <c r="D55" s="3">
        <v>10004489</v>
      </c>
      <c r="E55" s="4">
        <v>4534044</v>
      </c>
      <c r="F55" s="3" t="s">
        <v>49</v>
      </c>
      <c r="G55" s="4" t="s">
        <v>453</v>
      </c>
      <c r="H55" s="4" t="s">
        <v>1641</v>
      </c>
      <c r="I55" s="5">
        <v>20400</v>
      </c>
      <c r="J55" s="3" t="s">
        <v>745</v>
      </c>
      <c r="K55" s="3" t="s">
        <v>77</v>
      </c>
      <c r="L55" s="3" t="s">
        <v>196</v>
      </c>
      <c r="M55" s="4" t="s">
        <v>1641</v>
      </c>
      <c r="N55" s="3" t="s">
        <v>25</v>
      </c>
      <c r="O55" s="3"/>
      <c r="Q55" s="3"/>
      <c r="R55" s="3"/>
      <c r="Y55" s="4" t="s">
        <v>267</v>
      </c>
      <c r="Z55" s="4" t="s">
        <v>267</v>
      </c>
      <c r="AB55" s="3"/>
      <c r="AC55" s="3"/>
      <c r="AD55" s="3" t="s">
        <v>1587</v>
      </c>
      <c r="AE55" s="3">
        <v>1000</v>
      </c>
      <c r="AI55" s="4" t="s">
        <v>270</v>
      </c>
      <c r="AJ55" s="4" t="s">
        <v>270</v>
      </c>
      <c r="AK55" s="3"/>
      <c r="AL55" s="4">
        <v>47630</v>
      </c>
      <c r="AM55" s="5">
        <v>20400</v>
      </c>
      <c r="AN55" s="4" t="s">
        <v>124</v>
      </c>
      <c r="AO55" s="4">
        <v>99</v>
      </c>
      <c r="AP55" s="4">
        <v>80110000</v>
      </c>
    </row>
    <row r="56" spans="1:42" s="4" customFormat="1" x14ac:dyDescent="0.25">
      <c r="A56" s="3">
        <v>4604699</v>
      </c>
      <c r="B56" s="28">
        <v>42184</v>
      </c>
      <c r="C56" s="3" t="s">
        <v>288</v>
      </c>
      <c r="D56" s="3">
        <v>10004501</v>
      </c>
      <c r="E56" s="4">
        <v>4534050</v>
      </c>
      <c r="F56" s="3" t="s">
        <v>49</v>
      </c>
      <c r="G56" s="4" t="s">
        <v>289</v>
      </c>
      <c r="H56" s="4" t="s">
        <v>290</v>
      </c>
      <c r="I56" s="5">
        <v>12948.74</v>
      </c>
      <c r="J56" s="3" t="s">
        <v>291</v>
      </c>
      <c r="K56" s="3" t="s">
        <v>292</v>
      </c>
      <c r="L56" s="3" t="s">
        <v>119</v>
      </c>
      <c r="M56" s="4" t="s">
        <v>290</v>
      </c>
      <c r="N56" s="3" t="s">
        <v>56</v>
      </c>
      <c r="O56" s="3"/>
      <c r="Q56" s="3"/>
      <c r="R56" s="3"/>
      <c r="Y56" s="4" t="s">
        <v>178</v>
      </c>
      <c r="Z56" s="4" t="s">
        <v>178</v>
      </c>
      <c r="AA56" s="4" t="s">
        <v>188</v>
      </c>
      <c r="AB56" s="3" t="s">
        <v>293</v>
      </c>
      <c r="AC56" s="3" t="s">
        <v>190</v>
      </c>
      <c r="AD56" s="3" t="s">
        <v>77</v>
      </c>
      <c r="AE56" s="3">
        <v>1000</v>
      </c>
      <c r="AI56" s="4" t="s">
        <v>181</v>
      </c>
      <c r="AJ56" s="4" t="s">
        <v>181</v>
      </c>
      <c r="AK56" s="3"/>
      <c r="AL56" s="4">
        <v>141467</v>
      </c>
      <c r="AM56" s="5">
        <v>12948.74</v>
      </c>
      <c r="AN56" s="4" t="s">
        <v>124</v>
      </c>
      <c r="AO56" s="4">
        <v>99</v>
      </c>
      <c r="AP56" s="4">
        <v>80111600</v>
      </c>
    </row>
    <row r="57" spans="1:42" s="4" customFormat="1" x14ac:dyDescent="0.25">
      <c r="A57" s="3">
        <v>4604700</v>
      </c>
      <c r="B57" s="28">
        <v>41909</v>
      </c>
      <c r="C57" s="3" t="s">
        <v>560</v>
      </c>
      <c r="D57" s="3">
        <v>10004446</v>
      </c>
      <c r="E57" s="4">
        <v>4534051</v>
      </c>
      <c r="F57" s="3" t="s">
        <v>49</v>
      </c>
      <c r="G57" s="4" t="s">
        <v>770</v>
      </c>
      <c r="H57" s="4" t="s">
        <v>771</v>
      </c>
      <c r="I57" s="5">
        <v>17980</v>
      </c>
      <c r="J57" s="3" t="s">
        <v>792</v>
      </c>
      <c r="K57" s="3" t="s">
        <v>275</v>
      </c>
      <c r="L57" s="3" t="s">
        <v>196</v>
      </c>
      <c r="M57" s="4" t="s">
        <v>771</v>
      </c>
      <c r="N57" s="3" t="s">
        <v>25</v>
      </c>
      <c r="O57" s="3"/>
      <c r="Q57" s="3"/>
      <c r="R57" s="3"/>
      <c r="Y57" s="4" t="s">
        <v>747</v>
      </c>
      <c r="Z57" s="4" t="s">
        <v>747</v>
      </c>
      <c r="AB57" s="3"/>
      <c r="AC57" s="3"/>
      <c r="AD57" s="3" t="s">
        <v>793</v>
      </c>
      <c r="AE57" s="3">
        <v>1000</v>
      </c>
      <c r="AI57" s="4" t="s">
        <v>749</v>
      </c>
      <c r="AJ57" s="4" t="s">
        <v>749</v>
      </c>
      <c r="AK57" s="3"/>
      <c r="AL57" s="4">
        <v>141780</v>
      </c>
      <c r="AM57" s="5">
        <v>17980</v>
      </c>
      <c r="AN57" s="4" t="s">
        <v>124</v>
      </c>
      <c r="AO57" s="4">
        <v>99</v>
      </c>
      <c r="AP57" s="4">
        <v>90111800</v>
      </c>
    </row>
    <row r="58" spans="1:42" s="4" customFormat="1" x14ac:dyDescent="0.25">
      <c r="A58" s="3">
        <v>4604715</v>
      </c>
      <c r="B58" s="28">
        <v>42178</v>
      </c>
      <c r="C58" s="3" t="s">
        <v>1278</v>
      </c>
      <c r="D58" s="3">
        <v>10004513</v>
      </c>
      <c r="E58" s="4">
        <v>4534066</v>
      </c>
      <c r="F58" s="3" t="s">
        <v>49</v>
      </c>
      <c r="G58" s="4" t="s">
        <v>1657</v>
      </c>
      <c r="H58" s="4" t="s">
        <v>1658</v>
      </c>
      <c r="I58" s="5">
        <v>20042</v>
      </c>
      <c r="J58" s="3" t="s">
        <v>783</v>
      </c>
      <c r="K58" s="3" t="s">
        <v>77</v>
      </c>
      <c r="L58" s="3" t="s">
        <v>196</v>
      </c>
      <c r="M58" s="4" t="s">
        <v>1659</v>
      </c>
      <c r="N58" s="3" t="s">
        <v>25</v>
      </c>
      <c r="O58" s="3"/>
      <c r="Q58" s="3"/>
      <c r="R58" s="3"/>
      <c r="Y58" s="4" t="s">
        <v>540</v>
      </c>
      <c r="Z58" s="4" t="s">
        <v>1090</v>
      </c>
      <c r="AB58" s="3"/>
      <c r="AC58" s="3"/>
      <c r="AD58" s="3" t="s">
        <v>351</v>
      </c>
      <c r="AE58" s="3">
        <v>1000</v>
      </c>
      <c r="AI58" s="4" t="s">
        <v>542</v>
      </c>
      <c r="AJ58" s="4" t="s">
        <v>1091</v>
      </c>
      <c r="AK58" s="3"/>
      <c r="AL58" s="4">
        <v>47407</v>
      </c>
      <c r="AM58" s="5">
        <v>20042</v>
      </c>
      <c r="AN58" s="4" t="s">
        <v>124</v>
      </c>
      <c r="AO58" s="4">
        <v>99</v>
      </c>
      <c r="AP58" s="4">
        <v>56111500</v>
      </c>
    </row>
    <row r="59" spans="1:42" s="4" customFormat="1" x14ac:dyDescent="0.25">
      <c r="A59" s="3">
        <v>4604730</v>
      </c>
      <c r="B59" s="28">
        <v>41922</v>
      </c>
      <c r="C59" s="3" t="s">
        <v>1278</v>
      </c>
      <c r="D59" s="3">
        <v>10004528</v>
      </c>
      <c r="E59" s="4">
        <v>4534081</v>
      </c>
      <c r="F59" s="3" t="s">
        <v>49</v>
      </c>
      <c r="G59" s="4" t="s">
        <v>1672</v>
      </c>
      <c r="H59" s="4" t="s">
        <v>1673</v>
      </c>
      <c r="I59" s="5">
        <v>12900</v>
      </c>
      <c r="J59" s="3" t="s">
        <v>272</v>
      </c>
      <c r="K59" s="3" t="s">
        <v>77</v>
      </c>
      <c r="L59" s="3" t="s">
        <v>196</v>
      </c>
      <c r="M59" s="4" t="s">
        <v>1674</v>
      </c>
      <c r="N59" s="3" t="s">
        <v>25</v>
      </c>
      <c r="O59" s="3"/>
      <c r="Q59" s="3"/>
      <c r="R59" s="3"/>
      <c r="Y59" s="4" t="s">
        <v>1056</v>
      </c>
      <c r="Z59" s="4" t="s">
        <v>1056</v>
      </c>
      <c r="AB59" s="3"/>
      <c r="AC59" s="3"/>
      <c r="AD59" s="3" t="s">
        <v>284</v>
      </c>
      <c r="AE59" s="3">
        <v>1000</v>
      </c>
      <c r="AI59" s="4" t="s">
        <v>1058</v>
      </c>
      <c r="AJ59" s="4" t="s">
        <v>1058</v>
      </c>
      <c r="AK59" s="3"/>
      <c r="AL59" s="4">
        <v>30068</v>
      </c>
      <c r="AM59" s="5">
        <v>12900</v>
      </c>
      <c r="AN59" s="4" t="s">
        <v>124</v>
      </c>
      <c r="AO59" s="4">
        <v>99</v>
      </c>
      <c r="AP59" s="4">
        <v>43222500</v>
      </c>
    </row>
    <row r="60" spans="1:42" s="4" customFormat="1" x14ac:dyDescent="0.25">
      <c r="A60" s="3">
        <v>4604743</v>
      </c>
      <c r="B60" s="28">
        <v>41928</v>
      </c>
      <c r="C60" s="3" t="s">
        <v>392</v>
      </c>
      <c r="D60" s="3">
        <v>10004535</v>
      </c>
      <c r="E60" s="4">
        <v>4534094</v>
      </c>
      <c r="F60" s="3" t="s">
        <v>49</v>
      </c>
      <c r="G60" s="4" t="s">
        <v>393</v>
      </c>
      <c r="H60" s="4" t="s">
        <v>394</v>
      </c>
      <c r="I60" s="5">
        <v>24649.8</v>
      </c>
      <c r="J60" s="3" t="s">
        <v>391</v>
      </c>
      <c r="K60" s="3" t="s">
        <v>395</v>
      </c>
      <c r="L60" s="3" t="s">
        <v>196</v>
      </c>
      <c r="M60" s="4" t="s">
        <v>394</v>
      </c>
      <c r="N60" s="3" t="s">
        <v>25</v>
      </c>
      <c r="O60" s="3"/>
      <c r="Q60" s="3"/>
      <c r="R60" s="3"/>
      <c r="Y60" s="4" t="s">
        <v>396</v>
      </c>
      <c r="Z60" s="4" t="s">
        <v>396</v>
      </c>
      <c r="AB60" s="3"/>
      <c r="AC60" s="3"/>
      <c r="AD60" s="3" t="s">
        <v>310</v>
      </c>
      <c r="AE60" s="3">
        <v>1000</v>
      </c>
      <c r="AI60" s="4" t="s">
        <v>397</v>
      </c>
      <c r="AJ60" s="4" t="s">
        <v>397</v>
      </c>
      <c r="AK60" s="3"/>
      <c r="AL60" s="4">
        <v>51455</v>
      </c>
      <c r="AM60" s="5">
        <v>24649.8</v>
      </c>
      <c r="AN60" s="4" t="s">
        <v>124</v>
      </c>
      <c r="AO60" s="4">
        <v>99</v>
      </c>
      <c r="AP60" s="4">
        <v>86000000</v>
      </c>
    </row>
    <row r="61" spans="1:42" s="4" customFormat="1" x14ac:dyDescent="0.25">
      <c r="A61" s="3">
        <v>4604748</v>
      </c>
      <c r="B61" s="28">
        <v>41935</v>
      </c>
      <c r="C61" s="3" t="s">
        <v>1278</v>
      </c>
      <c r="D61" s="3">
        <v>10004543</v>
      </c>
      <c r="E61" s="4">
        <v>4534099</v>
      </c>
      <c r="F61" s="3" t="s">
        <v>49</v>
      </c>
      <c r="G61" s="4" t="s">
        <v>1353</v>
      </c>
      <c r="H61" s="4" t="s">
        <v>1698</v>
      </c>
      <c r="I61" s="5">
        <v>17820</v>
      </c>
      <c r="J61" s="3" t="s">
        <v>310</v>
      </c>
      <c r="K61" s="3" t="s">
        <v>395</v>
      </c>
      <c r="L61" s="3" t="s">
        <v>119</v>
      </c>
      <c r="M61" s="4" t="s">
        <v>1698</v>
      </c>
      <c r="N61" s="3" t="s">
        <v>56</v>
      </c>
      <c r="O61" s="3"/>
      <c r="Q61" s="3"/>
      <c r="R61" s="3"/>
      <c r="Y61" s="4" t="s">
        <v>1056</v>
      </c>
      <c r="Z61" s="4" t="s">
        <v>1056</v>
      </c>
      <c r="AA61" s="4" t="s">
        <v>1324</v>
      </c>
      <c r="AB61" s="3" t="s">
        <v>1355</v>
      </c>
      <c r="AC61" s="3" t="s">
        <v>1326</v>
      </c>
      <c r="AD61" s="3" t="s">
        <v>310</v>
      </c>
      <c r="AE61" s="3">
        <v>1000</v>
      </c>
      <c r="AI61" s="4" t="s">
        <v>1058</v>
      </c>
      <c r="AJ61" s="4" t="s">
        <v>1058</v>
      </c>
      <c r="AK61" s="3"/>
      <c r="AL61" s="4">
        <v>140449</v>
      </c>
      <c r="AM61" s="5">
        <v>17820</v>
      </c>
      <c r="AN61" s="4" t="s">
        <v>124</v>
      </c>
      <c r="AO61" s="4">
        <v>99</v>
      </c>
      <c r="AP61" s="4">
        <v>43230000</v>
      </c>
    </row>
    <row r="62" spans="1:42" s="4" customFormat="1" x14ac:dyDescent="0.25">
      <c r="A62" s="3">
        <v>4604749</v>
      </c>
      <c r="B62" s="28">
        <v>42184</v>
      </c>
      <c r="C62" s="3" t="s">
        <v>392</v>
      </c>
      <c r="D62" s="3">
        <v>10004542</v>
      </c>
      <c r="E62" s="4">
        <v>4534100</v>
      </c>
      <c r="F62" s="3" t="s">
        <v>49</v>
      </c>
      <c r="G62" s="4" t="s">
        <v>174</v>
      </c>
      <c r="H62" s="4" t="s">
        <v>398</v>
      </c>
      <c r="I62" s="5">
        <v>24033.56</v>
      </c>
      <c r="J62" s="3" t="s">
        <v>399</v>
      </c>
      <c r="K62" s="3" t="s">
        <v>400</v>
      </c>
      <c r="L62" s="3" t="s">
        <v>119</v>
      </c>
      <c r="M62" s="4" t="s">
        <v>398</v>
      </c>
      <c r="N62" s="3" t="s">
        <v>56</v>
      </c>
      <c r="O62" s="3"/>
      <c r="Q62" s="3"/>
      <c r="R62" s="3"/>
      <c r="Y62" s="4" t="s">
        <v>178</v>
      </c>
      <c r="Z62" s="4" t="s">
        <v>178</v>
      </c>
      <c r="AA62" s="4" t="s">
        <v>188</v>
      </c>
      <c r="AB62" s="3" t="s">
        <v>401</v>
      </c>
      <c r="AC62" s="3" t="s">
        <v>190</v>
      </c>
      <c r="AD62" s="3" t="s">
        <v>287</v>
      </c>
      <c r="AE62" s="3">
        <v>1000</v>
      </c>
      <c r="AI62" s="4" t="s">
        <v>181</v>
      </c>
      <c r="AJ62" s="4" t="s">
        <v>181</v>
      </c>
      <c r="AK62" s="3"/>
      <c r="AL62" s="4">
        <v>40476</v>
      </c>
      <c r="AM62" s="5">
        <v>24033.56</v>
      </c>
      <c r="AN62" s="4" t="s">
        <v>124</v>
      </c>
      <c r="AO62" s="4">
        <v>99</v>
      </c>
      <c r="AP62" s="4">
        <v>80111600</v>
      </c>
    </row>
    <row r="63" spans="1:42" s="4" customFormat="1" x14ac:dyDescent="0.25">
      <c r="A63" s="3">
        <v>4604760</v>
      </c>
      <c r="B63" s="28">
        <v>41940</v>
      </c>
      <c r="C63" s="3" t="s">
        <v>1278</v>
      </c>
      <c r="D63" s="3">
        <v>10004548</v>
      </c>
      <c r="E63" s="4">
        <v>4534111</v>
      </c>
      <c r="F63" s="3" t="s">
        <v>49</v>
      </c>
      <c r="G63" s="4" t="s">
        <v>279</v>
      </c>
      <c r="H63" s="4" t="s">
        <v>1707</v>
      </c>
      <c r="I63" s="5">
        <v>16734.21</v>
      </c>
      <c r="J63" s="3" t="s">
        <v>1702</v>
      </c>
      <c r="K63" s="3" t="s">
        <v>324</v>
      </c>
      <c r="L63" s="3" t="s">
        <v>196</v>
      </c>
      <c r="M63" s="4" t="s">
        <v>1707</v>
      </c>
      <c r="N63" s="3" t="s">
        <v>25</v>
      </c>
      <c r="O63" s="3"/>
      <c r="Q63" s="3"/>
      <c r="R63" s="3"/>
      <c r="Y63" s="4" t="s">
        <v>396</v>
      </c>
      <c r="Z63" s="4" t="s">
        <v>396</v>
      </c>
      <c r="AB63" s="3"/>
      <c r="AC63" s="3"/>
      <c r="AD63" s="3" t="s">
        <v>324</v>
      </c>
      <c r="AE63" s="3">
        <v>1000</v>
      </c>
      <c r="AI63" s="4" t="s">
        <v>397</v>
      </c>
      <c r="AJ63" s="4" t="s">
        <v>397</v>
      </c>
      <c r="AK63" s="3"/>
      <c r="AL63" s="4">
        <v>141759</v>
      </c>
      <c r="AM63" s="5">
        <v>16734.21</v>
      </c>
      <c r="AN63" s="4" t="s">
        <v>124</v>
      </c>
      <c r="AO63" s="4">
        <v>99</v>
      </c>
      <c r="AP63" s="4">
        <v>80101504</v>
      </c>
    </row>
    <row r="64" spans="1:42" s="4" customFormat="1" x14ac:dyDescent="0.25">
      <c r="A64" s="3">
        <v>4604763</v>
      </c>
      <c r="B64" s="28">
        <v>41912</v>
      </c>
      <c r="C64" s="3" t="s">
        <v>1278</v>
      </c>
      <c r="D64" s="3">
        <v>10004556</v>
      </c>
      <c r="E64" s="4">
        <v>4534114</v>
      </c>
      <c r="F64" s="3" t="s">
        <v>49</v>
      </c>
      <c r="G64" s="4" t="s">
        <v>1708</v>
      </c>
      <c r="H64" s="4" t="s">
        <v>1709</v>
      </c>
      <c r="I64" s="5">
        <v>10164</v>
      </c>
      <c r="J64" s="3" t="s">
        <v>832</v>
      </c>
      <c r="K64" s="3" t="s">
        <v>395</v>
      </c>
      <c r="L64" s="3" t="s">
        <v>196</v>
      </c>
      <c r="M64" s="4" t="s">
        <v>1709</v>
      </c>
      <c r="N64" s="3" t="s">
        <v>25</v>
      </c>
      <c r="O64" s="3"/>
      <c r="Q64" s="3"/>
      <c r="R64" s="3"/>
      <c r="Y64" s="4" t="s">
        <v>1079</v>
      </c>
      <c r="Z64" s="4" t="s">
        <v>1079</v>
      </c>
      <c r="AB64" s="3"/>
      <c r="AC64" s="3"/>
      <c r="AD64" s="3" t="s">
        <v>932</v>
      </c>
      <c r="AE64" s="3">
        <v>1000</v>
      </c>
      <c r="AI64" s="4" t="s">
        <v>1083</v>
      </c>
      <c r="AJ64" s="4" t="s">
        <v>1083</v>
      </c>
      <c r="AK64" s="3"/>
      <c r="AL64" s="4">
        <v>140104</v>
      </c>
      <c r="AM64" s="5">
        <v>10164</v>
      </c>
      <c r="AN64" s="4" t="s">
        <v>124</v>
      </c>
      <c r="AO64" s="4">
        <v>99</v>
      </c>
      <c r="AP64" s="4">
        <v>80160000</v>
      </c>
    </row>
    <row r="65" spans="1:42" s="4" customFormat="1" x14ac:dyDescent="0.25">
      <c r="A65" s="3">
        <v>4604764</v>
      </c>
      <c r="B65" s="28">
        <v>41943</v>
      </c>
      <c r="C65" s="3" t="s">
        <v>2158</v>
      </c>
      <c r="D65" s="3">
        <v>10004559</v>
      </c>
      <c r="E65" s="4">
        <v>4534115</v>
      </c>
      <c r="F65" s="3" t="s">
        <v>49</v>
      </c>
      <c r="G65" s="4" t="s">
        <v>393</v>
      </c>
      <c r="H65" s="4" t="s">
        <v>2227</v>
      </c>
      <c r="I65" s="5">
        <v>11000</v>
      </c>
      <c r="J65" s="3" t="s">
        <v>2228</v>
      </c>
      <c r="K65" s="3" t="s">
        <v>2228</v>
      </c>
      <c r="L65" s="3" t="s">
        <v>196</v>
      </c>
      <c r="M65" s="4" t="s">
        <v>2227</v>
      </c>
      <c r="N65" s="3" t="s">
        <v>25</v>
      </c>
      <c r="O65" s="3"/>
      <c r="Q65" s="3"/>
      <c r="R65" s="3"/>
      <c r="Y65" s="4" t="s">
        <v>396</v>
      </c>
      <c r="Z65" s="4" t="s">
        <v>396</v>
      </c>
      <c r="AB65" s="3"/>
      <c r="AC65" s="3"/>
      <c r="AD65" s="3" t="s">
        <v>395</v>
      </c>
      <c r="AE65" s="3">
        <v>1000</v>
      </c>
      <c r="AI65" s="4" t="s">
        <v>397</v>
      </c>
      <c r="AJ65" s="4" t="s">
        <v>397</v>
      </c>
      <c r="AK65" s="3"/>
      <c r="AL65" s="4">
        <v>51455</v>
      </c>
      <c r="AM65" s="5">
        <v>11000</v>
      </c>
      <c r="AN65" s="4" t="s">
        <v>124</v>
      </c>
      <c r="AO65" s="4">
        <v>99</v>
      </c>
      <c r="AP65" s="4">
        <v>86000000</v>
      </c>
    </row>
    <row r="66" spans="1:42" s="4" customFormat="1" x14ac:dyDescent="0.25">
      <c r="A66" s="3">
        <v>4604771</v>
      </c>
      <c r="B66" s="28">
        <v>42185</v>
      </c>
      <c r="C66" s="3" t="s">
        <v>2093</v>
      </c>
      <c r="D66" s="3">
        <v>10004561</v>
      </c>
      <c r="E66" s="4">
        <v>4534122</v>
      </c>
      <c r="F66" s="3" t="s">
        <v>49</v>
      </c>
      <c r="G66" s="4" t="s">
        <v>2104</v>
      </c>
      <c r="H66" s="4" t="s">
        <v>2105</v>
      </c>
      <c r="I66" s="5">
        <v>23892</v>
      </c>
      <c r="J66" s="3" t="s">
        <v>1720</v>
      </c>
      <c r="K66" s="3" t="s">
        <v>77</v>
      </c>
      <c r="L66" s="3" t="s">
        <v>119</v>
      </c>
      <c r="M66" s="4" t="s">
        <v>2105</v>
      </c>
      <c r="N66" s="3" t="s">
        <v>56</v>
      </c>
      <c r="O66" s="3"/>
      <c r="Q66" s="3"/>
      <c r="R66" s="3"/>
      <c r="Y66" s="4" t="s">
        <v>1616</v>
      </c>
      <c r="Z66" s="4" t="s">
        <v>1616</v>
      </c>
      <c r="AA66" s="4" t="s">
        <v>1284</v>
      </c>
      <c r="AB66" s="3" t="s">
        <v>2106</v>
      </c>
      <c r="AC66" s="3" t="s">
        <v>1286</v>
      </c>
      <c r="AD66" s="3" t="s">
        <v>442</v>
      </c>
      <c r="AE66" s="3">
        <v>1000</v>
      </c>
      <c r="AI66" s="4" t="s">
        <v>1617</v>
      </c>
      <c r="AJ66" s="4" t="s">
        <v>1617</v>
      </c>
      <c r="AK66" s="3"/>
      <c r="AL66" s="4">
        <v>140131</v>
      </c>
      <c r="AM66" s="5">
        <v>23892</v>
      </c>
      <c r="AN66" s="4" t="s">
        <v>124</v>
      </c>
      <c r="AO66" s="4">
        <v>99</v>
      </c>
      <c r="AP66" s="4">
        <v>84111600</v>
      </c>
    </row>
    <row r="67" spans="1:42" s="4" customFormat="1" x14ac:dyDescent="0.25">
      <c r="A67" s="3">
        <v>4604776</v>
      </c>
      <c r="B67" s="28">
        <v>42181</v>
      </c>
      <c r="C67" s="3" t="s">
        <v>1278</v>
      </c>
      <c r="D67" s="3">
        <v>10004562</v>
      </c>
      <c r="E67" s="4">
        <v>4534127</v>
      </c>
      <c r="F67" s="3" t="s">
        <v>49</v>
      </c>
      <c r="G67" s="4" t="s">
        <v>1060</v>
      </c>
      <c r="H67" s="4" t="s">
        <v>1722</v>
      </c>
      <c r="I67" s="5">
        <v>22086.41</v>
      </c>
      <c r="J67" s="3" t="s">
        <v>1059</v>
      </c>
      <c r="K67" s="3" t="s">
        <v>77</v>
      </c>
      <c r="L67" s="3" t="s">
        <v>196</v>
      </c>
      <c r="M67" s="4" t="s">
        <v>1723</v>
      </c>
      <c r="N67" s="3" t="s">
        <v>25</v>
      </c>
      <c r="O67" s="3"/>
      <c r="Q67" s="3"/>
      <c r="R67" s="3"/>
      <c r="Y67" s="4" t="s">
        <v>540</v>
      </c>
      <c r="Z67" s="4" t="s">
        <v>1090</v>
      </c>
      <c r="AB67" s="3"/>
      <c r="AC67" s="3"/>
      <c r="AD67" s="3" t="s">
        <v>1209</v>
      </c>
      <c r="AE67" s="3">
        <v>1000</v>
      </c>
      <c r="AI67" s="4" t="s">
        <v>542</v>
      </c>
      <c r="AJ67" s="4" t="s">
        <v>1091</v>
      </c>
      <c r="AK67" s="3"/>
      <c r="AL67" s="4">
        <v>140146</v>
      </c>
      <c r="AM67" s="5">
        <v>22086.41</v>
      </c>
      <c r="AN67" s="4" t="s">
        <v>124</v>
      </c>
      <c r="AO67" s="4">
        <v>99</v>
      </c>
      <c r="AP67" s="4">
        <v>76111506</v>
      </c>
    </row>
    <row r="68" spans="1:42" s="4" customFormat="1" x14ac:dyDescent="0.25">
      <c r="A68" s="3">
        <v>4604780</v>
      </c>
      <c r="B68" s="28">
        <v>41961</v>
      </c>
      <c r="C68" s="3" t="s">
        <v>1278</v>
      </c>
      <c r="D68" s="3">
        <v>10004579</v>
      </c>
      <c r="E68" s="4">
        <v>4534131</v>
      </c>
      <c r="F68" s="3" t="s">
        <v>49</v>
      </c>
      <c r="G68" s="4" t="s">
        <v>318</v>
      </c>
      <c r="H68" s="4" t="s">
        <v>1726</v>
      </c>
      <c r="I68" s="5">
        <v>13835.24</v>
      </c>
      <c r="J68" s="3" t="s">
        <v>1134</v>
      </c>
      <c r="K68" s="3" t="s">
        <v>1727</v>
      </c>
      <c r="L68" s="3" t="s">
        <v>119</v>
      </c>
      <c r="M68" s="4" t="s">
        <v>1726</v>
      </c>
      <c r="N68" s="3" t="s">
        <v>56</v>
      </c>
      <c r="O68" s="3"/>
      <c r="Q68" s="3"/>
      <c r="R68" s="3"/>
      <c r="Y68" s="4" t="s">
        <v>178</v>
      </c>
      <c r="Z68" s="4" t="s">
        <v>178</v>
      </c>
      <c r="AA68" s="4" t="s">
        <v>188</v>
      </c>
      <c r="AB68" s="3" t="s">
        <v>1320</v>
      </c>
      <c r="AC68" s="3" t="s">
        <v>190</v>
      </c>
      <c r="AD68" s="3" t="s">
        <v>529</v>
      </c>
      <c r="AE68" s="3">
        <v>1000</v>
      </c>
      <c r="AI68" s="4" t="s">
        <v>181</v>
      </c>
      <c r="AJ68" s="4" t="s">
        <v>181</v>
      </c>
      <c r="AK68" s="3"/>
      <c r="AL68" s="4">
        <v>141551</v>
      </c>
      <c r="AM68" s="5">
        <v>13835.24</v>
      </c>
      <c r="AN68" s="4" t="s">
        <v>124</v>
      </c>
      <c r="AO68" s="4">
        <v>99</v>
      </c>
      <c r="AP68" s="4">
        <v>80111600</v>
      </c>
    </row>
    <row r="69" spans="1:42" s="4" customFormat="1" x14ac:dyDescent="0.25">
      <c r="A69" s="3">
        <v>4604786</v>
      </c>
      <c r="B69" s="28">
        <v>41969</v>
      </c>
      <c r="C69" s="3" t="s">
        <v>1278</v>
      </c>
      <c r="D69" s="3">
        <v>10004583</v>
      </c>
      <c r="E69" s="4">
        <v>4534137</v>
      </c>
      <c r="F69" s="3" t="s">
        <v>49</v>
      </c>
      <c r="G69" s="4" t="s">
        <v>1731</v>
      </c>
      <c r="H69" s="4" t="s">
        <v>1733</v>
      </c>
      <c r="I69" s="5">
        <v>17160</v>
      </c>
      <c r="J69" s="3" t="s">
        <v>1734</v>
      </c>
      <c r="K69" s="3" t="s">
        <v>807</v>
      </c>
      <c r="L69" s="3" t="s">
        <v>196</v>
      </c>
      <c r="M69" s="4" t="s">
        <v>1735</v>
      </c>
      <c r="N69" s="3" t="s">
        <v>25</v>
      </c>
      <c r="O69" s="3"/>
      <c r="Q69" s="3"/>
      <c r="R69" s="3"/>
      <c r="Y69" s="4" t="s">
        <v>1079</v>
      </c>
      <c r="Z69" s="4" t="s">
        <v>1079</v>
      </c>
      <c r="AB69" s="3"/>
      <c r="AC69" s="3"/>
      <c r="AD69" s="3" t="s">
        <v>486</v>
      </c>
      <c r="AE69" s="3">
        <v>1000</v>
      </c>
      <c r="AI69" s="4" t="s">
        <v>1083</v>
      </c>
      <c r="AJ69" s="4" t="s">
        <v>1083</v>
      </c>
      <c r="AK69" s="3"/>
      <c r="AL69" s="4">
        <v>141834</v>
      </c>
      <c r="AM69" s="5">
        <v>17160</v>
      </c>
      <c r="AN69" s="4" t="s">
        <v>124</v>
      </c>
      <c r="AO69" s="4">
        <v>99</v>
      </c>
      <c r="AP69" s="4">
        <v>46170000</v>
      </c>
    </row>
    <row r="70" spans="1:42" s="4" customFormat="1" x14ac:dyDescent="0.25">
      <c r="A70" s="3">
        <v>4604816</v>
      </c>
      <c r="B70" s="28">
        <v>41996</v>
      </c>
      <c r="C70" s="3" t="s">
        <v>1278</v>
      </c>
      <c r="D70" s="3">
        <v>10004615</v>
      </c>
      <c r="E70" s="4">
        <v>4534167</v>
      </c>
      <c r="F70" s="3" t="s">
        <v>49</v>
      </c>
      <c r="G70" s="4" t="s">
        <v>347</v>
      </c>
      <c r="H70" s="4" t="s">
        <v>1769</v>
      </c>
      <c r="I70" s="5">
        <v>23000</v>
      </c>
      <c r="J70" s="3" t="s">
        <v>442</v>
      </c>
      <c r="K70" s="3" t="s">
        <v>1770</v>
      </c>
      <c r="L70" s="3" t="s">
        <v>119</v>
      </c>
      <c r="M70" s="4" t="s">
        <v>1769</v>
      </c>
      <c r="N70" s="3" t="s">
        <v>56</v>
      </c>
      <c r="O70" s="3"/>
      <c r="Q70" s="3"/>
      <c r="R70" s="3"/>
      <c r="Y70" s="4" t="s">
        <v>1309</v>
      </c>
      <c r="Z70" s="4" t="s">
        <v>1309</v>
      </c>
      <c r="AA70" s="4" t="s">
        <v>1310</v>
      </c>
      <c r="AB70" s="3" t="s">
        <v>1311</v>
      </c>
      <c r="AC70" s="3" t="s">
        <v>1312</v>
      </c>
      <c r="AD70" s="3" t="s">
        <v>1771</v>
      </c>
      <c r="AE70" s="3">
        <v>1000</v>
      </c>
      <c r="AI70" s="4" t="s">
        <v>1313</v>
      </c>
      <c r="AJ70" s="4" t="s">
        <v>1313</v>
      </c>
      <c r="AK70" s="3"/>
      <c r="AL70" s="4">
        <v>40471</v>
      </c>
      <c r="AM70" s="5">
        <v>23000</v>
      </c>
      <c r="AN70" s="4" t="s">
        <v>124</v>
      </c>
      <c r="AO70" s="4">
        <v>99</v>
      </c>
      <c r="AP70" s="4">
        <v>82111900</v>
      </c>
    </row>
    <row r="71" spans="1:42" s="4" customFormat="1" x14ac:dyDescent="0.25">
      <c r="A71" s="3">
        <v>4604817</v>
      </c>
      <c r="B71" s="28">
        <v>41989</v>
      </c>
      <c r="C71" s="3" t="s">
        <v>2415</v>
      </c>
      <c r="D71" s="3">
        <v>10004610</v>
      </c>
      <c r="E71" s="4">
        <v>4534168</v>
      </c>
      <c r="F71" s="3" t="s">
        <v>49</v>
      </c>
      <c r="G71" s="4" t="s">
        <v>174</v>
      </c>
      <c r="H71" s="4" t="s">
        <v>2422</v>
      </c>
      <c r="I71" s="5">
        <v>11916.71</v>
      </c>
      <c r="J71" s="3" t="s">
        <v>1755</v>
      </c>
      <c r="K71" s="3" t="s">
        <v>77</v>
      </c>
      <c r="L71" s="3" t="s">
        <v>119</v>
      </c>
      <c r="M71" s="4" t="s">
        <v>2422</v>
      </c>
      <c r="N71" s="3" t="s">
        <v>56</v>
      </c>
      <c r="O71" s="3"/>
      <c r="Q71" s="3"/>
      <c r="R71" s="3"/>
      <c r="Y71" s="4" t="s">
        <v>178</v>
      </c>
      <c r="Z71" s="4" t="s">
        <v>178</v>
      </c>
      <c r="AA71" s="4" t="s">
        <v>188</v>
      </c>
      <c r="AB71" s="3" t="s">
        <v>401</v>
      </c>
      <c r="AC71" s="3" t="s">
        <v>190</v>
      </c>
      <c r="AD71" s="3" t="s">
        <v>513</v>
      </c>
      <c r="AE71" s="3">
        <v>1000</v>
      </c>
      <c r="AI71" s="4" t="s">
        <v>181</v>
      </c>
      <c r="AJ71" s="4" t="s">
        <v>181</v>
      </c>
      <c r="AK71" s="3"/>
      <c r="AL71" s="4">
        <v>40476</v>
      </c>
      <c r="AM71" s="5">
        <v>11916.71</v>
      </c>
      <c r="AN71" s="4" t="s">
        <v>124</v>
      </c>
      <c r="AO71" s="4">
        <v>99</v>
      </c>
      <c r="AP71" s="4">
        <v>80111600</v>
      </c>
    </row>
    <row r="72" spans="1:42" s="4" customFormat="1" x14ac:dyDescent="0.25">
      <c r="A72" s="3">
        <v>4604821</v>
      </c>
      <c r="B72" s="28">
        <v>42009</v>
      </c>
      <c r="C72" s="3" t="s">
        <v>1278</v>
      </c>
      <c r="D72" s="3">
        <v>10004619</v>
      </c>
      <c r="E72" s="4">
        <v>4534172</v>
      </c>
      <c r="F72" s="3" t="s">
        <v>49</v>
      </c>
      <c r="G72" s="4" t="s">
        <v>1427</v>
      </c>
      <c r="H72" s="4" t="s">
        <v>1777</v>
      </c>
      <c r="I72" s="5">
        <v>14000</v>
      </c>
      <c r="J72" s="3" t="s">
        <v>807</v>
      </c>
      <c r="K72" s="3" t="s">
        <v>77</v>
      </c>
      <c r="L72" s="3" t="s">
        <v>196</v>
      </c>
      <c r="M72" s="4" t="s">
        <v>1777</v>
      </c>
      <c r="N72" s="3" t="s">
        <v>25</v>
      </c>
      <c r="O72" s="3"/>
      <c r="Q72" s="3"/>
      <c r="R72" s="3"/>
      <c r="Y72" s="4" t="s">
        <v>1778</v>
      </c>
      <c r="Z72" s="4" t="s">
        <v>1778</v>
      </c>
      <c r="AB72" s="3"/>
      <c r="AC72" s="3"/>
      <c r="AD72" s="3" t="s">
        <v>1762</v>
      </c>
      <c r="AE72" s="3">
        <v>1000</v>
      </c>
      <c r="AI72" s="4" t="s">
        <v>1779</v>
      </c>
      <c r="AJ72" s="4" t="s">
        <v>1779</v>
      </c>
      <c r="AK72" s="3"/>
      <c r="AL72" s="4">
        <v>141764</v>
      </c>
      <c r="AM72" s="5">
        <v>14000</v>
      </c>
      <c r="AN72" s="4" t="s">
        <v>124</v>
      </c>
      <c r="AO72" s="4">
        <v>99</v>
      </c>
      <c r="AP72" s="4">
        <v>94101600</v>
      </c>
    </row>
    <row r="73" spans="1:42" s="4" customFormat="1" x14ac:dyDescent="0.25">
      <c r="A73" s="3">
        <v>4604822</v>
      </c>
      <c r="B73" s="28">
        <v>42013</v>
      </c>
      <c r="C73" s="3" t="s">
        <v>1278</v>
      </c>
      <c r="D73" s="3">
        <v>10004618</v>
      </c>
      <c r="E73" s="4">
        <v>4534173</v>
      </c>
      <c r="F73" s="3" t="s">
        <v>49</v>
      </c>
      <c r="G73" s="4" t="s">
        <v>1780</v>
      </c>
      <c r="H73" s="4" t="s">
        <v>1781</v>
      </c>
      <c r="I73" s="5">
        <v>18018</v>
      </c>
      <c r="J73" s="3" t="s">
        <v>333</v>
      </c>
      <c r="K73" s="3" t="s">
        <v>728</v>
      </c>
      <c r="L73" s="3" t="s">
        <v>196</v>
      </c>
      <c r="M73" s="4" t="s">
        <v>1781</v>
      </c>
      <c r="N73" s="3" t="s">
        <v>25</v>
      </c>
      <c r="O73" s="3"/>
      <c r="Q73" s="3"/>
      <c r="R73" s="3"/>
      <c r="Y73" s="4" t="s">
        <v>1056</v>
      </c>
      <c r="Z73" s="4" t="s">
        <v>1782</v>
      </c>
      <c r="AB73" s="3"/>
      <c r="AC73" s="3"/>
      <c r="AD73" s="3" t="s">
        <v>335</v>
      </c>
      <c r="AE73" s="3">
        <v>1000</v>
      </c>
      <c r="AI73" s="4" t="s">
        <v>1058</v>
      </c>
      <c r="AJ73" s="4" t="s">
        <v>1783</v>
      </c>
      <c r="AK73" s="3"/>
      <c r="AL73" s="4">
        <v>140558</v>
      </c>
      <c r="AM73" s="5">
        <v>18018</v>
      </c>
      <c r="AN73" s="4" t="s">
        <v>124</v>
      </c>
      <c r="AO73" s="4">
        <v>99</v>
      </c>
      <c r="AP73" s="4">
        <v>43211501</v>
      </c>
    </row>
    <row r="74" spans="1:42" s="4" customFormat="1" x14ac:dyDescent="0.25">
      <c r="A74" s="3">
        <v>4604834</v>
      </c>
      <c r="B74" s="28">
        <v>42026</v>
      </c>
      <c r="C74" s="3" t="s">
        <v>1278</v>
      </c>
      <c r="D74" s="3">
        <v>10004633</v>
      </c>
      <c r="E74" s="4">
        <v>4534185</v>
      </c>
      <c r="F74" s="3" t="s">
        <v>49</v>
      </c>
      <c r="G74" s="4" t="s">
        <v>1164</v>
      </c>
      <c r="H74" s="4" t="s">
        <v>1794</v>
      </c>
      <c r="I74" s="5">
        <v>24363.46</v>
      </c>
      <c r="J74" s="3" t="s">
        <v>341</v>
      </c>
      <c r="K74" s="3" t="s">
        <v>422</v>
      </c>
      <c r="L74" s="3" t="s">
        <v>196</v>
      </c>
      <c r="M74" s="4" t="s">
        <v>1795</v>
      </c>
      <c r="N74" s="3" t="s">
        <v>25</v>
      </c>
      <c r="O74" s="3"/>
      <c r="Q74" s="3"/>
      <c r="R74" s="3"/>
      <c r="Y74" s="4" t="s">
        <v>1056</v>
      </c>
      <c r="Z74" s="4" t="s">
        <v>1782</v>
      </c>
      <c r="AA74" s="4" t="s">
        <v>1695</v>
      </c>
      <c r="AB74" s="3"/>
      <c r="AC74" s="3"/>
      <c r="AD74" s="3" t="s">
        <v>524</v>
      </c>
      <c r="AE74" s="3">
        <v>1000</v>
      </c>
      <c r="AI74" s="4" t="s">
        <v>1058</v>
      </c>
      <c r="AJ74" s="4" t="s">
        <v>1783</v>
      </c>
      <c r="AK74" s="3"/>
      <c r="AL74" s="4">
        <v>45277</v>
      </c>
      <c r="AM74" s="5">
        <v>24363.46</v>
      </c>
      <c r="AN74" s="4" t="s">
        <v>124</v>
      </c>
      <c r="AO74" s="4">
        <v>99</v>
      </c>
      <c r="AP74" s="4">
        <v>43220000</v>
      </c>
    </row>
    <row r="75" spans="1:42" s="4" customFormat="1" x14ac:dyDescent="0.25">
      <c r="A75" s="3">
        <v>4604837</v>
      </c>
      <c r="B75" s="28">
        <v>42026</v>
      </c>
      <c r="C75" s="3" t="s">
        <v>392</v>
      </c>
      <c r="D75" s="3">
        <v>10004635</v>
      </c>
      <c r="E75" s="4">
        <v>4534188</v>
      </c>
      <c r="F75" s="3" t="s">
        <v>49</v>
      </c>
      <c r="G75" s="4" t="s">
        <v>450</v>
      </c>
      <c r="H75" s="4" t="s">
        <v>451</v>
      </c>
      <c r="I75" s="5">
        <v>24649.79</v>
      </c>
      <c r="J75" s="3" t="s">
        <v>122</v>
      </c>
      <c r="K75" s="3" t="s">
        <v>321</v>
      </c>
      <c r="L75" s="3" t="s">
        <v>196</v>
      </c>
      <c r="M75" s="4" t="s">
        <v>451</v>
      </c>
      <c r="N75" s="3" t="s">
        <v>25</v>
      </c>
      <c r="O75" s="3"/>
      <c r="Q75" s="3"/>
      <c r="R75" s="3"/>
      <c r="Y75" s="4" t="s">
        <v>431</v>
      </c>
      <c r="Z75" s="4" t="s">
        <v>420</v>
      </c>
      <c r="AB75" s="3"/>
      <c r="AC75" s="3"/>
      <c r="AD75" s="3" t="s">
        <v>341</v>
      </c>
      <c r="AE75" s="3">
        <v>1000</v>
      </c>
      <c r="AI75" s="4" t="s">
        <v>434</v>
      </c>
      <c r="AJ75" s="4" t="s">
        <v>423</v>
      </c>
      <c r="AK75" s="3"/>
      <c r="AL75" s="4">
        <v>40279</v>
      </c>
      <c r="AM75" s="5">
        <v>24649.79</v>
      </c>
      <c r="AN75" s="4" t="s">
        <v>124</v>
      </c>
      <c r="AO75" s="4">
        <v>99</v>
      </c>
      <c r="AP75" s="4">
        <v>86000000</v>
      </c>
    </row>
    <row r="76" spans="1:42" s="4" customFormat="1" x14ac:dyDescent="0.25">
      <c r="A76" s="3">
        <v>4604839</v>
      </c>
      <c r="B76" s="28">
        <v>42025</v>
      </c>
      <c r="C76" s="3" t="s">
        <v>1278</v>
      </c>
      <c r="D76" s="3">
        <v>10004634</v>
      </c>
      <c r="E76" s="4">
        <v>4534190</v>
      </c>
      <c r="F76" s="3" t="s">
        <v>49</v>
      </c>
      <c r="G76" s="4" t="s">
        <v>271</v>
      </c>
      <c r="H76" s="4" t="s">
        <v>1800</v>
      </c>
      <c r="I76" s="5">
        <v>23100</v>
      </c>
      <c r="J76" s="3" t="s">
        <v>449</v>
      </c>
      <c r="K76" s="3" t="s">
        <v>480</v>
      </c>
      <c r="L76" s="3" t="s">
        <v>196</v>
      </c>
      <c r="M76" s="4" t="s">
        <v>1800</v>
      </c>
      <c r="N76" s="3" t="s">
        <v>25</v>
      </c>
      <c r="O76" s="3"/>
      <c r="Q76" s="3"/>
      <c r="R76" s="3"/>
      <c r="Y76" s="4" t="s">
        <v>179</v>
      </c>
      <c r="Z76" s="4" t="s">
        <v>179</v>
      </c>
      <c r="AB76" s="3"/>
      <c r="AC76" s="3"/>
      <c r="AD76" s="3" t="s">
        <v>841</v>
      </c>
      <c r="AE76" s="3">
        <v>1000</v>
      </c>
      <c r="AI76" s="4" t="s">
        <v>182</v>
      </c>
      <c r="AJ76" s="4" t="s">
        <v>182</v>
      </c>
      <c r="AK76" s="3"/>
      <c r="AL76" s="4">
        <v>46721</v>
      </c>
      <c r="AM76" s="5">
        <v>23100</v>
      </c>
      <c r="AN76" s="4" t="s">
        <v>124</v>
      </c>
      <c r="AO76" s="4">
        <v>99</v>
      </c>
      <c r="AP76" s="4">
        <v>80110000</v>
      </c>
    </row>
    <row r="77" spans="1:42" s="4" customFormat="1" x14ac:dyDescent="0.25">
      <c r="A77" s="3">
        <v>4604841</v>
      </c>
      <c r="B77" s="28">
        <v>42031</v>
      </c>
      <c r="C77" s="3" t="s">
        <v>392</v>
      </c>
      <c r="D77" s="3">
        <v>10004639</v>
      </c>
      <c r="E77" s="4">
        <v>4534192</v>
      </c>
      <c r="F77" s="3" t="s">
        <v>49</v>
      </c>
      <c r="G77" s="4" t="s">
        <v>453</v>
      </c>
      <c r="H77" s="4" t="s">
        <v>454</v>
      </c>
      <c r="I77" s="5">
        <v>12950</v>
      </c>
      <c r="J77" s="3" t="s">
        <v>455</v>
      </c>
      <c r="K77" s="3" t="s">
        <v>77</v>
      </c>
      <c r="L77" s="3" t="s">
        <v>196</v>
      </c>
      <c r="M77" s="4" t="s">
        <v>454</v>
      </c>
      <c r="N77" s="3" t="s">
        <v>25</v>
      </c>
      <c r="O77" s="3"/>
      <c r="Q77" s="3"/>
      <c r="R77" s="3"/>
      <c r="Y77" s="4" t="s">
        <v>431</v>
      </c>
      <c r="Z77" s="4" t="s">
        <v>431</v>
      </c>
      <c r="AB77" s="3"/>
      <c r="AC77" s="3"/>
      <c r="AD77" s="3" t="s">
        <v>452</v>
      </c>
      <c r="AE77" s="3">
        <v>1000</v>
      </c>
      <c r="AI77" s="4" t="s">
        <v>434</v>
      </c>
      <c r="AJ77" s="4" t="s">
        <v>434</v>
      </c>
      <c r="AK77" s="3"/>
      <c r="AL77" s="4">
        <v>47630</v>
      </c>
      <c r="AM77" s="5">
        <v>12950</v>
      </c>
      <c r="AN77" s="4" t="s">
        <v>124</v>
      </c>
      <c r="AO77" s="4">
        <v>99</v>
      </c>
      <c r="AP77" s="4">
        <v>86000000</v>
      </c>
    </row>
    <row r="78" spans="1:42" s="4" customFormat="1" x14ac:dyDescent="0.25">
      <c r="A78" s="3">
        <v>4604844</v>
      </c>
      <c r="B78" s="28">
        <v>42033</v>
      </c>
      <c r="C78" s="3" t="s">
        <v>1278</v>
      </c>
      <c r="D78" s="3">
        <v>10004642</v>
      </c>
      <c r="E78" s="4">
        <v>4534195</v>
      </c>
      <c r="F78" s="3" t="s">
        <v>49</v>
      </c>
      <c r="G78" s="4" t="s">
        <v>393</v>
      </c>
      <c r="H78" s="4" t="s">
        <v>1803</v>
      </c>
      <c r="I78" s="5">
        <v>12056.88</v>
      </c>
      <c r="J78" s="3" t="s">
        <v>122</v>
      </c>
      <c r="K78" s="3" t="s">
        <v>498</v>
      </c>
      <c r="L78" s="3" t="s">
        <v>196</v>
      </c>
      <c r="M78" s="4" t="s">
        <v>1804</v>
      </c>
      <c r="N78" s="3" t="s">
        <v>25</v>
      </c>
      <c r="O78" s="3"/>
      <c r="Q78" s="3"/>
      <c r="R78" s="3"/>
      <c r="Y78" s="4" t="s">
        <v>179</v>
      </c>
      <c r="Z78" s="4" t="s">
        <v>179</v>
      </c>
      <c r="AB78" s="3"/>
      <c r="AC78" s="3"/>
      <c r="AD78" s="3" t="s">
        <v>122</v>
      </c>
      <c r="AE78" s="3">
        <v>1000</v>
      </c>
      <c r="AI78" s="4" t="s">
        <v>182</v>
      </c>
      <c r="AJ78" s="4" t="s">
        <v>182</v>
      </c>
      <c r="AK78" s="3"/>
      <c r="AL78" s="4">
        <v>51455</v>
      </c>
      <c r="AM78" s="5">
        <v>12056.88</v>
      </c>
      <c r="AN78" s="4" t="s">
        <v>124</v>
      </c>
      <c r="AO78" s="4">
        <v>99</v>
      </c>
      <c r="AP78" s="4">
        <v>86000000</v>
      </c>
    </row>
    <row r="79" spans="1:42" s="4" customFormat="1" x14ac:dyDescent="0.25">
      <c r="A79" s="3">
        <v>4604845</v>
      </c>
      <c r="B79" s="28">
        <v>42185</v>
      </c>
      <c r="C79" s="3" t="s">
        <v>1278</v>
      </c>
      <c r="D79" s="3">
        <v>10004643</v>
      </c>
      <c r="E79" s="4">
        <v>4534196</v>
      </c>
      <c r="F79" s="3" t="s">
        <v>49</v>
      </c>
      <c r="G79" s="4" t="s">
        <v>1805</v>
      </c>
      <c r="H79" s="4" t="s">
        <v>1806</v>
      </c>
      <c r="I79" s="5">
        <v>20220</v>
      </c>
      <c r="J79" s="3" t="s">
        <v>122</v>
      </c>
      <c r="K79" s="3" t="s">
        <v>1037</v>
      </c>
      <c r="L79" s="3" t="s">
        <v>196</v>
      </c>
      <c r="M79" s="4" t="s">
        <v>1807</v>
      </c>
      <c r="N79" s="3" t="s">
        <v>25</v>
      </c>
      <c r="O79" s="3"/>
      <c r="Q79" s="3"/>
      <c r="R79" s="3"/>
      <c r="Y79" s="4" t="s">
        <v>179</v>
      </c>
      <c r="Z79" s="4" t="s">
        <v>179</v>
      </c>
      <c r="AB79" s="3"/>
      <c r="AC79" s="3"/>
      <c r="AD79" s="3" t="s">
        <v>77</v>
      </c>
      <c r="AE79" s="3">
        <v>1000</v>
      </c>
      <c r="AI79" s="4" t="s">
        <v>182</v>
      </c>
      <c r="AJ79" s="4" t="s">
        <v>182</v>
      </c>
      <c r="AK79" s="3"/>
      <c r="AL79" s="4">
        <v>140373</v>
      </c>
      <c r="AM79" s="5">
        <v>20220</v>
      </c>
      <c r="AN79" s="4" t="s">
        <v>124</v>
      </c>
      <c r="AO79" s="4">
        <v>99</v>
      </c>
      <c r="AP79" s="4">
        <v>86000000</v>
      </c>
    </row>
    <row r="80" spans="1:42" s="4" customFormat="1" x14ac:dyDescent="0.25">
      <c r="A80" s="3">
        <v>4604847</v>
      </c>
      <c r="B80" s="28">
        <v>42032</v>
      </c>
      <c r="C80" s="3" t="s">
        <v>2093</v>
      </c>
      <c r="D80" s="3">
        <v>10004652</v>
      </c>
      <c r="E80" s="4">
        <v>4534198</v>
      </c>
      <c r="F80" s="3" t="s">
        <v>49</v>
      </c>
      <c r="G80" s="4" t="s">
        <v>2107</v>
      </c>
      <c r="H80" s="4" t="s">
        <v>2108</v>
      </c>
      <c r="I80" s="5">
        <v>11550</v>
      </c>
      <c r="J80" s="3" t="s">
        <v>457</v>
      </c>
      <c r="K80" s="3" t="s">
        <v>1835</v>
      </c>
      <c r="L80" s="3" t="s">
        <v>196</v>
      </c>
      <c r="M80" s="4" t="s">
        <v>2108</v>
      </c>
      <c r="N80" s="3" t="s">
        <v>25</v>
      </c>
      <c r="O80" s="3"/>
      <c r="Q80" s="3"/>
      <c r="R80" s="3"/>
      <c r="Y80" s="4" t="s">
        <v>1616</v>
      </c>
      <c r="Z80" s="4" t="s">
        <v>1616</v>
      </c>
      <c r="AB80" s="3"/>
      <c r="AC80" s="3"/>
      <c r="AD80" s="3" t="s">
        <v>959</v>
      </c>
      <c r="AE80" s="3">
        <v>1000</v>
      </c>
      <c r="AI80" s="4" t="s">
        <v>1617</v>
      </c>
      <c r="AJ80" s="4" t="s">
        <v>1617</v>
      </c>
      <c r="AK80" s="3"/>
      <c r="AL80" s="4">
        <v>141855</v>
      </c>
      <c r="AM80" s="5">
        <v>11550</v>
      </c>
      <c r="AN80" s="4" t="s">
        <v>124</v>
      </c>
      <c r="AO80" s="4">
        <v>99</v>
      </c>
      <c r="AP80" s="4">
        <v>80101706</v>
      </c>
    </row>
    <row r="81" spans="1:42" s="4" customFormat="1" x14ac:dyDescent="0.25">
      <c r="A81" s="3">
        <v>4604851</v>
      </c>
      <c r="B81" s="28">
        <v>42048</v>
      </c>
      <c r="C81" s="3" t="s">
        <v>392</v>
      </c>
      <c r="D81" s="3">
        <v>10004656</v>
      </c>
      <c r="E81" s="4">
        <v>4534202</v>
      </c>
      <c r="F81" s="3" t="s">
        <v>49</v>
      </c>
      <c r="G81" s="4" t="s">
        <v>463</v>
      </c>
      <c r="H81" s="4" t="s">
        <v>464</v>
      </c>
      <c r="I81" s="5">
        <v>24200</v>
      </c>
      <c r="J81" s="3" t="s">
        <v>465</v>
      </c>
      <c r="K81" s="3" t="s">
        <v>313</v>
      </c>
      <c r="L81" s="3" t="s">
        <v>196</v>
      </c>
      <c r="M81" s="4" t="s">
        <v>464</v>
      </c>
      <c r="N81" s="3" t="s">
        <v>25</v>
      </c>
      <c r="O81" s="3"/>
      <c r="Q81" s="3"/>
      <c r="R81" s="3"/>
      <c r="Y81" s="4" t="s">
        <v>466</v>
      </c>
      <c r="Z81" s="4" t="s">
        <v>466</v>
      </c>
      <c r="AB81" s="3"/>
      <c r="AC81" s="3"/>
      <c r="AD81" s="3" t="s">
        <v>467</v>
      </c>
      <c r="AE81" s="3">
        <v>1000</v>
      </c>
      <c r="AI81" s="4" t="s">
        <v>468</v>
      </c>
      <c r="AJ81" s="4" t="s">
        <v>468</v>
      </c>
      <c r="AK81" s="3"/>
      <c r="AL81" s="4">
        <v>141859</v>
      </c>
      <c r="AM81" s="5">
        <v>24200</v>
      </c>
      <c r="AN81" s="4" t="s">
        <v>124</v>
      </c>
      <c r="AO81" s="4">
        <v>99</v>
      </c>
      <c r="AP81" s="4">
        <v>43230000</v>
      </c>
    </row>
    <row r="82" spans="1:42" s="4" customFormat="1" x14ac:dyDescent="0.25">
      <c r="A82" s="3">
        <v>4604854</v>
      </c>
      <c r="B82" s="28">
        <v>42031</v>
      </c>
      <c r="C82" s="3" t="s">
        <v>2158</v>
      </c>
      <c r="D82" s="3">
        <v>10004650</v>
      </c>
      <c r="E82" s="4">
        <v>4534205</v>
      </c>
      <c r="F82" s="3" t="s">
        <v>49</v>
      </c>
      <c r="G82" s="4" t="s">
        <v>2237</v>
      </c>
      <c r="H82" s="4" t="s">
        <v>2238</v>
      </c>
      <c r="I82" s="5">
        <v>16500</v>
      </c>
      <c r="J82" s="3" t="s">
        <v>452</v>
      </c>
      <c r="K82" s="3" t="s">
        <v>480</v>
      </c>
      <c r="L82" s="3" t="s">
        <v>196</v>
      </c>
      <c r="M82" s="4" t="s">
        <v>2238</v>
      </c>
      <c r="N82" s="3" t="s">
        <v>25</v>
      </c>
      <c r="O82" s="3" t="s">
        <v>139</v>
      </c>
      <c r="P82" s="4" t="s">
        <v>2207</v>
      </c>
      <c r="Q82" s="3"/>
      <c r="R82" s="3"/>
      <c r="Y82" s="4" t="s">
        <v>2231</v>
      </c>
      <c r="Z82" s="4" t="s">
        <v>2231</v>
      </c>
      <c r="AB82" s="3"/>
      <c r="AC82" s="3"/>
      <c r="AD82" s="3" t="s">
        <v>469</v>
      </c>
      <c r="AE82" s="3">
        <v>1000</v>
      </c>
      <c r="AI82" s="4" t="s">
        <v>2232</v>
      </c>
      <c r="AJ82" s="4" t="s">
        <v>2232</v>
      </c>
      <c r="AK82" s="3" t="s">
        <v>2210</v>
      </c>
      <c r="AL82" s="4">
        <v>141863</v>
      </c>
      <c r="AM82" s="5">
        <v>16500</v>
      </c>
      <c r="AN82" s="4" t="s">
        <v>124</v>
      </c>
      <c r="AO82" s="4">
        <v>99</v>
      </c>
      <c r="AP82" s="4">
        <v>80101505</v>
      </c>
    </row>
    <row r="83" spans="1:42" s="4" customFormat="1" x14ac:dyDescent="0.25">
      <c r="A83" s="3">
        <v>4604855</v>
      </c>
      <c r="B83" s="28">
        <v>42058</v>
      </c>
      <c r="C83" s="3" t="s">
        <v>1278</v>
      </c>
      <c r="D83" s="3">
        <v>10004660</v>
      </c>
      <c r="E83" s="4">
        <v>4534206</v>
      </c>
      <c r="F83" s="3" t="s">
        <v>49</v>
      </c>
      <c r="G83" s="4" t="s">
        <v>1731</v>
      </c>
      <c r="H83" s="4" t="s">
        <v>1815</v>
      </c>
      <c r="I83" s="5">
        <v>25000</v>
      </c>
      <c r="J83" s="3" t="s">
        <v>469</v>
      </c>
      <c r="K83" s="3" t="s">
        <v>498</v>
      </c>
      <c r="L83" s="3" t="s">
        <v>196</v>
      </c>
      <c r="M83" s="4" t="s">
        <v>1815</v>
      </c>
      <c r="N83" s="3" t="s">
        <v>25</v>
      </c>
      <c r="O83" s="3"/>
      <c r="Q83" s="3"/>
      <c r="R83" s="3"/>
      <c r="Y83" s="4" t="s">
        <v>1816</v>
      </c>
      <c r="Z83" s="4" t="s">
        <v>1816</v>
      </c>
      <c r="AB83" s="3"/>
      <c r="AC83" s="3"/>
      <c r="AD83" s="3" t="s">
        <v>469</v>
      </c>
      <c r="AE83" s="3">
        <v>1000</v>
      </c>
      <c r="AI83" s="4" t="s">
        <v>1817</v>
      </c>
      <c r="AJ83" s="4" t="s">
        <v>1817</v>
      </c>
      <c r="AK83" s="3"/>
      <c r="AL83" s="4">
        <v>141834</v>
      </c>
      <c r="AM83" s="5">
        <v>25000</v>
      </c>
      <c r="AN83" s="4" t="s">
        <v>124</v>
      </c>
      <c r="AO83" s="4">
        <v>99</v>
      </c>
      <c r="AP83" s="4">
        <v>84111603</v>
      </c>
    </row>
    <row r="84" spans="1:42" s="4" customFormat="1" x14ac:dyDescent="0.25">
      <c r="A84" s="3">
        <v>4604862</v>
      </c>
      <c r="B84" s="28">
        <v>42066</v>
      </c>
      <c r="C84" s="3" t="s">
        <v>1278</v>
      </c>
      <c r="D84" s="3">
        <v>10004675</v>
      </c>
      <c r="E84" s="4">
        <v>4534213</v>
      </c>
      <c r="F84" s="3" t="s">
        <v>49</v>
      </c>
      <c r="G84" s="4" t="s">
        <v>1174</v>
      </c>
      <c r="H84" s="4" t="s">
        <v>1832</v>
      </c>
      <c r="I84" s="5">
        <v>18810</v>
      </c>
      <c r="J84" s="3" t="s">
        <v>1833</v>
      </c>
      <c r="K84" s="3" t="s">
        <v>901</v>
      </c>
      <c r="L84" s="3" t="s">
        <v>119</v>
      </c>
      <c r="M84" s="4" t="s">
        <v>1832</v>
      </c>
      <c r="N84" s="3" t="s">
        <v>56</v>
      </c>
      <c r="O84" s="3" t="s">
        <v>139</v>
      </c>
      <c r="P84" s="4" t="s">
        <v>140</v>
      </c>
      <c r="Q84" s="3"/>
      <c r="R84" s="3"/>
      <c r="Y84" s="4" t="s">
        <v>540</v>
      </c>
      <c r="Z84" s="4" t="s">
        <v>1090</v>
      </c>
      <c r="AA84" s="4" t="s">
        <v>1284</v>
      </c>
      <c r="AB84" s="3" t="s">
        <v>1285</v>
      </c>
      <c r="AC84" s="3" t="s">
        <v>1286</v>
      </c>
      <c r="AD84" s="3" t="s">
        <v>484</v>
      </c>
      <c r="AE84" s="3">
        <v>1000</v>
      </c>
      <c r="AI84" s="4" t="s">
        <v>542</v>
      </c>
      <c r="AJ84" s="4" t="s">
        <v>1091</v>
      </c>
      <c r="AK84" s="3" t="s">
        <v>143</v>
      </c>
      <c r="AL84" s="4">
        <v>42811</v>
      </c>
      <c r="AM84" s="5">
        <v>18810</v>
      </c>
      <c r="AN84" s="4" t="s">
        <v>124</v>
      </c>
      <c r="AO84" s="4">
        <v>99</v>
      </c>
      <c r="AP84" s="4">
        <v>84111600</v>
      </c>
    </row>
    <row r="85" spans="1:42" s="4" customFormat="1" x14ac:dyDescent="0.25">
      <c r="A85" s="3">
        <v>4604874</v>
      </c>
      <c r="B85" s="28">
        <v>42075</v>
      </c>
      <c r="C85" s="3" t="s">
        <v>392</v>
      </c>
      <c r="D85" s="3">
        <v>10004690</v>
      </c>
      <c r="E85" s="4">
        <v>4534225</v>
      </c>
      <c r="F85" s="3" t="s">
        <v>49</v>
      </c>
      <c r="G85" s="4" t="s">
        <v>487</v>
      </c>
      <c r="H85" s="4" t="s">
        <v>460</v>
      </c>
      <c r="I85" s="5">
        <v>19800</v>
      </c>
      <c r="J85" s="3" t="s">
        <v>477</v>
      </c>
      <c r="K85" s="3" t="s">
        <v>488</v>
      </c>
      <c r="L85" s="3" t="s">
        <v>196</v>
      </c>
      <c r="M85" s="4" t="s">
        <v>460</v>
      </c>
      <c r="N85" s="3" t="s">
        <v>25</v>
      </c>
      <c r="O85" s="3"/>
      <c r="Q85" s="3"/>
      <c r="R85" s="3"/>
      <c r="Y85" s="4" t="s">
        <v>489</v>
      </c>
      <c r="Z85" s="4" t="s">
        <v>431</v>
      </c>
      <c r="AB85" s="3"/>
      <c r="AC85" s="3"/>
      <c r="AD85" s="3" t="s">
        <v>477</v>
      </c>
      <c r="AE85" s="3">
        <v>1000</v>
      </c>
      <c r="AI85" s="4" t="s">
        <v>490</v>
      </c>
      <c r="AJ85" s="4" t="s">
        <v>434</v>
      </c>
      <c r="AK85" s="3"/>
      <c r="AL85" s="4">
        <v>43098</v>
      </c>
      <c r="AM85" s="5">
        <v>19800</v>
      </c>
      <c r="AN85" s="4" t="s">
        <v>124</v>
      </c>
      <c r="AO85" s="4">
        <v>99</v>
      </c>
      <c r="AP85" s="4">
        <v>80141500</v>
      </c>
    </row>
    <row r="86" spans="1:42" s="4" customFormat="1" x14ac:dyDescent="0.25">
      <c r="A86" s="3">
        <v>4604881</v>
      </c>
      <c r="B86" s="28">
        <v>42068</v>
      </c>
      <c r="C86" s="3" t="s">
        <v>1278</v>
      </c>
      <c r="D86" s="3">
        <v>10004673</v>
      </c>
      <c r="E86" s="4">
        <v>4534232</v>
      </c>
      <c r="F86" s="3" t="s">
        <v>49</v>
      </c>
      <c r="G86" s="4" t="s">
        <v>271</v>
      </c>
      <c r="H86" s="4" t="s">
        <v>1856</v>
      </c>
      <c r="I86" s="5">
        <v>11000</v>
      </c>
      <c r="J86" s="3" t="s">
        <v>484</v>
      </c>
      <c r="K86" s="3" t="s">
        <v>498</v>
      </c>
      <c r="L86" s="3" t="s">
        <v>196</v>
      </c>
      <c r="M86" s="4" t="s">
        <v>1856</v>
      </c>
      <c r="N86" s="3" t="s">
        <v>25</v>
      </c>
      <c r="O86" s="3"/>
      <c r="Q86" s="3"/>
      <c r="R86" s="3"/>
      <c r="Y86" s="4" t="s">
        <v>267</v>
      </c>
      <c r="Z86" s="4" t="s">
        <v>267</v>
      </c>
      <c r="AB86" s="3"/>
      <c r="AC86" s="3"/>
      <c r="AD86" s="3" t="s">
        <v>477</v>
      </c>
      <c r="AE86" s="3">
        <v>1000</v>
      </c>
      <c r="AI86" s="4" t="s">
        <v>270</v>
      </c>
      <c r="AJ86" s="4" t="s">
        <v>270</v>
      </c>
      <c r="AK86" s="3"/>
      <c r="AL86" s="4">
        <v>46721</v>
      </c>
      <c r="AM86" s="5">
        <v>11000</v>
      </c>
      <c r="AN86" s="4" t="s">
        <v>124</v>
      </c>
      <c r="AO86" s="4">
        <v>99</v>
      </c>
      <c r="AP86" s="4">
        <v>80111600</v>
      </c>
    </row>
    <row r="87" spans="1:42" s="4" customFormat="1" x14ac:dyDescent="0.25">
      <c r="A87" s="3">
        <v>4604884</v>
      </c>
      <c r="B87" s="28">
        <v>42079</v>
      </c>
      <c r="C87" s="3" t="s">
        <v>1278</v>
      </c>
      <c r="D87" s="3">
        <v>10004688</v>
      </c>
      <c r="E87" s="4">
        <v>4534235</v>
      </c>
      <c r="F87" s="3" t="s">
        <v>49</v>
      </c>
      <c r="G87" s="4" t="s">
        <v>1288</v>
      </c>
      <c r="H87" s="4" t="s">
        <v>1863</v>
      </c>
      <c r="I87" s="5">
        <v>14245</v>
      </c>
      <c r="J87" s="3" t="s">
        <v>1179</v>
      </c>
      <c r="K87" s="3" t="s">
        <v>1864</v>
      </c>
      <c r="L87" s="3" t="s">
        <v>196</v>
      </c>
      <c r="M87" s="4" t="s">
        <v>1863</v>
      </c>
      <c r="N87" s="3" t="s">
        <v>25</v>
      </c>
      <c r="O87" s="3"/>
      <c r="Q87" s="3"/>
      <c r="R87" s="3"/>
      <c r="Y87" s="4" t="s">
        <v>1047</v>
      </c>
      <c r="Z87" s="4" t="s">
        <v>1047</v>
      </c>
      <c r="AB87" s="3"/>
      <c r="AC87" s="3"/>
      <c r="AD87" s="3" t="s">
        <v>901</v>
      </c>
      <c r="AE87" s="3">
        <v>1000</v>
      </c>
      <c r="AI87" s="4" t="s">
        <v>1050</v>
      </c>
      <c r="AJ87" s="4" t="s">
        <v>1050</v>
      </c>
      <c r="AK87" s="3"/>
      <c r="AL87" s="4">
        <v>40217</v>
      </c>
      <c r="AM87" s="5">
        <v>14245</v>
      </c>
      <c r="AN87" s="4" t="s">
        <v>124</v>
      </c>
      <c r="AO87" s="4">
        <v>99</v>
      </c>
      <c r="AP87" s="4">
        <v>86000000</v>
      </c>
    </row>
    <row r="88" spans="1:42" s="4" customFormat="1" x14ac:dyDescent="0.25">
      <c r="A88" s="3">
        <v>4604889</v>
      </c>
      <c r="B88" s="28">
        <v>42037</v>
      </c>
      <c r="C88" s="3" t="s">
        <v>1278</v>
      </c>
      <c r="D88" s="3">
        <v>10004702</v>
      </c>
      <c r="E88" s="4">
        <v>4534240</v>
      </c>
      <c r="F88" s="3" t="s">
        <v>49</v>
      </c>
      <c r="G88" s="4" t="s">
        <v>174</v>
      </c>
      <c r="H88" s="4" t="s">
        <v>1878</v>
      </c>
      <c r="I88" s="5">
        <v>20700.900000000001</v>
      </c>
      <c r="J88" s="3" t="s">
        <v>959</v>
      </c>
      <c r="K88" s="3" t="s">
        <v>1879</v>
      </c>
      <c r="L88" s="3" t="s">
        <v>119</v>
      </c>
      <c r="M88" s="4" t="s">
        <v>1878</v>
      </c>
      <c r="N88" s="3" t="s">
        <v>56</v>
      </c>
      <c r="O88" s="3"/>
      <c r="Q88" s="3"/>
      <c r="R88" s="3"/>
      <c r="Y88" s="4" t="s">
        <v>1344</v>
      </c>
      <c r="Z88" s="4" t="s">
        <v>1344</v>
      </c>
      <c r="AA88" s="4" t="s">
        <v>188</v>
      </c>
      <c r="AB88" s="3" t="s">
        <v>401</v>
      </c>
      <c r="AC88" s="3" t="s">
        <v>190</v>
      </c>
      <c r="AD88" s="3" t="s">
        <v>1879</v>
      </c>
      <c r="AE88" s="3">
        <v>1000</v>
      </c>
      <c r="AI88" s="4" t="s">
        <v>1346</v>
      </c>
      <c r="AJ88" s="4" t="s">
        <v>1346</v>
      </c>
      <c r="AK88" s="3"/>
      <c r="AL88" s="4">
        <v>40476</v>
      </c>
      <c r="AM88" s="5">
        <v>20700.900000000001</v>
      </c>
      <c r="AN88" s="4" t="s">
        <v>124</v>
      </c>
      <c r="AO88" s="4">
        <v>99</v>
      </c>
      <c r="AP88" s="4">
        <v>80111600</v>
      </c>
    </row>
    <row r="89" spans="1:42" s="4" customFormat="1" x14ac:dyDescent="0.25">
      <c r="A89" s="3">
        <v>4604892</v>
      </c>
      <c r="B89" s="28">
        <v>42086</v>
      </c>
      <c r="C89" s="3" t="s">
        <v>1278</v>
      </c>
      <c r="D89" s="3">
        <v>10004707</v>
      </c>
      <c r="E89" s="4">
        <v>4534243</v>
      </c>
      <c r="F89" s="3" t="s">
        <v>49</v>
      </c>
      <c r="G89" s="4" t="s">
        <v>1661</v>
      </c>
      <c r="H89" s="4" t="s">
        <v>1880</v>
      </c>
      <c r="I89" s="5">
        <v>14071.88</v>
      </c>
      <c r="J89" s="3" t="s">
        <v>1870</v>
      </c>
      <c r="K89" s="3" t="s">
        <v>461</v>
      </c>
      <c r="L89" s="3" t="s">
        <v>196</v>
      </c>
      <c r="M89" s="4" t="s">
        <v>1880</v>
      </c>
      <c r="N89" s="3" t="s">
        <v>25</v>
      </c>
      <c r="O89" s="3"/>
      <c r="Q89" s="3"/>
      <c r="R89" s="3"/>
      <c r="Y89" s="4" t="s">
        <v>178</v>
      </c>
      <c r="Z89" s="4" t="s">
        <v>178</v>
      </c>
      <c r="AB89" s="3"/>
      <c r="AC89" s="3"/>
      <c r="AD89" s="3" t="s">
        <v>1870</v>
      </c>
      <c r="AE89" s="3">
        <v>1000</v>
      </c>
      <c r="AI89" s="4" t="s">
        <v>181</v>
      </c>
      <c r="AJ89" s="4" t="s">
        <v>181</v>
      </c>
      <c r="AK89" s="3"/>
      <c r="AL89" s="4">
        <v>141803</v>
      </c>
      <c r="AM89" s="5">
        <v>14071.88</v>
      </c>
      <c r="AN89" s="4" t="s">
        <v>124</v>
      </c>
      <c r="AO89" s="4">
        <v>99</v>
      </c>
      <c r="AP89" s="4">
        <v>80111600</v>
      </c>
    </row>
    <row r="90" spans="1:42" s="4" customFormat="1" x14ac:dyDescent="0.25">
      <c r="A90" s="3">
        <v>4604899</v>
      </c>
      <c r="B90" s="28">
        <v>41995</v>
      </c>
      <c r="C90" s="3" t="s">
        <v>392</v>
      </c>
      <c r="D90" s="3">
        <v>10004617</v>
      </c>
      <c r="E90" s="4">
        <v>4534250</v>
      </c>
      <c r="F90" s="3" t="s">
        <v>49</v>
      </c>
      <c r="G90" s="4" t="s">
        <v>193</v>
      </c>
      <c r="H90" s="4" t="s">
        <v>495</v>
      </c>
      <c r="I90" s="5">
        <v>22522.5</v>
      </c>
      <c r="J90" s="3" t="s">
        <v>494</v>
      </c>
      <c r="K90" s="3" t="s">
        <v>496</v>
      </c>
      <c r="L90" s="3" t="s">
        <v>196</v>
      </c>
      <c r="M90" s="4" t="s">
        <v>495</v>
      </c>
      <c r="N90" s="3" t="s">
        <v>25</v>
      </c>
      <c r="O90" s="3"/>
      <c r="Q90" s="3"/>
      <c r="R90" s="3"/>
      <c r="Y90" s="4" t="s">
        <v>431</v>
      </c>
      <c r="Z90" s="4" t="s">
        <v>431</v>
      </c>
      <c r="AB90" s="3"/>
      <c r="AC90" s="3"/>
      <c r="AD90" s="3" t="s">
        <v>496</v>
      </c>
      <c r="AE90" s="3">
        <v>1000</v>
      </c>
      <c r="AI90" s="4" t="s">
        <v>434</v>
      </c>
      <c r="AJ90" s="4" t="s">
        <v>434</v>
      </c>
      <c r="AK90" s="3"/>
      <c r="AL90" s="4">
        <v>48568</v>
      </c>
      <c r="AM90" s="5">
        <v>22522.5</v>
      </c>
      <c r="AN90" s="4" t="s">
        <v>124</v>
      </c>
      <c r="AO90" s="4">
        <v>99</v>
      </c>
      <c r="AP90" s="4">
        <v>55101500</v>
      </c>
    </row>
    <row r="91" spans="1:42" s="4" customFormat="1" x14ac:dyDescent="0.25">
      <c r="A91" s="3">
        <v>4604908</v>
      </c>
      <c r="B91" s="28">
        <v>42095</v>
      </c>
      <c r="C91" s="3" t="s">
        <v>1278</v>
      </c>
      <c r="D91" s="3">
        <v>10004723</v>
      </c>
      <c r="E91" s="4">
        <v>4534259</v>
      </c>
      <c r="F91" s="3" t="s">
        <v>49</v>
      </c>
      <c r="G91" s="4" t="s">
        <v>1053</v>
      </c>
      <c r="H91" s="4" t="s">
        <v>1896</v>
      </c>
      <c r="I91" s="5">
        <v>10698.6</v>
      </c>
      <c r="J91" s="3" t="s">
        <v>502</v>
      </c>
      <c r="K91" s="3" t="s">
        <v>498</v>
      </c>
      <c r="L91" s="3" t="s">
        <v>119</v>
      </c>
      <c r="M91" s="4" t="s">
        <v>1897</v>
      </c>
      <c r="N91" s="3" t="s">
        <v>56</v>
      </c>
      <c r="O91" s="3"/>
      <c r="Q91" s="3"/>
      <c r="R91" s="3"/>
      <c r="Y91" s="4" t="s">
        <v>1056</v>
      </c>
      <c r="Z91" s="4" t="s">
        <v>1056</v>
      </c>
      <c r="AA91" s="4" t="s">
        <v>1057</v>
      </c>
      <c r="AB91" s="3" t="s">
        <v>1057</v>
      </c>
      <c r="AC91" s="3" t="s">
        <v>1340</v>
      </c>
      <c r="AD91" s="3" t="s">
        <v>1898</v>
      </c>
      <c r="AE91" s="3">
        <v>1000</v>
      </c>
      <c r="AI91" s="4" t="s">
        <v>1058</v>
      </c>
      <c r="AJ91" s="4" t="s">
        <v>1058</v>
      </c>
      <c r="AK91" s="3"/>
      <c r="AL91" s="4">
        <v>140248</v>
      </c>
      <c r="AM91" s="5">
        <v>10698.6</v>
      </c>
      <c r="AN91" s="4" t="s">
        <v>124</v>
      </c>
      <c r="AO91" s="4">
        <v>99</v>
      </c>
      <c r="AP91" s="4">
        <v>81111812</v>
      </c>
    </row>
    <row r="92" spans="1:42" s="4" customFormat="1" x14ac:dyDescent="0.25">
      <c r="A92" s="3">
        <v>4604913</v>
      </c>
      <c r="B92" s="28">
        <v>42086</v>
      </c>
      <c r="C92" s="3" t="s">
        <v>1278</v>
      </c>
      <c r="D92" s="3">
        <v>10004731</v>
      </c>
      <c r="E92" s="4">
        <v>4534264</v>
      </c>
      <c r="F92" s="3" t="s">
        <v>49</v>
      </c>
      <c r="G92" s="4" t="s">
        <v>1661</v>
      </c>
      <c r="H92" s="4" t="s">
        <v>1901</v>
      </c>
      <c r="I92" s="5">
        <v>14071.88</v>
      </c>
      <c r="J92" s="3" t="s">
        <v>1870</v>
      </c>
      <c r="K92" s="3" t="s">
        <v>77</v>
      </c>
      <c r="L92" s="3" t="s">
        <v>196</v>
      </c>
      <c r="M92" s="4" t="s">
        <v>1901</v>
      </c>
      <c r="N92" s="3" t="s">
        <v>25</v>
      </c>
      <c r="O92" s="3"/>
      <c r="Q92" s="3"/>
      <c r="R92" s="3"/>
      <c r="Y92" s="4" t="s">
        <v>178</v>
      </c>
      <c r="Z92" s="4" t="s">
        <v>178</v>
      </c>
      <c r="AB92" s="3"/>
      <c r="AC92" s="3"/>
      <c r="AD92" s="3" t="s">
        <v>497</v>
      </c>
      <c r="AE92" s="3">
        <v>1000</v>
      </c>
      <c r="AI92" s="4" t="s">
        <v>181</v>
      </c>
      <c r="AJ92" s="4" t="s">
        <v>181</v>
      </c>
      <c r="AK92" s="3"/>
      <c r="AL92" s="4">
        <v>141803</v>
      </c>
      <c r="AM92" s="5">
        <v>14071.88</v>
      </c>
      <c r="AN92" s="4" t="s">
        <v>124</v>
      </c>
      <c r="AO92" s="4">
        <v>99</v>
      </c>
      <c r="AP92" s="4">
        <v>80111600</v>
      </c>
    </row>
    <row r="93" spans="1:42" s="4" customFormat="1" x14ac:dyDescent="0.25">
      <c r="A93" s="3">
        <v>4604914</v>
      </c>
      <c r="B93" s="28">
        <v>42125</v>
      </c>
      <c r="C93" s="3" t="s">
        <v>1278</v>
      </c>
      <c r="D93" s="3">
        <v>10004734</v>
      </c>
      <c r="E93" s="4">
        <v>4534265</v>
      </c>
      <c r="F93" s="3" t="s">
        <v>49</v>
      </c>
      <c r="G93" s="4" t="s">
        <v>453</v>
      </c>
      <c r="H93" s="4" t="s">
        <v>1902</v>
      </c>
      <c r="I93" s="5">
        <v>16000</v>
      </c>
      <c r="J93" s="3" t="s">
        <v>53</v>
      </c>
      <c r="K93" s="3" t="s">
        <v>77</v>
      </c>
      <c r="L93" s="3" t="s">
        <v>196</v>
      </c>
      <c r="M93" s="4" t="s">
        <v>1902</v>
      </c>
      <c r="N93" s="3" t="s">
        <v>25</v>
      </c>
      <c r="O93" s="3"/>
      <c r="Q93" s="3"/>
      <c r="R93" s="3"/>
      <c r="Y93" s="4" t="s">
        <v>267</v>
      </c>
      <c r="Z93" s="4" t="s">
        <v>267</v>
      </c>
      <c r="AB93" s="3"/>
      <c r="AC93" s="3"/>
      <c r="AD93" s="3" t="s">
        <v>1903</v>
      </c>
      <c r="AE93" s="3">
        <v>1000</v>
      </c>
      <c r="AI93" s="4" t="s">
        <v>270</v>
      </c>
      <c r="AJ93" s="4" t="s">
        <v>270</v>
      </c>
      <c r="AK93" s="3"/>
      <c r="AL93" s="4">
        <v>47630</v>
      </c>
      <c r="AM93" s="5">
        <v>16000</v>
      </c>
      <c r="AN93" s="4" t="s">
        <v>124</v>
      </c>
      <c r="AO93" s="4">
        <v>99</v>
      </c>
      <c r="AP93" s="4">
        <v>80110000</v>
      </c>
    </row>
    <row r="94" spans="1:42" s="4" customFormat="1" x14ac:dyDescent="0.25">
      <c r="A94" s="3">
        <v>4604926</v>
      </c>
      <c r="B94" s="28">
        <v>42108</v>
      </c>
      <c r="C94" s="3" t="s">
        <v>2342</v>
      </c>
      <c r="D94" s="3">
        <v>10004746</v>
      </c>
      <c r="E94" s="4">
        <v>4534277</v>
      </c>
      <c r="F94" s="3" t="s">
        <v>49</v>
      </c>
      <c r="G94" s="4" t="s">
        <v>2300</v>
      </c>
      <c r="H94" s="4" t="s">
        <v>2404</v>
      </c>
      <c r="I94" s="5">
        <v>15400</v>
      </c>
      <c r="J94" s="3" t="s">
        <v>510</v>
      </c>
      <c r="K94" s="3" t="s">
        <v>439</v>
      </c>
      <c r="L94" s="3" t="s">
        <v>119</v>
      </c>
      <c r="M94" s="4" t="s">
        <v>2405</v>
      </c>
      <c r="N94" s="3" t="s">
        <v>56</v>
      </c>
      <c r="O94" s="3" t="s">
        <v>139</v>
      </c>
      <c r="P94" s="4" t="s">
        <v>282</v>
      </c>
      <c r="Q94" s="3" t="s">
        <v>139</v>
      </c>
      <c r="R94" s="3" t="s">
        <v>215</v>
      </c>
      <c r="S94" s="4" t="s">
        <v>216</v>
      </c>
      <c r="U94" s="4" t="s">
        <v>139</v>
      </c>
      <c r="V94" s="4" t="s">
        <v>427</v>
      </c>
      <c r="W94" s="4" t="s">
        <v>428</v>
      </c>
      <c r="Y94" s="4" t="s">
        <v>2286</v>
      </c>
      <c r="Z94" s="4" t="s">
        <v>2286</v>
      </c>
      <c r="AA94" s="4" t="s">
        <v>2294</v>
      </c>
      <c r="AB94" s="3" t="s">
        <v>2303</v>
      </c>
      <c r="AC94" s="3" t="s">
        <v>2296</v>
      </c>
      <c r="AD94" s="3" t="s">
        <v>1227</v>
      </c>
      <c r="AE94" s="3">
        <v>1000</v>
      </c>
      <c r="AI94" s="4" t="s">
        <v>2288</v>
      </c>
      <c r="AJ94" s="4" t="s">
        <v>2288</v>
      </c>
      <c r="AK94" s="3" t="s">
        <v>286</v>
      </c>
      <c r="AL94" s="4">
        <v>30080</v>
      </c>
      <c r="AM94" s="5">
        <v>15400</v>
      </c>
      <c r="AN94" s="4" t="s">
        <v>2282</v>
      </c>
      <c r="AO94" s="4">
        <v>99</v>
      </c>
      <c r="AP94" s="4">
        <v>80120000</v>
      </c>
    </row>
    <row r="95" spans="1:42" s="4" customFormat="1" x14ac:dyDescent="0.25">
      <c r="A95" s="3">
        <v>4604927</v>
      </c>
      <c r="B95" s="28">
        <v>42108</v>
      </c>
      <c r="C95" s="3" t="s">
        <v>1278</v>
      </c>
      <c r="D95" s="3">
        <v>10004747</v>
      </c>
      <c r="E95" s="4">
        <v>4534278</v>
      </c>
      <c r="F95" s="3" t="s">
        <v>49</v>
      </c>
      <c r="G95" s="4" t="s">
        <v>453</v>
      </c>
      <c r="H95" s="4" t="s">
        <v>1915</v>
      </c>
      <c r="I95" s="5">
        <v>11750</v>
      </c>
      <c r="J95" s="3" t="s">
        <v>510</v>
      </c>
      <c r="K95" s="3" t="s">
        <v>77</v>
      </c>
      <c r="L95" s="3" t="s">
        <v>196</v>
      </c>
      <c r="M95" s="4" t="s">
        <v>1915</v>
      </c>
      <c r="N95" s="3" t="s">
        <v>25</v>
      </c>
      <c r="O95" s="3"/>
      <c r="Q95" s="3"/>
      <c r="R95" s="3"/>
      <c r="Y95" s="4" t="s">
        <v>179</v>
      </c>
      <c r="Z95" s="4" t="s">
        <v>179</v>
      </c>
      <c r="AB95" s="3"/>
      <c r="AC95" s="3"/>
      <c r="AD95" s="3" t="s">
        <v>510</v>
      </c>
      <c r="AE95" s="3">
        <v>1000</v>
      </c>
      <c r="AI95" s="4" t="s">
        <v>182</v>
      </c>
      <c r="AJ95" s="4" t="s">
        <v>182</v>
      </c>
      <c r="AK95" s="3"/>
      <c r="AL95" s="4">
        <v>47630</v>
      </c>
      <c r="AM95" s="5">
        <v>11750</v>
      </c>
      <c r="AN95" s="4" t="s">
        <v>124</v>
      </c>
      <c r="AO95" s="4">
        <v>99</v>
      </c>
      <c r="AP95" s="4">
        <v>86000000</v>
      </c>
    </row>
    <row r="96" spans="1:42" s="4" customFormat="1" x14ac:dyDescent="0.25">
      <c r="A96" s="3">
        <v>4604936</v>
      </c>
      <c r="B96" s="28">
        <v>42103</v>
      </c>
      <c r="C96" s="3" t="s">
        <v>1278</v>
      </c>
      <c r="D96" s="3">
        <v>10004750</v>
      </c>
      <c r="E96" s="4">
        <v>4534287</v>
      </c>
      <c r="F96" s="3" t="s">
        <v>49</v>
      </c>
      <c r="G96" s="4" t="s">
        <v>1916</v>
      </c>
      <c r="H96" s="4" t="s">
        <v>1917</v>
      </c>
      <c r="I96" s="5">
        <v>18000</v>
      </c>
      <c r="J96" s="3" t="s">
        <v>1903</v>
      </c>
      <c r="K96" s="3" t="s">
        <v>77</v>
      </c>
      <c r="L96" s="3" t="s">
        <v>196</v>
      </c>
      <c r="M96" s="4" t="s">
        <v>1917</v>
      </c>
      <c r="N96" s="3" t="s">
        <v>25</v>
      </c>
      <c r="O96" s="3" t="s">
        <v>139</v>
      </c>
      <c r="P96" s="4" t="s">
        <v>282</v>
      </c>
      <c r="Q96" s="3"/>
      <c r="R96" s="3"/>
      <c r="Y96" s="4" t="s">
        <v>1176</v>
      </c>
      <c r="Z96" s="4" t="s">
        <v>1176</v>
      </c>
      <c r="AB96" s="3"/>
      <c r="AC96" s="3"/>
      <c r="AD96" s="3" t="s">
        <v>369</v>
      </c>
      <c r="AE96" s="3">
        <v>1000</v>
      </c>
      <c r="AI96" s="4" t="s">
        <v>1178</v>
      </c>
      <c r="AJ96" s="4" t="s">
        <v>1178</v>
      </c>
      <c r="AK96" s="3" t="s">
        <v>286</v>
      </c>
      <c r="AL96" s="4">
        <v>141887</v>
      </c>
      <c r="AM96" s="5">
        <v>18000</v>
      </c>
      <c r="AN96" s="4" t="s">
        <v>124</v>
      </c>
      <c r="AO96" s="4">
        <v>99</v>
      </c>
      <c r="AP96" s="4">
        <v>80100000</v>
      </c>
    </row>
    <row r="97" spans="1:42" s="4" customFormat="1" x14ac:dyDescent="0.25">
      <c r="A97" s="3">
        <v>4604943</v>
      </c>
      <c r="B97" s="28">
        <v>42181</v>
      </c>
      <c r="C97" s="3" t="s">
        <v>2093</v>
      </c>
      <c r="D97" s="3">
        <v>10004762</v>
      </c>
      <c r="E97" s="4">
        <v>4534294</v>
      </c>
      <c r="F97" s="3" t="s">
        <v>49</v>
      </c>
      <c r="G97" s="4" t="s">
        <v>2135</v>
      </c>
      <c r="H97" s="4" t="s">
        <v>2136</v>
      </c>
      <c r="I97" s="5">
        <v>18700</v>
      </c>
      <c r="J97" s="3" t="s">
        <v>441</v>
      </c>
      <c r="K97" s="3" t="s">
        <v>439</v>
      </c>
      <c r="L97" s="3" t="s">
        <v>196</v>
      </c>
      <c r="M97" s="4" t="s">
        <v>2137</v>
      </c>
      <c r="N97" s="3" t="s">
        <v>25</v>
      </c>
      <c r="O97" s="3"/>
      <c r="Q97" s="3"/>
      <c r="R97" s="3"/>
      <c r="Y97" s="4" t="s">
        <v>1616</v>
      </c>
      <c r="Z97" s="4" t="s">
        <v>1616</v>
      </c>
      <c r="AA97" s="4" t="s">
        <v>1647</v>
      </c>
      <c r="AB97" s="3"/>
      <c r="AC97" s="3"/>
      <c r="AD97" s="3" t="s">
        <v>2138</v>
      </c>
      <c r="AE97" s="3">
        <v>1000</v>
      </c>
      <c r="AI97" s="4" t="s">
        <v>1617</v>
      </c>
      <c r="AJ97" s="4" t="s">
        <v>1617</v>
      </c>
      <c r="AK97" s="3"/>
      <c r="AL97" s="4">
        <v>141819</v>
      </c>
      <c r="AM97" s="5">
        <v>18700</v>
      </c>
      <c r="AN97" s="4" t="s">
        <v>124</v>
      </c>
      <c r="AO97" s="4">
        <v>99</v>
      </c>
      <c r="AP97" s="4">
        <v>80101706</v>
      </c>
    </row>
    <row r="98" spans="1:42" s="4" customFormat="1" x14ac:dyDescent="0.25">
      <c r="A98" s="3">
        <v>4604950</v>
      </c>
      <c r="B98" s="28">
        <v>42122</v>
      </c>
      <c r="C98" s="3" t="s">
        <v>1278</v>
      </c>
      <c r="D98" s="3">
        <v>10004766</v>
      </c>
      <c r="E98" s="4">
        <v>4534301</v>
      </c>
      <c r="F98" s="3" t="s">
        <v>49</v>
      </c>
      <c r="G98" s="4" t="s">
        <v>1936</v>
      </c>
      <c r="H98" s="4" t="s">
        <v>1937</v>
      </c>
      <c r="I98" s="5">
        <v>10752.5</v>
      </c>
      <c r="J98" s="3" t="s">
        <v>1924</v>
      </c>
      <c r="K98" s="3" t="s">
        <v>1938</v>
      </c>
      <c r="L98" s="3" t="s">
        <v>196</v>
      </c>
      <c r="M98" s="4" t="s">
        <v>1937</v>
      </c>
      <c r="N98" s="3" t="s">
        <v>25</v>
      </c>
      <c r="O98" s="3"/>
      <c r="Q98" s="3"/>
      <c r="R98" s="3"/>
      <c r="Y98" s="4" t="s">
        <v>1934</v>
      </c>
      <c r="Z98" s="4" t="s">
        <v>1934</v>
      </c>
      <c r="AB98" s="3"/>
      <c r="AC98" s="3"/>
      <c r="AD98" s="3" t="s">
        <v>1924</v>
      </c>
      <c r="AE98" s="3">
        <v>1000</v>
      </c>
      <c r="AI98" s="4" t="s">
        <v>1935</v>
      </c>
      <c r="AJ98" s="4" t="s">
        <v>1935</v>
      </c>
      <c r="AK98" s="3"/>
      <c r="AL98" s="4">
        <v>141795</v>
      </c>
      <c r="AM98" s="5">
        <v>10752.5</v>
      </c>
      <c r="AN98" s="4" t="s">
        <v>124</v>
      </c>
      <c r="AO98" s="4">
        <v>99</v>
      </c>
      <c r="AP98" s="4">
        <v>80100000</v>
      </c>
    </row>
    <row r="99" spans="1:42" s="4" customFormat="1" x14ac:dyDescent="0.25">
      <c r="A99" s="3">
        <v>4604958</v>
      </c>
      <c r="B99" s="28">
        <v>42129</v>
      </c>
      <c r="C99" s="3" t="s">
        <v>1278</v>
      </c>
      <c r="D99" s="3">
        <v>10004777</v>
      </c>
      <c r="E99" s="4">
        <v>4534309</v>
      </c>
      <c r="F99" s="3" t="s">
        <v>49</v>
      </c>
      <c r="G99" s="4" t="s">
        <v>1261</v>
      </c>
      <c r="H99" s="4" t="s">
        <v>1947</v>
      </c>
      <c r="I99" s="5">
        <v>20000</v>
      </c>
      <c r="J99" s="3" t="s">
        <v>1943</v>
      </c>
      <c r="K99" s="3" t="s">
        <v>77</v>
      </c>
      <c r="L99" s="3" t="s">
        <v>119</v>
      </c>
      <c r="M99" s="4" t="s">
        <v>1947</v>
      </c>
      <c r="N99" s="3" t="s">
        <v>25</v>
      </c>
      <c r="O99" s="3"/>
      <c r="Q99" s="3"/>
      <c r="R99" s="3"/>
      <c r="Y99" s="4" t="s">
        <v>178</v>
      </c>
      <c r="Z99" s="4" t="s">
        <v>178</v>
      </c>
      <c r="AA99" s="4" t="s">
        <v>1265</v>
      </c>
      <c r="AB99" s="3"/>
      <c r="AC99" s="3"/>
      <c r="AD99" s="3" t="s">
        <v>1948</v>
      </c>
      <c r="AE99" s="3">
        <v>1000</v>
      </c>
      <c r="AI99" s="4" t="s">
        <v>181</v>
      </c>
      <c r="AJ99" s="4" t="s">
        <v>181</v>
      </c>
      <c r="AK99" s="3"/>
      <c r="AL99" s="4">
        <v>43889</v>
      </c>
      <c r="AM99" s="5">
        <v>20000</v>
      </c>
      <c r="AN99" s="4" t="s">
        <v>124</v>
      </c>
      <c r="AO99" s="4">
        <v>99</v>
      </c>
      <c r="AP99" s="4">
        <v>80111700</v>
      </c>
    </row>
    <row r="100" spans="1:42" s="4" customFormat="1" x14ac:dyDescent="0.25">
      <c r="A100" s="3">
        <v>4604961</v>
      </c>
      <c r="B100" s="28">
        <v>42167</v>
      </c>
      <c r="C100" s="3" t="s">
        <v>1278</v>
      </c>
      <c r="D100" s="3">
        <v>10004782</v>
      </c>
      <c r="E100" s="4">
        <v>4534312</v>
      </c>
      <c r="F100" s="3" t="s">
        <v>49</v>
      </c>
      <c r="G100" s="4" t="s">
        <v>1838</v>
      </c>
      <c r="H100" s="4" t="s">
        <v>1955</v>
      </c>
      <c r="I100" s="5">
        <v>13660.9</v>
      </c>
      <c r="J100" s="3" t="s">
        <v>485</v>
      </c>
      <c r="K100" s="3" t="s">
        <v>1956</v>
      </c>
      <c r="L100" s="3" t="s">
        <v>196</v>
      </c>
      <c r="M100" s="4" t="s">
        <v>1957</v>
      </c>
      <c r="N100" s="3" t="s">
        <v>25</v>
      </c>
      <c r="O100" s="3"/>
      <c r="Q100" s="3"/>
      <c r="R100" s="3"/>
      <c r="Y100" s="4" t="s">
        <v>1056</v>
      </c>
      <c r="Z100" s="4" t="s">
        <v>1056</v>
      </c>
      <c r="AB100" s="3"/>
      <c r="AC100" s="3"/>
      <c r="AD100" s="3" t="s">
        <v>1117</v>
      </c>
      <c r="AE100" s="3">
        <v>1000</v>
      </c>
      <c r="AI100" s="4" t="s">
        <v>1058</v>
      </c>
      <c r="AJ100" s="4" t="s">
        <v>1058</v>
      </c>
      <c r="AK100" s="3"/>
      <c r="AL100" s="4">
        <v>45852</v>
      </c>
      <c r="AM100" s="5">
        <v>13660.9</v>
      </c>
      <c r="AN100" s="4" t="s">
        <v>124</v>
      </c>
      <c r="AO100" s="4">
        <v>99</v>
      </c>
      <c r="AP100" s="4">
        <v>43230000</v>
      </c>
    </row>
    <row r="101" spans="1:42" s="4" customFormat="1" x14ac:dyDescent="0.25">
      <c r="A101" s="3">
        <v>4604963</v>
      </c>
      <c r="B101" s="28">
        <v>42123</v>
      </c>
      <c r="C101" s="3" t="s">
        <v>288</v>
      </c>
      <c r="D101" s="3">
        <v>10004761</v>
      </c>
      <c r="E101" s="4">
        <v>4534314</v>
      </c>
      <c r="F101" s="3" t="s">
        <v>49</v>
      </c>
      <c r="G101" s="4" t="s">
        <v>354</v>
      </c>
      <c r="H101" s="4" t="s">
        <v>355</v>
      </c>
      <c r="I101" s="5">
        <v>16000</v>
      </c>
      <c r="J101" s="3" t="s">
        <v>353</v>
      </c>
      <c r="K101" s="3" t="s">
        <v>77</v>
      </c>
      <c r="L101" s="3" t="s">
        <v>119</v>
      </c>
      <c r="M101" s="4" t="s">
        <v>355</v>
      </c>
      <c r="N101" s="3" t="s">
        <v>56</v>
      </c>
      <c r="O101" s="3"/>
      <c r="Q101" s="3"/>
      <c r="R101" s="3"/>
      <c r="Y101" s="4" t="s">
        <v>344</v>
      </c>
      <c r="Z101" s="4" t="s">
        <v>344</v>
      </c>
      <c r="AA101" s="4" t="s">
        <v>356</v>
      </c>
      <c r="AB101" s="3" t="s">
        <v>357</v>
      </c>
      <c r="AC101" s="3" t="s">
        <v>358</v>
      </c>
      <c r="AD101" s="3" t="s">
        <v>359</v>
      </c>
      <c r="AE101" s="3">
        <v>1000</v>
      </c>
      <c r="AI101" s="4" t="s">
        <v>345</v>
      </c>
      <c r="AJ101" s="4" t="s">
        <v>345</v>
      </c>
      <c r="AK101" s="3"/>
      <c r="AL101" s="4">
        <v>49932</v>
      </c>
      <c r="AM101" s="5">
        <v>16000</v>
      </c>
      <c r="AN101" s="4" t="s">
        <v>124</v>
      </c>
      <c r="AO101" s="4">
        <v>99</v>
      </c>
      <c r="AP101" s="4">
        <v>80141500</v>
      </c>
    </row>
    <row r="102" spans="1:42" s="4" customFormat="1" x14ac:dyDescent="0.25">
      <c r="A102" s="3">
        <v>4604981</v>
      </c>
      <c r="B102" s="28">
        <v>42107</v>
      </c>
      <c r="C102" s="3" t="s">
        <v>1278</v>
      </c>
      <c r="D102" s="3">
        <v>10004810</v>
      </c>
      <c r="E102" s="4">
        <v>4534332</v>
      </c>
      <c r="F102" s="3" t="s">
        <v>49</v>
      </c>
      <c r="G102" s="4" t="s">
        <v>1982</v>
      </c>
      <c r="H102" s="4" t="s">
        <v>1983</v>
      </c>
      <c r="I102" s="5">
        <v>24552</v>
      </c>
      <c r="J102" s="3" t="s">
        <v>500</v>
      </c>
      <c r="K102" s="3" t="s">
        <v>77</v>
      </c>
      <c r="L102" s="3" t="s">
        <v>196</v>
      </c>
      <c r="M102" s="4" t="s">
        <v>1983</v>
      </c>
      <c r="N102" s="3" t="s">
        <v>25</v>
      </c>
      <c r="O102" s="3"/>
      <c r="Q102" s="3"/>
      <c r="R102" s="3"/>
      <c r="Y102" s="4" t="s">
        <v>1984</v>
      </c>
      <c r="Z102" s="4" t="s">
        <v>1984</v>
      </c>
      <c r="AB102" s="3"/>
      <c r="AC102" s="3"/>
      <c r="AD102" s="3" t="s">
        <v>1980</v>
      </c>
      <c r="AE102" s="3">
        <v>1000</v>
      </c>
      <c r="AI102" s="4" t="s">
        <v>1985</v>
      </c>
      <c r="AJ102" s="4" t="s">
        <v>1985</v>
      </c>
      <c r="AK102" s="3"/>
      <c r="AL102" s="4">
        <v>141737</v>
      </c>
      <c r="AM102" s="5">
        <v>24552</v>
      </c>
      <c r="AN102" s="4" t="s">
        <v>124</v>
      </c>
      <c r="AO102" s="4">
        <v>99</v>
      </c>
      <c r="AP102" s="4">
        <v>80110000</v>
      </c>
    </row>
    <row r="103" spans="1:42" s="4" customFormat="1" x14ac:dyDescent="0.25">
      <c r="A103" s="3">
        <v>4604991</v>
      </c>
      <c r="B103" s="28">
        <v>42157</v>
      </c>
      <c r="C103" s="3" t="s">
        <v>288</v>
      </c>
      <c r="D103" s="3">
        <v>10004819</v>
      </c>
      <c r="E103" s="4">
        <v>4534342</v>
      </c>
      <c r="F103" s="3" t="s">
        <v>49</v>
      </c>
      <c r="G103" s="4" t="s">
        <v>366</v>
      </c>
      <c r="H103" s="4" t="s">
        <v>367</v>
      </c>
      <c r="I103" s="5">
        <v>19800</v>
      </c>
      <c r="J103" s="3" t="s">
        <v>365</v>
      </c>
      <c r="K103" s="3" t="s">
        <v>77</v>
      </c>
      <c r="L103" s="3" t="s">
        <v>196</v>
      </c>
      <c r="M103" s="4" t="s">
        <v>367</v>
      </c>
      <c r="N103" s="3" t="s">
        <v>25</v>
      </c>
      <c r="O103" s="3"/>
      <c r="Q103" s="3"/>
      <c r="R103" s="3"/>
      <c r="Y103" s="4" t="s">
        <v>368</v>
      </c>
      <c r="Z103" s="4" t="s">
        <v>368</v>
      </c>
      <c r="AB103" s="3"/>
      <c r="AC103" s="3"/>
      <c r="AD103" s="3" t="s">
        <v>369</v>
      </c>
      <c r="AE103" s="3">
        <v>5000</v>
      </c>
      <c r="AI103" s="4" t="s">
        <v>370</v>
      </c>
      <c r="AJ103" s="4" t="s">
        <v>370</v>
      </c>
      <c r="AK103" s="3"/>
      <c r="AL103" s="4">
        <v>48623</v>
      </c>
      <c r="AM103" s="5">
        <v>19800</v>
      </c>
      <c r="AN103" s="4" t="s">
        <v>31</v>
      </c>
      <c r="AO103" s="4">
        <v>99</v>
      </c>
      <c r="AP103" s="4">
        <v>80140000</v>
      </c>
    </row>
    <row r="104" spans="1:42" s="4" customFormat="1" x14ac:dyDescent="0.25">
      <c r="A104" s="3">
        <v>4604992</v>
      </c>
      <c r="B104" s="28">
        <v>42159</v>
      </c>
      <c r="C104" s="3" t="s">
        <v>392</v>
      </c>
      <c r="D104" s="3">
        <v>10004817</v>
      </c>
      <c r="E104" s="4">
        <v>4534343</v>
      </c>
      <c r="F104" s="3" t="s">
        <v>49</v>
      </c>
      <c r="G104" s="4" t="s">
        <v>463</v>
      </c>
      <c r="H104" s="4" t="s">
        <v>533</v>
      </c>
      <c r="I104" s="5">
        <v>16755.75</v>
      </c>
      <c r="J104" s="3" t="s">
        <v>317</v>
      </c>
      <c r="K104" s="3" t="s">
        <v>407</v>
      </c>
      <c r="L104" s="3" t="s">
        <v>196</v>
      </c>
      <c r="M104" s="4" t="s">
        <v>533</v>
      </c>
      <c r="N104" s="3" t="s">
        <v>25</v>
      </c>
      <c r="O104" s="3"/>
      <c r="Q104" s="3"/>
      <c r="R104" s="3"/>
      <c r="Y104" s="4" t="s">
        <v>466</v>
      </c>
      <c r="Z104" s="4" t="s">
        <v>466</v>
      </c>
      <c r="AB104" s="3"/>
      <c r="AC104" s="3"/>
      <c r="AD104" s="3" t="s">
        <v>534</v>
      </c>
      <c r="AE104" s="3">
        <v>1000</v>
      </c>
      <c r="AI104" s="4" t="s">
        <v>468</v>
      </c>
      <c r="AJ104" s="4" t="s">
        <v>468</v>
      </c>
      <c r="AK104" s="3"/>
      <c r="AL104" s="4">
        <v>141859</v>
      </c>
      <c r="AM104" s="5">
        <v>16755.75</v>
      </c>
      <c r="AN104" s="4" t="s">
        <v>124</v>
      </c>
      <c r="AO104" s="4">
        <v>99</v>
      </c>
      <c r="AP104" s="4">
        <v>43230000</v>
      </c>
    </row>
    <row r="105" spans="1:42" s="4" customFormat="1" x14ac:dyDescent="0.25">
      <c r="A105" s="3">
        <v>4604994</v>
      </c>
      <c r="B105" s="28">
        <v>42159</v>
      </c>
      <c r="C105" s="3" t="s">
        <v>1278</v>
      </c>
      <c r="D105" s="3">
        <v>10004829</v>
      </c>
      <c r="E105" s="4">
        <v>4534345</v>
      </c>
      <c r="F105" s="3" t="s">
        <v>49</v>
      </c>
      <c r="G105" s="4" t="s">
        <v>2004</v>
      </c>
      <c r="H105" s="4" t="s">
        <v>2005</v>
      </c>
      <c r="I105" s="5">
        <v>17600</v>
      </c>
      <c r="J105" s="3" t="s">
        <v>532</v>
      </c>
      <c r="K105" s="3" t="s">
        <v>77</v>
      </c>
      <c r="L105" s="3" t="s">
        <v>196</v>
      </c>
      <c r="M105" s="4" t="s">
        <v>2005</v>
      </c>
      <c r="N105" s="3" t="s">
        <v>25</v>
      </c>
      <c r="O105" s="3"/>
      <c r="Q105" s="3"/>
      <c r="R105" s="3"/>
      <c r="Y105" s="4" t="s">
        <v>1959</v>
      </c>
      <c r="Z105" s="4" t="s">
        <v>1959</v>
      </c>
      <c r="AB105" s="3"/>
      <c r="AC105" s="3"/>
      <c r="AD105" s="3" t="s">
        <v>532</v>
      </c>
      <c r="AE105" s="3">
        <v>1000</v>
      </c>
      <c r="AI105" s="4" t="s">
        <v>1960</v>
      </c>
      <c r="AJ105" s="4" t="s">
        <v>1960</v>
      </c>
      <c r="AK105" s="3"/>
      <c r="AL105" s="4">
        <v>141905</v>
      </c>
      <c r="AM105" s="5">
        <v>17600</v>
      </c>
      <c r="AN105" s="4" t="s">
        <v>124</v>
      </c>
      <c r="AO105" s="4">
        <v>99</v>
      </c>
      <c r="AP105" s="4">
        <v>80101507</v>
      </c>
    </row>
    <row r="106" spans="1:42" s="4" customFormat="1" x14ac:dyDescent="0.25">
      <c r="A106" s="3">
        <v>4605001</v>
      </c>
      <c r="B106" s="28">
        <v>42156</v>
      </c>
      <c r="C106" s="3" t="s">
        <v>1278</v>
      </c>
      <c r="D106" s="3">
        <v>10004778</v>
      </c>
      <c r="E106" s="4">
        <v>4534352</v>
      </c>
      <c r="F106" s="3" t="s">
        <v>49</v>
      </c>
      <c r="G106" s="4" t="s">
        <v>1686</v>
      </c>
      <c r="H106" s="4" t="s">
        <v>2007</v>
      </c>
      <c r="I106" s="5">
        <v>11385</v>
      </c>
      <c r="J106" s="3" t="s">
        <v>377</v>
      </c>
      <c r="K106" s="3" t="s">
        <v>77</v>
      </c>
      <c r="L106" s="3" t="s">
        <v>196</v>
      </c>
      <c r="M106" s="4" t="s">
        <v>2007</v>
      </c>
      <c r="N106" s="3" t="s">
        <v>25</v>
      </c>
      <c r="O106" s="3"/>
      <c r="Q106" s="3"/>
      <c r="R106" s="3"/>
      <c r="Y106" s="4" t="s">
        <v>1959</v>
      </c>
      <c r="Z106" s="4" t="s">
        <v>1959</v>
      </c>
      <c r="AB106" s="3"/>
      <c r="AC106" s="3"/>
      <c r="AD106" s="3" t="s">
        <v>369</v>
      </c>
      <c r="AE106" s="3">
        <v>1000</v>
      </c>
      <c r="AI106" s="4" t="s">
        <v>1960</v>
      </c>
      <c r="AJ106" s="4" t="s">
        <v>1960</v>
      </c>
      <c r="AK106" s="3"/>
      <c r="AL106" s="4">
        <v>140652</v>
      </c>
      <c r="AM106" s="5">
        <v>11385</v>
      </c>
      <c r="AN106" s="4" t="s">
        <v>124</v>
      </c>
      <c r="AO106" s="4">
        <v>99</v>
      </c>
      <c r="AP106" s="4">
        <v>80111700</v>
      </c>
    </row>
    <row r="107" spans="1:42" s="4" customFormat="1" x14ac:dyDescent="0.25">
      <c r="A107" s="3">
        <v>4605003</v>
      </c>
      <c r="B107" s="28">
        <v>42156</v>
      </c>
      <c r="C107" s="3" t="s">
        <v>288</v>
      </c>
      <c r="D107" s="3">
        <v>10004854</v>
      </c>
      <c r="E107" s="4">
        <v>4534354</v>
      </c>
      <c r="F107" s="3" t="s">
        <v>49</v>
      </c>
      <c r="G107" s="4" t="s">
        <v>336</v>
      </c>
      <c r="H107" s="4" t="s">
        <v>378</v>
      </c>
      <c r="I107" s="5">
        <v>19564.11</v>
      </c>
      <c r="J107" s="3" t="s">
        <v>377</v>
      </c>
      <c r="K107" s="3" t="s">
        <v>77</v>
      </c>
      <c r="L107" s="3" t="s">
        <v>196</v>
      </c>
      <c r="M107" s="4" t="s">
        <v>378</v>
      </c>
      <c r="N107" s="3" t="s">
        <v>25</v>
      </c>
      <c r="O107" s="3"/>
      <c r="Q107" s="3"/>
      <c r="R107" s="3"/>
      <c r="Y107" s="4" t="s">
        <v>379</v>
      </c>
      <c r="Z107" s="4" t="s">
        <v>379</v>
      </c>
      <c r="AB107" s="3"/>
      <c r="AC107" s="3"/>
      <c r="AD107" s="3" t="s">
        <v>380</v>
      </c>
      <c r="AE107" s="3">
        <v>1000</v>
      </c>
      <c r="AI107" s="4" t="s">
        <v>381</v>
      </c>
      <c r="AJ107" s="4" t="s">
        <v>381</v>
      </c>
      <c r="AK107" s="3"/>
      <c r="AL107" s="4">
        <v>141787</v>
      </c>
      <c r="AM107" s="5">
        <v>19564.11</v>
      </c>
      <c r="AN107" s="4" t="s">
        <v>124</v>
      </c>
      <c r="AO107" s="4">
        <v>99</v>
      </c>
      <c r="AP107" s="4">
        <v>82100000</v>
      </c>
    </row>
    <row r="108" spans="1:42" s="4" customFormat="1" x14ac:dyDescent="0.25">
      <c r="A108" s="3">
        <v>4605006</v>
      </c>
      <c r="B108" s="28">
        <v>42166</v>
      </c>
      <c r="C108" s="3" t="s">
        <v>1278</v>
      </c>
      <c r="D108" s="3">
        <v>10004830</v>
      </c>
      <c r="E108" s="4">
        <v>4534357</v>
      </c>
      <c r="F108" s="3" t="s">
        <v>49</v>
      </c>
      <c r="G108" s="4" t="s">
        <v>1053</v>
      </c>
      <c r="H108" s="4" t="s">
        <v>2012</v>
      </c>
      <c r="I108" s="5">
        <v>13630.1</v>
      </c>
      <c r="J108" s="3" t="s">
        <v>529</v>
      </c>
      <c r="K108" s="3" t="s">
        <v>77</v>
      </c>
      <c r="L108" s="3" t="s">
        <v>119</v>
      </c>
      <c r="M108" s="4" t="s">
        <v>2013</v>
      </c>
      <c r="N108" s="3" t="s">
        <v>56</v>
      </c>
      <c r="O108" s="3"/>
      <c r="Q108" s="3"/>
      <c r="R108" s="3"/>
      <c r="Y108" s="4" t="s">
        <v>1056</v>
      </c>
      <c r="Z108" s="4" t="s">
        <v>1056</v>
      </c>
      <c r="AA108" s="4" t="s">
        <v>1057</v>
      </c>
      <c r="AB108" s="3" t="s">
        <v>1057</v>
      </c>
      <c r="AC108" s="3" t="s">
        <v>1340</v>
      </c>
      <c r="AD108" s="3" t="s">
        <v>474</v>
      </c>
      <c r="AE108" s="3">
        <v>1000</v>
      </c>
      <c r="AI108" s="4" t="s">
        <v>1058</v>
      </c>
      <c r="AJ108" s="4" t="s">
        <v>1058</v>
      </c>
      <c r="AK108" s="3"/>
      <c r="AL108" s="4">
        <v>140248</v>
      </c>
      <c r="AM108" s="5">
        <v>13630.1</v>
      </c>
      <c r="AN108" s="4" t="s">
        <v>124</v>
      </c>
      <c r="AO108" s="4">
        <v>99</v>
      </c>
      <c r="AP108" s="4">
        <v>43230000</v>
      </c>
    </row>
    <row r="109" spans="1:42" s="4" customFormat="1" x14ac:dyDescent="0.25">
      <c r="A109" s="3">
        <v>4605009</v>
      </c>
      <c r="B109" s="28">
        <v>42159</v>
      </c>
      <c r="C109" s="3" t="s">
        <v>1278</v>
      </c>
      <c r="D109" s="3">
        <v>10004833</v>
      </c>
      <c r="E109" s="4">
        <v>4534360</v>
      </c>
      <c r="F109" s="3" t="s">
        <v>49</v>
      </c>
      <c r="G109" s="4" t="s">
        <v>388</v>
      </c>
      <c r="H109" s="4" t="s">
        <v>1929</v>
      </c>
      <c r="I109" s="5">
        <v>16016.01</v>
      </c>
      <c r="J109" s="3" t="s">
        <v>532</v>
      </c>
      <c r="K109" s="3" t="s">
        <v>77</v>
      </c>
      <c r="L109" s="3" t="s">
        <v>196</v>
      </c>
      <c r="M109" s="4" t="s">
        <v>1929</v>
      </c>
      <c r="N109" s="3" t="s">
        <v>25</v>
      </c>
      <c r="O109" s="3"/>
      <c r="Q109" s="3"/>
      <c r="R109" s="3"/>
      <c r="Y109" s="4" t="s">
        <v>1959</v>
      </c>
      <c r="Z109" s="4" t="s">
        <v>1959</v>
      </c>
      <c r="AB109" s="3"/>
      <c r="AC109" s="3"/>
      <c r="AD109" s="3" t="s">
        <v>351</v>
      </c>
      <c r="AE109" s="3">
        <v>1000</v>
      </c>
      <c r="AI109" s="4" t="s">
        <v>1960</v>
      </c>
      <c r="AJ109" s="4" t="s">
        <v>1960</v>
      </c>
      <c r="AK109" s="3"/>
      <c r="AL109" s="4">
        <v>141826</v>
      </c>
      <c r="AM109" s="5">
        <v>16016.01</v>
      </c>
      <c r="AN109" s="4" t="s">
        <v>124</v>
      </c>
      <c r="AO109" s="4">
        <v>99</v>
      </c>
      <c r="AP109" s="4">
        <v>43230000</v>
      </c>
    </row>
    <row r="110" spans="1:42" s="4" customFormat="1" x14ac:dyDescent="0.25">
      <c r="A110" s="3">
        <v>4605023</v>
      </c>
      <c r="B110" s="28">
        <v>42167</v>
      </c>
      <c r="C110" s="3" t="s">
        <v>1278</v>
      </c>
      <c r="D110" s="3">
        <v>10004869</v>
      </c>
      <c r="E110" s="4">
        <v>4534374</v>
      </c>
      <c r="F110" s="3" t="s">
        <v>49</v>
      </c>
      <c r="G110" s="4" t="s">
        <v>1918</v>
      </c>
      <c r="H110" s="4" t="s">
        <v>2027</v>
      </c>
      <c r="I110" s="5">
        <v>21560</v>
      </c>
      <c r="J110" s="3" t="s">
        <v>485</v>
      </c>
      <c r="K110" s="3" t="s">
        <v>77</v>
      </c>
      <c r="L110" s="3" t="s">
        <v>196</v>
      </c>
      <c r="M110" s="4" t="s">
        <v>2027</v>
      </c>
      <c r="N110" s="3" t="s">
        <v>25</v>
      </c>
      <c r="O110" s="3"/>
      <c r="Q110" s="3"/>
      <c r="R110" s="3"/>
      <c r="Y110" s="4" t="s">
        <v>2028</v>
      </c>
      <c r="Z110" s="4" t="s">
        <v>1176</v>
      </c>
      <c r="AB110" s="3"/>
      <c r="AC110" s="3"/>
      <c r="AD110" s="3" t="s">
        <v>385</v>
      </c>
      <c r="AE110" s="3">
        <v>1000</v>
      </c>
      <c r="AI110" s="4" t="s">
        <v>2029</v>
      </c>
      <c r="AJ110" s="4" t="s">
        <v>1178</v>
      </c>
      <c r="AK110" s="3"/>
      <c r="AL110" s="4">
        <v>141891</v>
      </c>
      <c r="AM110" s="5">
        <v>21560</v>
      </c>
      <c r="AN110" s="4" t="s">
        <v>124</v>
      </c>
      <c r="AO110" s="4">
        <v>99</v>
      </c>
      <c r="AP110" s="4">
        <v>80101504</v>
      </c>
    </row>
    <row r="111" spans="1:42" s="4" customFormat="1" x14ac:dyDescent="0.25">
      <c r="A111" s="3">
        <v>4605031</v>
      </c>
      <c r="B111" s="28">
        <v>42177</v>
      </c>
      <c r="C111" s="3" t="s">
        <v>1278</v>
      </c>
      <c r="D111" s="3">
        <v>10004852</v>
      </c>
      <c r="E111" s="4">
        <v>4534382</v>
      </c>
      <c r="F111" s="3" t="s">
        <v>49</v>
      </c>
      <c r="G111" s="4" t="s">
        <v>2038</v>
      </c>
      <c r="H111" s="4" t="s">
        <v>2039</v>
      </c>
      <c r="I111" s="5">
        <v>16185.71</v>
      </c>
      <c r="J111" s="3" t="s">
        <v>1491</v>
      </c>
      <c r="K111" s="3" t="s">
        <v>77</v>
      </c>
      <c r="L111" s="3" t="s">
        <v>196</v>
      </c>
      <c r="M111" s="4" t="s">
        <v>2040</v>
      </c>
      <c r="N111" s="3" t="s">
        <v>25</v>
      </c>
      <c r="O111" s="3"/>
      <c r="Q111" s="3"/>
      <c r="R111" s="3"/>
      <c r="Y111" s="4" t="s">
        <v>1068</v>
      </c>
      <c r="Z111" s="4" t="s">
        <v>1090</v>
      </c>
      <c r="AB111" s="3"/>
      <c r="AC111" s="3"/>
      <c r="AD111" s="3" t="s">
        <v>1159</v>
      </c>
      <c r="AE111" s="3">
        <v>1000</v>
      </c>
      <c r="AI111" s="4" t="s">
        <v>1071</v>
      </c>
      <c r="AJ111" s="4" t="s">
        <v>1091</v>
      </c>
      <c r="AK111" s="3"/>
      <c r="AL111" s="4">
        <v>141916</v>
      </c>
      <c r="AM111" s="5">
        <v>16185.71</v>
      </c>
      <c r="AN111" s="4" t="s">
        <v>124</v>
      </c>
      <c r="AO111" s="4">
        <v>99</v>
      </c>
      <c r="AP111" s="4">
        <v>47120000</v>
      </c>
    </row>
    <row r="112" spans="1:42" s="4" customFormat="1" x14ac:dyDescent="0.25">
      <c r="A112" s="3">
        <v>4605032</v>
      </c>
      <c r="B112" s="28">
        <v>42171</v>
      </c>
      <c r="C112" s="3" t="s">
        <v>1278</v>
      </c>
      <c r="D112" s="3">
        <v>10004887</v>
      </c>
      <c r="E112" s="4">
        <v>4534383</v>
      </c>
      <c r="F112" s="3" t="s">
        <v>49</v>
      </c>
      <c r="G112" s="4" t="s">
        <v>1657</v>
      </c>
      <c r="H112" s="4" t="s">
        <v>2041</v>
      </c>
      <c r="I112" s="5">
        <v>11660</v>
      </c>
      <c r="J112" s="3" t="s">
        <v>317</v>
      </c>
      <c r="K112" s="3" t="s">
        <v>77</v>
      </c>
      <c r="L112" s="3" t="s">
        <v>196</v>
      </c>
      <c r="M112" s="4" t="s">
        <v>2041</v>
      </c>
      <c r="N112" s="3" t="s">
        <v>25</v>
      </c>
      <c r="O112" s="3"/>
      <c r="Q112" s="3"/>
      <c r="R112" s="3"/>
      <c r="Y112" s="4" t="s">
        <v>2042</v>
      </c>
      <c r="Z112" s="4" t="s">
        <v>2042</v>
      </c>
      <c r="AB112" s="3"/>
      <c r="AC112" s="3"/>
      <c r="AD112" s="3" t="s">
        <v>351</v>
      </c>
      <c r="AE112" s="3">
        <v>1000</v>
      </c>
      <c r="AI112" s="4" t="s">
        <v>2043</v>
      </c>
      <c r="AJ112" s="4" t="s">
        <v>2043</v>
      </c>
      <c r="AK112" s="3"/>
      <c r="AL112" s="4">
        <v>47407</v>
      </c>
      <c r="AM112" s="5">
        <v>11660</v>
      </c>
      <c r="AN112" s="4" t="s">
        <v>124</v>
      </c>
      <c r="AO112" s="4">
        <v>99</v>
      </c>
      <c r="AP112" s="4">
        <v>56101700</v>
      </c>
    </row>
    <row r="113" spans="1:42" s="4" customFormat="1" x14ac:dyDescent="0.25">
      <c r="A113" s="3">
        <v>4605033</v>
      </c>
      <c r="B113" s="28">
        <v>42173</v>
      </c>
      <c r="C113" s="3" t="s">
        <v>2093</v>
      </c>
      <c r="D113" s="3">
        <v>10004864</v>
      </c>
      <c r="E113" s="4">
        <v>4534384</v>
      </c>
      <c r="F113" s="3" t="s">
        <v>49</v>
      </c>
      <c r="G113" s="4" t="s">
        <v>572</v>
      </c>
      <c r="H113" s="4" t="s">
        <v>2139</v>
      </c>
      <c r="I113" s="5">
        <v>11000</v>
      </c>
      <c r="J113" s="3" t="s">
        <v>485</v>
      </c>
      <c r="K113" s="3" t="s">
        <v>2140</v>
      </c>
      <c r="L113" s="3" t="s">
        <v>196</v>
      </c>
      <c r="M113" s="4" t="s">
        <v>2139</v>
      </c>
      <c r="N113" s="3" t="s">
        <v>25</v>
      </c>
      <c r="O113" s="3"/>
      <c r="Q113" s="3"/>
      <c r="R113" s="3"/>
      <c r="Y113" s="4" t="s">
        <v>112</v>
      </c>
      <c r="Z113" s="4" t="s">
        <v>112</v>
      </c>
      <c r="AB113" s="3"/>
      <c r="AC113" s="3"/>
      <c r="AD113" s="3" t="s">
        <v>369</v>
      </c>
      <c r="AE113" s="3">
        <v>1000</v>
      </c>
      <c r="AI113" s="4" t="s">
        <v>115</v>
      </c>
      <c r="AJ113" s="4" t="s">
        <v>115</v>
      </c>
      <c r="AK113" s="3"/>
      <c r="AL113" s="4">
        <v>45868</v>
      </c>
      <c r="AM113" s="5">
        <v>11000</v>
      </c>
      <c r="AN113" s="4" t="s">
        <v>124</v>
      </c>
      <c r="AO113" s="4">
        <v>99</v>
      </c>
      <c r="AP113" s="4">
        <v>80101505</v>
      </c>
    </row>
    <row r="114" spans="1:42" s="4" customFormat="1" x14ac:dyDescent="0.25">
      <c r="A114" s="3">
        <v>4605036</v>
      </c>
      <c r="B114" s="28">
        <v>42185</v>
      </c>
      <c r="C114" s="3" t="s">
        <v>2093</v>
      </c>
      <c r="D114" s="3">
        <v>10004890</v>
      </c>
      <c r="E114" s="4">
        <v>4534387</v>
      </c>
      <c r="F114" s="3" t="s">
        <v>49</v>
      </c>
      <c r="G114" s="4" t="s">
        <v>2141</v>
      </c>
      <c r="H114" s="4" t="s">
        <v>2142</v>
      </c>
      <c r="I114" s="5">
        <v>20000</v>
      </c>
      <c r="J114" s="3" t="s">
        <v>485</v>
      </c>
      <c r="K114" s="3" t="s">
        <v>77</v>
      </c>
      <c r="L114" s="3" t="s">
        <v>196</v>
      </c>
      <c r="M114" s="4" t="s">
        <v>2142</v>
      </c>
      <c r="N114" s="3" t="s">
        <v>25</v>
      </c>
      <c r="O114" s="3"/>
      <c r="Q114" s="3"/>
      <c r="R114" s="3"/>
      <c r="Y114" s="4" t="s">
        <v>1616</v>
      </c>
      <c r="Z114" s="4" t="s">
        <v>1616</v>
      </c>
      <c r="AA114" s="4" t="s">
        <v>2143</v>
      </c>
      <c r="AB114" s="3"/>
      <c r="AC114" s="3"/>
      <c r="AD114" s="3" t="s">
        <v>351</v>
      </c>
      <c r="AE114" s="3">
        <v>1000</v>
      </c>
      <c r="AI114" s="4" t="s">
        <v>1617</v>
      </c>
      <c r="AJ114" s="4" t="s">
        <v>1617</v>
      </c>
      <c r="AK114" s="3"/>
      <c r="AL114" s="4">
        <v>30218</v>
      </c>
      <c r="AM114" s="5">
        <v>20000</v>
      </c>
      <c r="AN114" s="4" t="s">
        <v>124</v>
      </c>
      <c r="AO114" s="4">
        <v>99</v>
      </c>
      <c r="AP114" s="4">
        <v>80101706</v>
      </c>
    </row>
    <row r="115" spans="1:42" s="4" customFormat="1" x14ac:dyDescent="0.25">
      <c r="A115" s="3">
        <v>4605038</v>
      </c>
      <c r="B115" s="28">
        <v>42178</v>
      </c>
      <c r="C115" s="3" t="s">
        <v>1278</v>
      </c>
      <c r="D115" s="3">
        <v>10004886</v>
      </c>
      <c r="E115" s="4">
        <v>4534389</v>
      </c>
      <c r="F115" s="3" t="s">
        <v>49</v>
      </c>
      <c r="G115" s="4" t="s">
        <v>2048</v>
      </c>
      <c r="H115" s="4" t="s">
        <v>2049</v>
      </c>
      <c r="I115" s="5">
        <v>20679.3</v>
      </c>
      <c r="J115" s="3" t="s">
        <v>351</v>
      </c>
      <c r="K115" s="3" t="s">
        <v>77</v>
      </c>
      <c r="L115" s="3" t="s">
        <v>196</v>
      </c>
      <c r="M115" s="4" t="s">
        <v>2049</v>
      </c>
      <c r="N115" s="3" t="s">
        <v>25</v>
      </c>
      <c r="O115" s="3"/>
      <c r="Q115" s="3"/>
      <c r="R115" s="3"/>
      <c r="Y115" s="4" t="s">
        <v>1959</v>
      </c>
      <c r="Z115" s="4" t="s">
        <v>1959</v>
      </c>
      <c r="AB115" s="3"/>
      <c r="AC115" s="3"/>
      <c r="AD115" s="3" t="s">
        <v>351</v>
      </c>
      <c r="AE115" s="3">
        <v>1000</v>
      </c>
      <c r="AI115" s="4" t="s">
        <v>1960</v>
      </c>
      <c r="AJ115" s="4" t="s">
        <v>1960</v>
      </c>
      <c r="AK115" s="3"/>
      <c r="AL115" s="4">
        <v>48912</v>
      </c>
      <c r="AM115" s="5">
        <v>20679.3</v>
      </c>
      <c r="AN115" s="4" t="s">
        <v>124</v>
      </c>
      <c r="AO115" s="4">
        <v>99</v>
      </c>
      <c r="AP115" s="4">
        <v>52161500</v>
      </c>
    </row>
    <row r="116" spans="1:42" s="4" customFormat="1" x14ac:dyDescent="0.25">
      <c r="A116" s="3">
        <v>4605039</v>
      </c>
      <c r="B116" s="28">
        <v>42179</v>
      </c>
      <c r="C116" s="3" t="s">
        <v>1278</v>
      </c>
      <c r="D116" s="3">
        <v>10004888</v>
      </c>
      <c r="E116" s="4">
        <v>4534390</v>
      </c>
      <c r="F116" s="3" t="s">
        <v>49</v>
      </c>
      <c r="G116" s="4" t="s">
        <v>1053</v>
      </c>
      <c r="H116" s="4" t="s">
        <v>2050</v>
      </c>
      <c r="I116" s="5">
        <v>13755.72</v>
      </c>
      <c r="J116" s="3" t="s">
        <v>369</v>
      </c>
      <c r="K116" s="3" t="s">
        <v>374</v>
      </c>
      <c r="L116" s="3" t="s">
        <v>119</v>
      </c>
      <c r="M116" s="4" t="s">
        <v>2051</v>
      </c>
      <c r="N116" s="3" t="s">
        <v>56</v>
      </c>
      <c r="O116" s="3"/>
      <c r="Q116" s="3"/>
      <c r="R116" s="3"/>
      <c r="Y116" s="4" t="s">
        <v>1056</v>
      </c>
      <c r="Z116" s="4" t="s">
        <v>1056</v>
      </c>
      <c r="AA116" s="4" t="s">
        <v>1057</v>
      </c>
      <c r="AB116" s="3" t="s">
        <v>1057</v>
      </c>
      <c r="AC116" s="3" t="s">
        <v>1340</v>
      </c>
      <c r="AD116" s="3" t="s">
        <v>369</v>
      </c>
      <c r="AE116" s="3">
        <v>1000</v>
      </c>
      <c r="AI116" s="4" t="s">
        <v>1058</v>
      </c>
      <c r="AJ116" s="4" t="s">
        <v>1058</v>
      </c>
      <c r="AK116" s="3"/>
      <c r="AL116" s="4">
        <v>140248</v>
      </c>
      <c r="AM116" s="5">
        <v>13755.72</v>
      </c>
      <c r="AN116" s="4" t="s">
        <v>124</v>
      </c>
      <c r="AO116" s="4">
        <v>99</v>
      </c>
      <c r="AP116" s="4">
        <v>43222500</v>
      </c>
    </row>
    <row r="117" spans="1:42" s="4" customFormat="1" x14ac:dyDescent="0.25">
      <c r="A117" s="3">
        <v>4605067</v>
      </c>
      <c r="B117" s="28">
        <v>42184</v>
      </c>
      <c r="C117" s="3" t="s">
        <v>1278</v>
      </c>
      <c r="D117" s="3">
        <v>10004923</v>
      </c>
      <c r="E117" s="4">
        <v>4534418</v>
      </c>
      <c r="F117" s="3" t="s">
        <v>49</v>
      </c>
      <c r="G117" s="4" t="s">
        <v>2065</v>
      </c>
      <c r="H117" s="4" t="s">
        <v>2066</v>
      </c>
      <c r="I117" s="5">
        <v>12705</v>
      </c>
      <c r="J117" s="3" t="s">
        <v>287</v>
      </c>
      <c r="K117" s="3" t="s">
        <v>287</v>
      </c>
      <c r="L117" s="3" t="s">
        <v>196</v>
      </c>
      <c r="M117" s="4" t="s">
        <v>2066</v>
      </c>
      <c r="N117" s="3" t="s">
        <v>25</v>
      </c>
      <c r="O117" s="3"/>
      <c r="Q117" s="3"/>
      <c r="R117" s="3"/>
      <c r="Y117" s="4" t="s">
        <v>267</v>
      </c>
      <c r="Z117" s="4" t="s">
        <v>267</v>
      </c>
      <c r="AB117" s="3"/>
      <c r="AC117" s="3"/>
      <c r="AD117" s="3" t="s">
        <v>287</v>
      </c>
      <c r="AE117" s="3">
        <v>1000</v>
      </c>
      <c r="AI117" s="4" t="s">
        <v>270</v>
      </c>
      <c r="AJ117" s="4" t="s">
        <v>270</v>
      </c>
      <c r="AK117" s="3"/>
      <c r="AL117" s="4">
        <v>140126</v>
      </c>
      <c r="AM117" s="5">
        <v>12705</v>
      </c>
      <c r="AN117" s="4" t="s">
        <v>124</v>
      </c>
      <c r="AO117" s="4">
        <v>99</v>
      </c>
      <c r="AP117" s="4">
        <v>80110000</v>
      </c>
    </row>
    <row r="118" spans="1:42" s="4" customFormat="1" x14ac:dyDescent="0.25">
      <c r="A118" s="3">
        <v>4605070</v>
      </c>
      <c r="B118" s="28">
        <v>42185</v>
      </c>
      <c r="C118" s="3" t="s">
        <v>1278</v>
      </c>
      <c r="D118" s="3">
        <v>10004928</v>
      </c>
      <c r="E118" s="4">
        <v>4534421</v>
      </c>
      <c r="F118" s="3" t="s">
        <v>49</v>
      </c>
      <c r="G118" s="4" t="s">
        <v>336</v>
      </c>
      <c r="H118" s="4" t="s">
        <v>2067</v>
      </c>
      <c r="I118" s="5">
        <v>19834.87</v>
      </c>
      <c r="J118" s="3" t="s">
        <v>77</v>
      </c>
      <c r="K118" s="3" t="s">
        <v>77</v>
      </c>
      <c r="L118" s="3" t="s">
        <v>119</v>
      </c>
      <c r="M118" s="4" t="s">
        <v>2067</v>
      </c>
      <c r="N118" s="3" t="s">
        <v>56</v>
      </c>
      <c r="O118" s="3"/>
      <c r="Q118" s="3"/>
      <c r="R118" s="3"/>
      <c r="Y118" s="4" t="s">
        <v>267</v>
      </c>
      <c r="Z118" s="4" t="s">
        <v>267</v>
      </c>
      <c r="AA118" s="4" t="s">
        <v>2068</v>
      </c>
      <c r="AB118" s="3" t="s">
        <v>2068</v>
      </c>
      <c r="AC118" s="3" t="s">
        <v>2069</v>
      </c>
      <c r="AD118" s="3" t="s">
        <v>77</v>
      </c>
      <c r="AE118" s="3">
        <v>1000</v>
      </c>
      <c r="AI118" s="4" t="s">
        <v>270</v>
      </c>
      <c r="AJ118" s="4" t="s">
        <v>270</v>
      </c>
      <c r="AK118" s="3"/>
      <c r="AL118" s="4">
        <v>141787</v>
      </c>
      <c r="AM118" s="5">
        <v>19834.87</v>
      </c>
      <c r="AN118" s="4" t="s">
        <v>124</v>
      </c>
      <c r="AO118" s="4">
        <v>99</v>
      </c>
      <c r="AP118" s="4">
        <v>82121505</v>
      </c>
    </row>
    <row r="119" spans="1:42" s="4" customFormat="1" x14ac:dyDescent="0.25">
      <c r="A119" s="3">
        <v>4604973</v>
      </c>
      <c r="B119" s="28">
        <v>42108</v>
      </c>
      <c r="C119" s="3" t="s">
        <v>2158</v>
      </c>
      <c r="D119" s="3">
        <v>10004803</v>
      </c>
      <c r="E119" s="4">
        <v>4534324</v>
      </c>
      <c r="F119" s="3" t="s">
        <v>49</v>
      </c>
      <c r="G119" s="4" t="s">
        <v>2262</v>
      </c>
      <c r="H119" s="4" t="s">
        <v>2263</v>
      </c>
      <c r="I119" s="5">
        <v>25000</v>
      </c>
      <c r="J119" s="3" t="s">
        <v>1136</v>
      </c>
      <c r="K119" s="3" t="s">
        <v>1813</v>
      </c>
      <c r="L119" s="3" t="s">
        <v>196</v>
      </c>
      <c r="M119" s="4" t="s">
        <v>2263</v>
      </c>
      <c r="N119" s="3" t="s">
        <v>25</v>
      </c>
      <c r="O119" s="3"/>
      <c r="Q119" s="3"/>
      <c r="R119" s="3"/>
      <c r="Y119" s="4" t="s">
        <v>2264</v>
      </c>
      <c r="Z119" s="4" t="s">
        <v>2265</v>
      </c>
      <c r="AB119" s="3"/>
      <c r="AC119" s="3"/>
      <c r="AD119" s="3" t="s">
        <v>1813</v>
      </c>
      <c r="AE119" s="3">
        <v>1000</v>
      </c>
      <c r="AI119" s="4" t="s">
        <v>2266</v>
      </c>
      <c r="AJ119" s="4" t="s">
        <v>2267</v>
      </c>
      <c r="AK119" s="3"/>
      <c r="AL119" s="4">
        <v>140697</v>
      </c>
      <c r="AM119" s="5">
        <v>25000</v>
      </c>
      <c r="AN119" s="4" t="s">
        <v>124</v>
      </c>
      <c r="AO119" s="4">
        <v>99</v>
      </c>
      <c r="AP119" s="4">
        <v>80101504</v>
      </c>
    </row>
    <row r="120" spans="1:42" s="4" customFormat="1" x14ac:dyDescent="0.25">
      <c r="A120" s="3">
        <v>4604820</v>
      </c>
      <c r="B120" s="28">
        <v>41991</v>
      </c>
      <c r="C120" s="3" t="s">
        <v>1278</v>
      </c>
      <c r="D120" s="3">
        <v>10004614</v>
      </c>
      <c r="E120" s="4">
        <v>4534171</v>
      </c>
      <c r="F120" s="3" t="s">
        <v>49</v>
      </c>
      <c r="G120" s="4" t="s">
        <v>1321</v>
      </c>
      <c r="H120" s="4" t="s">
        <v>1776</v>
      </c>
      <c r="I120" s="5">
        <v>25100</v>
      </c>
      <c r="J120" s="3" t="s">
        <v>1240</v>
      </c>
      <c r="K120" s="3" t="s">
        <v>1037</v>
      </c>
      <c r="L120" s="3" t="s">
        <v>119</v>
      </c>
      <c r="M120" s="4" t="s">
        <v>1776</v>
      </c>
      <c r="N120" s="3" t="s">
        <v>56</v>
      </c>
      <c r="O120" s="3"/>
      <c r="Q120" s="3"/>
      <c r="R120" s="3"/>
      <c r="Y120" s="4" t="s">
        <v>1309</v>
      </c>
      <c r="Z120" s="4" t="s">
        <v>1309</v>
      </c>
      <c r="AA120" s="4" t="s">
        <v>1324</v>
      </c>
      <c r="AB120" s="3" t="s">
        <v>1325</v>
      </c>
      <c r="AC120" s="3" t="s">
        <v>1326</v>
      </c>
      <c r="AD120" s="3" t="s">
        <v>447</v>
      </c>
      <c r="AE120" s="3">
        <v>1000</v>
      </c>
      <c r="AI120" s="4" t="s">
        <v>1313</v>
      </c>
      <c r="AJ120" s="4" t="s">
        <v>1313</v>
      </c>
      <c r="AK120" s="3"/>
      <c r="AL120" s="4">
        <v>140474</v>
      </c>
      <c r="AM120" s="5">
        <v>25100</v>
      </c>
      <c r="AN120" s="4" t="s">
        <v>124</v>
      </c>
      <c r="AO120" s="4">
        <v>99</v>
      </c>
      <c r="AP120" s="4">
        <v>80101507</v>
      </c>
    </row>
    <row r="121" spans="1:42" s="4" customFormat="1" x14ac:dyDescent="0.25">
      <c r="A121" s="3">
        <v>4604907</v>
      </c>
      <c r="B121" s="28">
        <v>42095</v>
      </c>
      <c r="C121" s="3" t="s">
        <v>2158</v>
      </c>
      <c r="D121" s="3">
        <v>10004724</v>
      </c>
      <c r="E121" s="4">
        <v>4534258</v>
      </c>
      <c r="F121" s="3" t="s">
        <v>49</v>
      </c>
      <c r="G121" s="4" t="s">
        <v>174</v>
      </c>
      <c r="H121" s="4" t="s">
        <v>2257</v>
      </c>
      <c r="I121" s="5">
        <v>25183</v>
      </c>
      <c r="J121" s="3" t="s">
        <v>502</v>
      </c>
      <c r="K121" s="3" t="s">
        <v>77</v>
      </c>
      <c r="L121" s="3" t="s">
        <v>119</v>
      </c>
      <c r="M121" s="4" t="s">
        <v>2257</v>
      </c>
      <c r="N121" s="3" t="s">
        <v>56</v>
      </c>
      <c r="O121" s="3"/>
      <c r="Q121" s="3"/>
      <c r="R121" s="3"/>
      <c r="Y121" s="4" t="s">
        <v>178</v>
      </c>
      <c r="Z121" s="4" t="s">
        <v>178</v>
      </c>
      <c r="AA121" s="4" t="s">
        <v>188</v>
      </c>
      <c r="AB121" s="3" t="s">
        <v>401</v>
      </c>
      <c r="AC121" s="3" t="s">
        <v>190</v>
      </c>
      <c r="AD121" s="3" t="s">
        <v>439</v>
      </c>
      <c r="AE121" s="3">
        <v>1000</v>
      </c>
      <c r="AI121" s="4" t="s">
        <v>181</v>
      </c>
      <c r="AJ121" s="4" t="s">
        <v>181</v>
      </c>
      <c r="AK121" s="3"/>
      <c r="AL121" s="4">
        <v>40476</v>
      </c>
      <c r="AM121" s="5">
        <v>25183</v>
      </c>
      <c r="AN121" s="4" t="s">
        <v>124</v>
      </c>
      <c r="AO121" s="4">
        <v>99</v>
      </c>
      <c r="AP121" s="4">
        <v>80111600</v>
      </c>
    </row>
    <row r="122" spans="1:42" s="4" customFormat="1" x14ac:dyDescent="0.25">
      <c r="A122" s="3">
        <v>4604539</v>
      </c>
      <c r="B122" s="28">
        <v>41808</v>
      </c>
      <c r="C122" s="3" t="s">
        <v>1278</v>
      </c>
      <c r="D122" s="3">
        <v>10004326</v>
      </c>
      <c r="E122" s="4">
        <v>4533890</v>
      </c>
      <c r="F122" s="3" t="s">
        <v>49</v>
      </c>
      <c r="G122" s="4" t="s">
        <v>1388</v>
      </c>
      <c r="H122" s="4" t="s">
        <v>1389</v>
      </c>
      <c r="I122" s="5">
        <v>25200</v>
      </c>
      <c r="J122" s="3" t="s">
        <v>265</v>
      </c>
      <c r="K122" s="3" t="s">
        <v>494</v>
      </c>
      <c r="L122" s="3" t="s">
        <v>119</v>
      </c>
      <c r="M122" s="4" t="s">
        <v>1389</v>
      </c>
      <c r="N122" s="3" t="s">
        <v>56</v>
      </c>
      <c r="O122" s="3" t="s">
        <v>139</v>
      </c>
      <c r="P122" s="4" t="s">
        <v>282</v>
      </c>
      <c r="Q122" s="3"/>
      <c r="R122" s="3"/>
      <c r="Y122" s="4" t="s">
        <v>1200</v>
      </c>
      <c r="Z122" s="4" t="s">
        <v>1200</v>
      </c>
      <c r="AA122" s="4" t="s">
        <v>1284</v>
      </c>
      <c r="AB122" s="3" t="s">
        <v>1390</v>
      </c>
      <c r="AC122" s="3" t="s">
        <v>1286</v>
      </c>
      <c r="AD122" s="3" t="s">
        <v>324</v>
      </c>
      <c r="AE122" s="3">
        <v>1000</v>
      </c>
      <c r="AI122" s="4" t="s">
        <v>1202</v>
      </c>
      <c r="AJ122" s="4" t="s">
        <v>1202</v>
      </c>
      <c r="AK122" s="3" t="s">
        <v>286</v>
      </c>
      <c r="AL122" s="4">
        <v>141312</v>
      </c>
      <c r="AM122" s="5">
        <v>25200</v>
      </c>
      <c r="AN122" s="4" t="s">
        <v>124</v>
      </c>
      <c r="AO122" s="4">
        <v>99</v>
      </c>
      <c r="AP122" s="4">
        <v>80101510</v>
      </c>
    </row>
    <row r="123" spans="1:42" s="4" customFormat="1" x14ac:dyDescent="0.25">
      <c r="A123" s="3">
        <v>4604866</v>
      </c>
      <c r="B123" s="28">
        <v>42068</v>
      </c>
      <c r="C123" s="3" t="s">
        <v>1278</v>
      </c>
      <c r="D123" s="3">
        <v>10004672</v>
      </c>
      <c r="E123" s="4">
        <v>4534217</v>
      </c>
      <c r="F123" s="3" t="s">
        <v>49</v>
      </c>
      <c r="G123" s="4" t="s">
        <v>1838</v>
      </c>
      <c r="H123" s="4" t="s">
        <v>1839</v>
      </c>
      <c r="I123" s="5">
        <v>25767.5</v>
      </c>
      <c r="J123" s="3" t="s">
        <v>1479</v>
      </c>
      <c r="K123" s="3" t="s">
        <v>498</v>
      </c>
      <c r="L123" s="3" t="s">
        <v>196</v>
      </c>
      <c r="M123" s="4" t="s">
        <v>1840</v>
      </c>
      <c r="N123" s="3" t="s">
        <v>25</v>
      </c>
      <c r="O123" s="3"/>
      <c r="Q123" s="3"/>
      <c r="R123" s="3"/>
      <c r="Y123" s="4" t="s">
        <v>1056</v>
      </c>
      <c r="Z123" s="4" t="s">
        <v>1056</v>
      </c>
      <c r="AB123" s="3"/>
      <c r="AC123" s="3"/>
      <c r="AD123" s="3" t="s">
        <v>1635</v>
      </c>
      <c r="AE123" s="3">
        <v>1000</v>
      </c>
      <c r="AI123" s="4" t="s">
        <v>1058</v>
      </c>
      <c r="AJ123" s="4" t="s">
        <v>1058</v>
      </c>
      <c r="AK123" s="3"/>
      <c r="AL123" s="4">
        <v>45852</v>
      </c>
      <c r="AM123" s="5">
        <v>25767.5</v>
      </c>
      <c r="AN123" s="4" t="s">
        <v>124</v>
      </c>
      <c r="AO123" s="4">
        <v>99</v>
      </c>
      <c r="AP123" s="4">
        <v>43230000</v>
      </c>
    </row>
    <row r="124" spans="1:42" s="4" customFormat="1" x14ac:dyDescent="0.25">
      <c r="A124" s="3">
        <v>4604655</v>
      </c>
      <c r="B124" s="28">
        <v>41828</v>
      </c>
      <c r="C124" s="3" t="s">
        <v>2342</v>
      </c>
      <c r="D124" s="3">
        <v>10004450</v>
      </c>
      <c r="E124" s="4">
        <v>4534006</v>
      </c>
      <c r="F124" s="3" t="s">
        <v>49</v>
      </c>
      <c r="G124" s="4" t="s">
        <v>2300</v>
      </c>
      <c r="H124" s="4" t="s">
        <v>2380</v>
      </c>
      <c r="I124" s="5">
        <v>25824.2</v>
      </c>
      <c r="J124" s="3" t="s">
        <v>2379</v>
      </c>
      <c r="K124" s="3" t="s">
        <v>807</v>
      </c>
      <c r="L124" s="3" t="s">
        <v>1046</v>
      </c>
      <c r="M124" s="4" t="s">
        <v>2381</v>
      </c>
      <c r="N124" s="3" t="s">
        <v>25</v>
      </c>
      <c r="O124" s="3" t="s">
        <v>139</v>
      </c>
      <c r="P124" s="4" t="s">
        <v>282</v>
      </c>
      <c r="Q124" s="3" t="s">
        <v>139</v>
      </c>
      <c r="R124" s="3" t="s">
        <v>215</v>
      </c>
      <c r="S124" s="4" t="s">
        <v>216</v>
      </c>
      <c r="U124" s="4" t="s">
        <v>139</v>
      </c>
      <c r="V124" s="4" t="s">
        <v>427</v>
      </c>
      <c r="W124" s="4" t="s">
        <v>428</v>
      </c>
      <c r="Y124" s="4" t="s">
        <v>2277</v>
      </c>
      <c r="Z124" s="4" t="s">
        <v>2293</v>
      </c>
      <c r="AB124" s="3"/>
      <c r="AC124" s="3"/>
      <c r="AD124" s="3" t="s">
        <v>2097</v>
      </c>
      <c r="AE124" s="3">
        <v>1000</v>
      </c>
      <c r="AI124" s="4" t="s">
        <v>2281</v>
      </c>
      <c r="AJ124" s="4" t="s">
        <v>2298</v>
      </c>
      <c r="AK124" s="3" t="s">
        <v>286</v>
      </c>
      <c r="AL124" s="4">
        <v>30080</v>
      </c>
      <c r="AM124" s="5">
        <v>25824.2</v>
      </c>
      <c r="AN124" s="4" t="s">
        <v>2282</v>
      </c>
      <c r="AO124" s="4">
        <v>98</v>
      </c>
      <c r="AP124" s="4">
        <v>80120000</v>
      </c>
    </row>
    <row r="125" spans="1:42" s="4" customFormat="1" x14ac:dyDescent="0.25">
      <c r="A125" s="3">
        <v>4604826</v>
      </c>
      <c r="B125" s="28">
        <v>42016</v>
      </c>
      <c r="C125" s="3" t="s">
        <v>288</v>
      </c>
      <c r="D125" s="3">
        <v>10004626</v>
      </c>
      <c r="E125" s="4">
        <v>4534177</v>
      </c>
      <c r="F125" s="3" t="s">
        <v>49</v>
      </c>
      <c r="G125" s="4" t="s">
        <v>336</v>
      </c>
      <c r="H125" s="4" t="s">
        <v>337</v>
      </c>
      <c r="I125" s="5">
        <v>26000</v>
      </c>
      <c r="J125" s="3" t="s">
        <v>335</v>
      </c>
      <c r="K125" s="3" t="s">
        <v>299</v>
      </c>
      <c r="L125" s="3" t="s">
        <v>119</v>
      </c>
      <c r="M125" s="4" t="s">
        <v>337</v>
      </c>
      <c r="N125" s="3" t="s">
        <v>56</v>
      </c>
      <c r="O125" s="3"/>
      <c r="Q125" s="3"/>
      <c r="R125" s="3"/>
      <c r="Y125" s="4" t="s">
        <v>111</v>
      </c>
      <c r="Z125" s="4" t="s">
        <v>332</v>
      </c>
      <c r="AA125" s="4" t="s">
        <v>338</v>
      </c>
      <c r="AB125" s="3" t="s">
        <v>338</v>
      </c>
      <c r="AC125" s="3" t="s">
        <v>339</v>
      </c>
      <c r="AD125" s="3" t="s">
        <v>340</v>
      </c>
      <c r="AE125" s="3">
        <v>1000</v>
      </c>
      <c r="AI125" s="4" t="s">
        <v>114</v>
      </c>
      <c r="AJ125" s="4" t="s">
        <v>334</v>
      </c>
      <c r="AK125" s="3"/>
      <c r="AL125" s="4">
        <v>141787</v>
      </c>
      <c r="AM125" s="5">
        <v>26000</v>
      </c>
      <c r="AN125" s="4" t="s">
        <v>124</v>
      </c>
      <c r="AO125" s="4">
        <v>99</v>
      </c>
      <c r="AP125" s="4">
        <v>82100000</v>
      </c>
    </row>
    <row r="126" spans="1:42" s="4" customFormat="1" x14ac:dyDescent="0.25">
      <c r="A126" s="3">
        <v>4604959</v>
      </c>
      <c r="B126" s="28">
        <v>42132</v>
      </c>
      <c r="C126" s="3" t="s">
        <v>1278</v>
      </c>
      <c r="D126" s="3">
        <v>10004781</v>
      </c>
      <c r="E126" s="4">
        <v>4534310</v>
      </c>
      <c r="F126" s="3" t="s">
        <v>49</v>
      </c>
      <c r="G126" s="4" t="s">
        <v>1949</v>
      </c>
      <c r="H126" s="4" t="s">
        <v>1950</v>
      </c>
      <c r="I126" s="5">
        <v>26150</v>
      </c>
      <c r="J126" s="3" t="s">
        <v>1944</v>
      </c>
      <c r="K126" s="3" t="s">
        <v>77</v>
      </c>
      <c r="L126" s="3" t="s">
        <v>196</v>
      </c>
      <c r="M126" s="4" t="s">
        <v>1950</v>
      </c>
      <c r="N126" s="3" t="s">
        <v>25</v>
      </c>
      <c r="O126" s="3"/>
      <c r="Q126" s="3"/>
      <c r="R126" s="3"/>
      <c r="Y126" s="4" t="s">
        <v>179</v>
      </c>
      <c r="Z126" s="4" t="s">
        <v>179</v>
      </c>
      <c r="AB126" s="3"/>
      <c r="AC126" s="3"/>
      <c r="AD126" s="3" t="s">
        <v>1948</v>
      </c>
      <c r="AE126" s="3">
        <v>1000</v>
      </c>
      <c r="AI126" s="4" t="s">
        <v>182</v>
      </c>
      <c r="AJ126" s="4" t="s">
        <v>182</v>
      </c>
      <c r="AK126" s="3"/>
      <c r="AL126" s="4">
        <v>31110</v>
      </c>
      <c r="AM126" s="5">
        <v>26150</v>
      </c>
      <c r="AN126" s="4" t="s">
        <v>124</v>
      </c>
      <c r="AO126" s="4">
        <v>99</v>
      </c>
      <c r="AP126" s="4">
        <v>80110000</v>
      </c>
    </row>
    <row r="127" spans="1:42" s="4" customFormat="1" x14ac:dyDescent="0.25">
      <c r="A127" s="3">
        <v>4604637</v>
      </c>
      <c r="B127" s="28">
        <v>41984</v>
      </c>
      <c r="C127" s="3" t="s">
        <v>1278</v>
      </c>
      <c r="D127" s="3">
        <v>10004435</v>
      </c>
      <c r="E127" s="4">
        <v>4533988</v>
      </c>
      <c r="F127" s="3" t="s">
        <v>49</v>
      </c>
      <c r="G127" s="4" t="s">
        <v>1551</v>
      </c>
      <c r="H127" s="4" t="s">
        <v>1552</v>
      </c>
      <c r="I127" s="5">
        <v>26176.42</v>
      </c>
      <c r="J127" s="3" t="s">
        <v>223</v>
      </c>
      <c r="K127" s="3" t="s">
        <v>832</v>
      </c>
      <c r="L127" s="3" t="s">
        <v>196</v>
      </c>
      <c r="M127" s="4" t="s">
        <v>1552</v>
      </c>
      <c r="N127" s="3" t="s">
        <v>25</v>
      </c>
      <c r="O127" s="3" t="s">
        <v>139</v>
      </c>
      <c r="P127" s="4" t="s">
        <v>140</v>
      </c>
      <c r="Q127" s="3"/>
      <c r="R127" s="3"/>
      <c r="Y127" s="4" t="s">
        <v>1079</v>
      </c>
      <c r="Z127" s="4" t="s">
        <v>1430</v>
      </c>
      <c r="AB127" s="3"/>
      <c r="AC127" s="3"/>
      <c r="AD127" s="3" t="s">
        <v>436</v>
      </c>
      <c r="AE127" s="3">
        <v>1000</v>
      </c>
      <c r="AI127" s="4" t="s">
        <v>1083</v>
      </c>
      <c r="AJ127" s="4" t="s">
        <v>1432</v>
      </c>
      <c r="AK127" s="3" t="s">
        <v>143</v>
      </c>
      <c r="AL127" s="4">
        <v>141105</v>
      </c>
      <c r="AM127" s="5">
        <v>26176.42</v>
      </c>
      <c r="AN127" s="4" t="s">
        <v>124</v>
      </c>
      <c r="AO127" s="4">
        <v>99</v>
      </c>
      <c r="AP127" s="4">
        <v>80101505</v>
      </c>
    </row>
    <row r="128" spans="1:42" s="4" customFormat="1" x14ac:dyDescent="0.25">
      <c r="A128" s="3">
        <v>4604988</v>
      </c>
      <c r="B128" s="28">
        <v>42153</v>
      </c>
      <c r="C128" s="3" t="s">
        <v>1278</v>
      </c>
      <c r="D128" s="3">
        <v>10004815</v>
      </c>
      <c r="E128" s="4">
        <v>4534339</v>
      </c>
      <c r="F128" s="3" t="s">
        <v>49</v>
      </c>
      <c r="G128" s="4" t="s">
        <v>1993</v>
      </c>
      <c r="H128" s="4" t="s">
        <v>1994</v>
      </c>
      <c r="I128" s="5">
        <v>26180</v>
      </c>
      <c r="J128" s="3" t="s">
        <v>377</v>
      </c>
      <c r="K128" s="3" t="s">
        <v>374</v>
      </c>
      <c r="L128" s="3" t="s">
        <v>119</v>
      </c>
      <c r="M128" s="4" t="s">
        <v>1994</v>
      </c>
      <c r="N128" s="3" t="s">
        <v>56</v>
      </c>
      <c r="O128" s="3"/>
      <c r="Q128" s="3" t="s">
        <v>139</v>
      </c>
      <c r="R128" s="3" t="s">
        <v>427</v>
      </c>
      <c r="S128" s="4" t="s">
        <v>428</v>
      </c>
      <c r="U128" s="4" t="s">
        <v>139</v>
      </c>
      <c r="V128" s="4" t="s">
        <v>427</v>
      </c>
      <c r="W128" s="4" t="s">
        <v>428</v>
      </c>
      <c r="Y128" s="4" t="s">
        <v>1510</v>
      </c>
      <c r="Z128" s="4" t="s">
        <v>1995</v>
      </c>
      <c r="AA128" s="4" t="s">
        <v>1996</v>
      </c>
      <c r="AB128" s="3" t="s">
        <v>1997</v>
      </c>
      <c r="AC128" s="3" t="s">
        <v>1998</v>
      </c>
      <c r="AD128" s="3" t="s">
        <v>1491</v>
      </c>
      <c r="AE128" s="3">
        <v>1000</v>
      </c>
      <c r="AI128" s="4" t="s">
        <v>1512</v>
      </c>
      <c r="AJ128" s="4" t="s">
        <v>1999</v>
      </c>
      <c r="AK128" s="3"/>
      <c r="AL128" s="4">
        <v>141701</v>
      </c>
      <c r="AM128" s="5">
        <v>26180</v>
      </c>
      <c r="AN128" s="4" t="s">
        <v>124</v>
      </c>
      <c r="AO128" s="4">
        <v>99</v>
      </c>
      <c r="AP128" s="4">
        <v>81111508</v>
      </c>
    </row>
    <row r="129" spans="1:42" s="4" customFormat="1" x14ac:dyDescent="0.25">
      <c r="A129" s="3">
        <v>4605053</v>
      </c>
      <c r="B129" s="28">
        <v>42180</v>
      </c>
      <c r="C129" s="3" t="s">
        <v>1278</v>
      </c>
      <c r="D129" s="3">
        <v>10004907</v>
      </c>
      <c r="E129" s="4">
        <v>4534404</v>
      </c>
      <c r="F129" s="3" t="s">
        <v>49</v>
      </c>
      <c r="G129" s="4" t="s">
        <v>2055</v>
      </c>
      <c r="H129" s="4" t="s">
        <v>2056</v>
      </c>
      <c r="I129" s="5">
        <v>26202</v>
      </c>
      <c r="J129" s="3" t="s">
        <v>543</v>
      </c>
      <c r="K129" s="3" t="s">
        <v>77</v>
      </c>
      <c r="L129" s="3" t="s">
        <v>196</v>
      </c>
      <c r="M129" s="4" t="s">
        <v>2056</v>
      </c>
      <c r="N129" s="3" t="s">
        <v>25</v>
      </c>
      <c r="O129" s="3"/>
      <c r="Q129" s="3"/>
      <c r="R129" s="3"/>
      <c r="Y129" s="4" t="s">
        <v>2057</v>
      </c>
      <c r="Z129" s="4" t="s">
        <v>2058</v>
      </c>
      <c r="AA129" s="4" t="s">
        <v>2059</v>
      </c>
      <c r="AB129" s="3"/>
      <c r="AC129" s="3"/>
      <c r="AD129" s="3" t="s">
        <v>543</v>
      </c>
      <c r="AE129" s="3">
        <v>1000</v>
      </c>
      <c r="AI129" s="4" t="s">
        <v>2060</v>
      </c>
      <c r="AJ129" s="4" t="s">
        <v>2061</v>
      </c>
      <c r="AK129" s="3"/>
      <c r="AL129" s="4">
        <v>141925</v>
      </c>
      <c r="AM129" s="5">
        <v>26202</v>
      </c>
      <c r="AN129" s="4" t="s">
        <v>124</v>
      </c>
      <c r="AO129" s="4">
        <v>99</v>
      </c>
      <c r="AP129" s="4">
        <v>43210000</v>
      </c>
    </row>
    <row r="130" spans="1:42" s="4" customFormat="1" x14ac:dyDescent="0.25">
      <c r="A130" s="3">
        <v>4604779</v>
      </c>
      <c r="B130" s="28">
        <v>41960</v>
      </c>
      <c r="C130" s="3" t="s">
        <v>1278</v>
      </c>
      <c r="D130" s="3">
        <v>10004573</v>
      </c>
      <c r="E130" s="4">
        <v>4534130</v>
      </c>
      <c r="F130" s="3" t="s">
        <v>49</v>
      </c>
      <c r="G130" s="4" t="s">
        <v>410</v>
      </c>
      <c r="H130" s="4" t="s">
        <v>1725</v>
      </c>
      <c r="I130" s="5">
        <v>26400</v>
      </c>
      <c r="J130" s="3" t="s">
        <v>1134</v>
      </c>
      <c r="K130" s="3" t="s">
        <v>400</v>
      </c>
      <c r="L130" s="3" t="s">
        <v>119</v>
      </c>
      <c r="M130" s="4" t="s">
        <v>1725</v>
      </c>
      <c r="N130" s="3" t="s">
        <v>56</v>
      </c>
      <c r="O130" s="3"/>
      <c r="Q130" s="3"/>
      <c r="R130" s="3"/>
      <c r="Y130" s="4" t="s">
        <v>1700</v>
      </c>
      <c r="Z130" s="4" t="s">
        <v>1700</v>
      </c>
      <c r="AA130" s="4" t="s">
        <v>412</v>
      </c>
      <c r="AB130" s="3" t="s">
        <v>413</v>
      </c>
      <c r="AC130" s="3" t="s">
        <v>414</v>
      </c>
      <c r="AD130" s="3" t="s">
        <v>424</v>
      </c>
      <c r="AE130" s="3">
        <v>1000</v>
      </c>
      <c r="AI130" s="4" t="s">
        <v>1701</v>
      </c>
      <c r="AJ130" s="4" t="s">
        <v>1701</v>
      </c>
      <c r="AK130" s="3"/>
      <c r="AL130" s="4">
        <v>141810</v>
      </c>
      <c r="AM130" s="5">
        <v>26400</v>
      </c>
      <c r="AN130" s="4" t="s">
        <v>124</v>
      </c>
      <c r="AO130" s="4">
        <v>99</v>
      </c>
      <c r="AP130" s="4">
        <v>80101507</v>
      </c>
    </row>
    <row r="131" spans="1:42" s="4" customFormat="1" x14ac:dyDescent="0.25">
      <c r="A131" s="3">
        <v>4604869</v>
      </c>
      <c r="B131" s="28">
        <v>42185</v>
      </c>
      <c r="C131" s="3" t="s">
        <v>1278</v>
      </c>
      <c r="D131" s="3">
        <v>10004683</v>
      </c>
      <c r="E131" s="4">
        <v>4534220</v>
      </c>
      <c r="F131" s="3" t="s">
        <v>49</v>
      </c>
      <c r="G131" s="4" t="s">
        <v>1841</v>
      </c>
      <c r="H131" s="4" t="s">
        <v>1842</v>
      </c>
      <c r="I131" s="5">
        <v>26572.7</v>
      </c>
      <c r="J131" s="3" t="s">
        <v>631</v>
      </c>
      <c r="K131" s="3" t="s">
        <v>77</v>
      </c>
      <c r="L131" s="3" t="s">
        <v>1046</v>
      </c>
      <c r="M131" s="4" t="s">
        <v>1842</v>
      </c>
      <c r="N131" s="3" t="s">
        <v>25</v>
      </c>
      <c r="O131" s="3"/>
      <c r="Q131" s="3"/>
      <c r="R131" s="3"/>
      <c r="Y131" s="4" t="s">
        <v>1309</v>
      </c>
      <c r="Z131" s="4" t="s">
        <v>1309</v>
      </c>
      <c r="AB131" s="3"/>
      <c r="AC131" s="3"/>
      <c r="AD131" s="3" t="s">
        <v>1835</v>
      </c>
      <c r="AE131" s="3">
        <v>1000</v>
      </c>
      <c r="AI131" s="4" t="s">
        <v>1313</v>
      </c>
      <c r="AJ131" s="4" t="s">
        <v>1313</v>
      </c>
      <c r="AK131" s="3"/>
      <c r="AL131" s="4">
        <v>40357</v>
      </c>
      <c r="AM131" s="5">
        <v>26572.7</v>
      </c>
      <c r="AN131" s="4" t="s">
        <v>124</v>
      </c>
      <c r="AO131" s="4">
        <v>99</v>
      </c>
      <c r="AP131" s="4">
        <v>55110000</v>
      </c>
    </row>
    <row r="132" spans="1:42" s="4" customFormat="1" x14ac:dyDescent="0.25">
      <c r="A132" s="3">
        <v>4604835</v>
      </c>
      <c r="B132" s="28">
        <v>42023</v>
      </c>
      <c r="C132" s="3" t="s">
        <v>1278</v>
      </c>
      <c r="D132" s="3">
        <v>10004574</v>
      </c>
      <c r="E132" s="4">
        <v>4534186</v>
      </c>
      <c r="F132" s="3" t="s">
        <v>49</v>
      </c>
      <c r="G132" s="4" t="s">
        <v>1657</v>
      </c>
      <c r="H132" s="4" t="s">
        <v>1796</v>
      </c>
      <c r="I132" s="5">
        <v>26820</v>
      </c>
      <c r="J132" s="3" t="s">
        <v>1724</v>
      </c>
      <c r="K132" s="3" t="s">
        <v>137</v>
      </c>
      <c r="L132" s="3" t="s">
        <v>196</v>
      </c>
      <c r="M132" s="4" t="s">
        <v>1797</v>
      </c>
      <c r="N132" s="3" t="s">
        <v>25</v>
      </c>
      <c r="O132" s="3"/>
      <c r="Q132" s="3"/>
      <c r="R132" s="3"/>
      <c r="Y132" s="4" t="s">
        <v>1056</v>
      </c>
      <c r="Z132" s="4" t="s">
        <v>1782</v>
      </c>
      <c r="AB132" s="3"/>
      <c r="AC132" s="3"/>
      <c r="AD132" s="3" t="s">
        <v>449</v>
      </c>
      <c r="AE132" s="3">
        <v>1000</v>
      </c>
      <c r="AI132" s="4" t="s">
        <v>1058</v>
      </c>
      <c r="AJ132" s="4" t="s">
        <v>1783</v>
      </c>
      <c r="AK132" s="3"/>
      <c r="AL132" s="4">
        <v>47407</v>
      </c>
      <c r="AM132" s="5">
        <v>26820</v>
      </c>
      <c r="AN132" s="4" t="s">
        <v>124</v>
      </c>
      <c r="AO132" s="4">
        <v>99</v>
      </c>
      <c r="AP132" s="4">
        <v>44110000</v>
      </c>
    </row>
    <row r="133" spans="1:42" s="4" customFormat="1" x14ac:dyDescent="0.25">
      <c r="A133" s="3">
        <v>4604858</v>
      </c>
      <c r="B133" s="28">
        <v>42061</v>
      </c>
      <c r="C133" s="3" t="s">
        <v>1278</v>
      </c>
      <c r="D133" s="3">
        <v>10004664</v>
      </c>
      <c r="E133" s="4">
        <v>4534209</v>
      </c>
      <c r="F133" s="3" t="s">
        <v>49</v>
      </c>
      <c r="G133" s="4" t="s">
        <v>271</v>
      </c>
      <c r="H133" s="4" t="s">
        <v>1826</v>
      </c>
      <c r="I133" s="5">
        <v>27000</v>
      </c>
      <c r="J133" s="3" t="s">
        <v>1269</v>
      </c>
      <c r="K133" s="3" t="s">
        <v>498</v>
      </c>
      <c r="L133" s="3" t="s">
        <v>196</v>
      </c>
      <c r="M133" s="4" t="s">
        <v>1827</v>
      </c>
      <c r="N133" s="3" t="s">
        <v>25</v>
      </c>
      <c r="O133" s="3"/>
      <c r="Q133" s="3"/>
      <c r="R133" s="3"/>
      <c r="Y133" s="4" t="s">
        <v>267</v>
      </c>
      <c r="Z133" s="4" t="s">
        <v>267</v>
      </c>
      <c r="AB133" s="3"/>
      <c r="AC133" s="3"/>
      <c r="AD133" s="3" t="s">
        <v>1479</v>
      </c>
      <c r="AE133" s="3">
        <v>1000</v>
      </c>
      <c r="AI133" s="4" t="s">
        <v>270</v>
      </c>
      <c r="AJ133" s="4" t="s">
        <v>270</v>
      </c>
      <c r="AK133" s="3"/>
      <c r="AL133" s="4">
        <v>46721</v>
      </c>
      <c r="AM133" s="5">
        <v>27000</v>
      </c>
      <c r="AN133" s="4" t="s">
        <v>124</v>
      </c>
      <c r="AO133" s="4">
        <v>99</v>
      </c>
      <c r="AP133" s="4">
        <v>80111700</v>
      </c>
    </row>
    <row r="134" spans="1:42" s="4" customFormat="1" x14ac:dyDescent="0.25">
      <c r="A134" s="3">
        <v>4604658</v>
      </c>
      <c r="B134" s="28">
        <v>41862</v>
      </c>
      <c r="C134" s="3" t="s">
        <v>1278</v>
      </c>
      <c r="D134" s="3">
        <v>10004453</v>
      </c>
      <c r="E134" s="4">
        <v>4534009</v>
      </c>
      <c r="F134" s="3" t="s">
        <v>49</v>
      </c>
      <c r="G134" s="4" t="s">
        <v>1582</v>
      </c>
      <c r="H134" s="4" t="s">
        <v>1583</v>
      </c>
      <c r="I134" s="5">
        <v>27310</v>
      </c>
      <c r="J134" s="3" t="s">
        <v>76</v>
      </c>
      <c r="K134" s="3" t="s">
        <v>302</v>
      </c>
      <c r="L134" s="3" t="s">
        <v>196</v>
      </c>
      <c r="M134" s="4" t="s">
        <v>1584</v>
      </c>
      <c r="N134" s="3" t="s">
        <v>25</v>
      </c>
      <c r="O134" s="3"/>
      <c r="Q134" s="3"/>
      <c r="R134" s="3"/>
      <c r="Y134" s="4" t="s">
        <v>1585</v>
      </c>
      <c r="Z134" s="4" t="s">
        <v>1585</v>
      </c>
      <c r="AB134" s="3"/>
      <c r="AC134" s="3"/>
      <c r="AD134" s="3" t="s">
        <v>1169</v>
      </c>
      <c r="AE134" s="3">
        <v>1000</v>
      </c>
      <c r="AI134" s="4" t="s">
        <v>1586</v>
      </c>
      <c r="AJ134" s="4" t="s">
        <v>1586</v>
      </c>
      <c r="AK134" s="3"/>
      <c r="AL134" s="4">
        <v>30315</v>
      </c>
      <c r="AM134" s="5">
        <v>27310</v>
      </c>
      <c r="AN134" s="4" t="s">
        <v>124</v>
      </c>
      <c r="AO134" s="4">
        <v>99</v>
      </c>
      <c r="AP134" s="4">
        <v>43210000</v>
      </c>
    </row>
    <row r="135" spans="1:42" s="4" customFormat="1" x14ac:dyDescent="0.25">
      <c r="A135" s="3">
        <v>4603170</v>
      </c>
      <c r="B135" s="28">
        <v>41806</v>
      </c>
      <c r="C135" s="3" t="s">
        <v>1042</v>
      </c>
      <c r="D135" s="3">
        <v>10003021</v>
      </c>
      <c r="E135" s="4">
        <v>4532521</v>
      </c>
      <c r="F135" s="3" t="s">
        <v>49</v>
      </c>
      <c r="G135" s="4" t="s">
        <v>1111</v>
      </c>
      <c r="H135" s="4" t="s">
        <v>1112</v>
      </c>
      <c r="I135" s="5">
        <v>27375</v>
      </c>
      <c r="J135" s="3" t="s">
        <v>1113</v>
      </c>
      <c r="K135" s="3" t="s">
        <v>1114</v>
      </c>
      <c r="L135" s="3" t="s">
        <v>1115</v>
      </c>
      <c r="M135" s="4" t="s">
        <v>1116</v>
      </c>
      <c r="N135" s="3" t="s">
        <v>25</v>
      </c>
      <c r="O135" s="3"/>
      <c r="Q135" s="3"/>
      <c r="R135" s="3"/>
      <c r="Y135" s="4" t="s">
        <v>1056</v>
      </c>
      <c r="Z135" s="4" t="s">
        <v>1090</v>
      </c>
      <c r="AB135" s="3"/>
      <c r="AC135" s="3"/>
      <c r="AD135" s="3" t="s">
        <v>1117</v>
      </c>
      <c r="AE135" s="3">
        <v>1000</v>
      </c>
      <c r="AI135" s="4" t="s">
        <v>1058</v>
      </c>
      <c r="AJ135" s="4" t="s">
        <v>1091</v>
      </c>
      <c r="AK135" s="3"/>
      <c r="AL135" s="4">
        <v>30004</v>
      </c>
      <c r="AM135" s="5">
        <v>27375</v>
      </c>
      <c r="AN135" s="4" t="s">
        <v>124</v>
      </c>
      <c r="AO135" s="4">
        <v>99</v>
      </c>
      <c r="AP135" s="4">
        <v>83120000</v>
      </c>
    </row>
    <row r="136" spans="1:42" s="4" customFormat="1" x14ac:dyDescent="0.25">
      <c r="A136" s="3">
        <v>4604848</v>
      </c>
      <c r="B136" s="28">
        <v>42036</v>
      </c>
      <c r="C136" s="3" t="s">
        <v>392</v>
      </c>
      <c r="D136" s="3">
        <v>10004653</v>
      </c>
      <c r="E136" s="4">
        <v>4534199</v>
      </c>
      <c r="F136" s="3" t="s">
        <v>49</v>
      </c>
      <c r="G136" s="4" t="s">
        <v>459</v>
      </c>
      <c r="H136" s="4" t="s">
        <v>460</v>
      </c>
      <c r="I136" s="5">
        <v>27500</v>
      </c>
      <c r="J136" s="3" t="s">
        <v>458</v>
      </c>
      <c r="K136" s="3" t="s">
        <v>461</v>
      </c>
      <c r="L136" s="3" t="s">
        <v>196</v>
      </c>
      <c r="M136" s="4" t="s">
        <v>460</v>
      </c>
      <c r="N136" s="3" t="s">
        <v>25</v>
      </c>
      <c r="O136" s="3"/>
      <c r="Q136" s="3"/>
      <c r="R136" s="3"/>
      <c r="Y136" s="4" t="s">
        <v>431</v>
      </c>
      <c r="Z136" s="4" t="s">
        <v>431</v>
      </c>
      <c r="AB136" s="3"/>
      <c r="AC136" s="3"/>
      <c r="AD136" s="3" t="s">
        <v>462</v>
      </c>
      <c r="AE136" s="3">
        <v>1000</v>
      </c>
      <c r="AI136" s="4" t="s">
        <v>434</v>
      </c>
      <c r="AJ136" s="4" t="s">
        <v>434</v>
      </c>
      <c r="AK136" s="3"/>
      <c r="AL136" s="4">
        <v>43117</v>
      </c>
      <c r="AM136" s="5">
        <v>27500</v>
      </c>
      <c r="AN136" s="4" t="s">
        <v>124</v>
      </c>
      <c r="AO136" s="4">
        <v>99</v>
      </c>
      <c r="AP136" s="4">
        <v>80141500</v>
      </c>
    </row>
    <row r="137" spans="1:42" s="4" customFormat="1" x14ac:dyDescent="0.25">
      <c r="A137" s="3">
        <v>4604804</v>
      </c>
      <c r="B137" s="28">
        <v>41988</v>
      </c>
      <c r="C137" s="3" t="s">
        <v>1278</v>
      </c>
      <c r="D137" s="3">
        <v>10004607</v>
      </c>
      <c r="E137" s="4">
        <v>4534155</v>
      </c>
      <c r="F137" s="3" t="s">
        <v>49</v>
      </c>
      <c r="G137" s="4" t="s">
        <v>1357</v>
      </c>
      <c r="H137" s="4" t="s">
        <v>1754</v>
      </c>
      <c r="I137" s="5">
        <v>27500</v>
      </c>
      <c r="J137" s="3" t="s">
        <v>1753</v>
      </c>
      <c r="K137" s="3" t="s">
        <v>77</v>
      </c>
      <c r="L137" s="3" t="s">
        <v>119</v>
      </c>
      <c r="M137" s="4" t="s">
        <v>1754</v>
      </c>
      <c r="N137" s="3" t="s">
        <v>56</v>
      </c>
      <c r="O137" s="3"/>
      <c r="Q137" s="3"/>
      <c r="R137" s="3"/>
      <c r="Y137" s="4" t="s">
        <v>1309</v>
      </c>
      <c r="Z137" s="4" t="s">
        <v>1309</v>
      </c>
      <c r="AA137" s="4" t="s">
        <v>1324</v>
      </c>
      <c r="AB137" s="3" t="s">
        <v>1359</v>
      </c>
      <c r="AC137" s="3" t="s">
        <v>1326</v>
      </c>
      <c r="AD137" s="3" t="s">
        <v>1755</v>
      </c>
      <c r="AE137" s="3">
        <v>1000</v>
      </c>
      <c r="AI137" s="4" t="s">
        <v>1313</v>
      </c>
      <c r="AJ137" s="4" t="s">
        <v>1313</v>
      </c>
      <c r="AK137" s="3"/>
      <c r="AL137" s="4">
        <v>49941</v>
      </c>
      <c r="AM137" s="5">
        <v>27500</v>
      </c>
      <c r="AN137" s="4" t="s">
        <v>124</v>
      </c>
      <c r="AO137" s="4">
        <v>99</v>
      </c>
      <c r="AP137" s="4">
        <v>80101507</v>
      </c>
    </row>
    <row r="138" spans="1:42" s="4" customFormat="1" x14ac:dyDescent="0.25">
      <c r="A138" s="3">
        <v>4604916</v>
      </c>
      <c r="B138" s="28">
        <v>42101</v>
      </c>
      <c r="C138" s="3" t="s">
        <v>1278</v>
      </c>
      <c r="D138" s="3">
        <v>10004735</v>
      </c>
      <c r="E138" s="4">
        <v>4534267</v>
      </c>
      <c r="F138" s="3" t="s">
        <v>49</v>
      </c>
      <c r="G138" s="4" t="s">
        <v>1053</v>
      </c>
      <c r="H138" s="4" t="s">
        <v>1896</v>
      </c>
      <c r="I138" s="5">
        <v>27808</v>
      </c>
      <c r="J138" s="3" t="s">
        <v>497</v>
      </c>
      <c r="K138" s="3" t="s">
        <v>492</v>
      </c>
      <c r="L138" s="3" t="s">
        <v>119</v>
      </c>
      <c r="M138" s="4" t="s">
        <v>1905</v>
      </c>
      <c r="N138" s="3" t="s">
        <v>56</v>
      </c>
      <c r="O138" s="3"/>
      <c r="Q138" s="3"/>
      <c r="R138" s="3"/>
      <c r="Y138" s="4" t="s">
        <v>1056</v>
      </c>
      <c r="Z138" s="4" t="s">
        <v>1056</v>
      </c>
      <c r="AA138" s="4" t="s">
        <v>1057</v>
      </c>
      <c r="AB138" s="3" t="s">
        <v>1057</v>
      </c>
      <c r="AC138" s="3" t="s">
        <v>1340</v>
      </c>
      <c r="AD138" s="3" t="s">
        <v>369</v>
      </c>
      <c r="AE138" s="3">
        <v>1000</v>
      </c>
      <c r="AI138" s="4" t="s">
        <v>1058</v>
      </c>
      <c r="AJ138" s="4" t="s">
        <v>1058</v>
      </c>
      <c r="AK138" s="3"/>
      <c r="AL138" s="4">
        <v>140248</v>
      </c>
      <c r="AM138" s="5">
        <v>27808</v>
      </c>
      <c r="AN138" s="4" t="s">
        <v>124</v>
      </c>
      <c r="AO138" s="4">
        <v>99</v>
      </c>
      <c r="AP138" s="4">
        <v>81111800</v>
      </c>
    </row>
    <row r="139" spans="1:42" s="4" customFormat="1" x14ac:dyDescent="0.25">
      <c r="A139" s="3">
        <v>4604472</v>
      </c>
      <c r="B139" s="28">
        <v>41775</v>
      </c>
      <c r="C139" s="3" t="s">
        <v>1278</v>
      </c>
      <c r="D139" s="3">
        <v>10004264</v>
      </c>
      <c r="E139" s="4">
        <v>4533823</v>
      </c>
      <c r="F139" s="3" t="s">
        <v>49</v>
      </c>
      <c r="G139" s="4" t="s">
        <v>1334</v>
      </c>
      <c r="H139" s="4" t="s">
        <v>1334</v>
      </c>
      <c r="I139" s="5">
        <v>28000</v>
      </c>
      <c r="J139" s="3" t="s">
        <v>1335</v>
      </c>
      <c r="K139" s="3" t="s">
        <v>516</v>
      </c>
      <c r="L139" s="3" t="s">
        <v>196</v>
      </c>
      <c r="M139" s="4" t="s">
        <v>1334</v>
      </c>
      <c r="N139" s="3" t="s">
        <v>25</v>
      </c>
      <c r="O139" s="3"/>
      <c r="Q139" s="3"/>
      <c r="R139" s="3"/>
      <c r="Y139" s="4" t="s">
        <v>1336</v>
      </c>
      <c r="Z139" s="4" t="s">
        <v>1336</v>
      </c>
      <c r="AB139" s="3"/>
      <c r="AC139" s="3"/>
      <c r="AD139" s="3" t="s">
        <v>1333</v>
      </c>
      <c r="AE139" s="3">
        <v>1000</v>
      </c>
      <c r="AI139" s="4" t="s">
        <v>1337</v>
      </c>
      <c r="AJ139" s="4" t="s">
        <v>1337</v>
      </c>
      <c r="AK139" s="3"/>
      <c r="AL139" s="4">
        <v>141736</v>
      </c>
      <c r="AM139" s="5">
        <v>28000</v>
      </c>
      <c r="AN139" s="4" t="s">
        <v>124</v>
      </c>
      <c r="AO139" s="4">
        <v>99</v>
      </c>
      <c r="AP139" s="4">
        <v>86000000</v>
      </c>
    </row>
    <row r="140" spans="1:42" s="4" customFormat="1" x14ac:dyDescent="0.25">
      <c r="A140" s="3">
        <v>4604260</v>
      </c>
      <c r="B140" s="28">
        <v>41576</v>
      </c>
      <c r="C140" s="3" t="s">
        <v>2273</v>
      </c>
      <c r="D140" s="3">
        <v>10004021</v>
      </c>
      <c r="E140" s="4">
        <v>4533611</v>
      </c>
      <c r="F140" s="3" t="s">
        <v>49</v>
      </c>
      <c r="G140" s="4" t="s">
        <v>2300</v>
      </c>
      <c r="H140" s="4" t="s">
        <v>2337</v>
      </c>
      <c r="I140" s="5">
        <v>28550</v>
      </c>
      <c r="J140" s="3" t="s">
        <v>2339</v>
      </c>
      <c r="K140" s="3" t="s">
        <v>807</v>
      </c>
      <c r="L140" s="3" t="s">
        <v>1046</v>
      </c>
      <c r="M140" s="4" t="s">
        <v>2340</v>
      </c>
      <c r="N140" s="3" t="s">
        <v>25</v>
      </c>
      <c r="O140" s="3" t="s">
        <v>139</v>
      </c>
      <c r="P140" s="4" t="s">
        <v>282</v>
      </c>
      <c r="Q140" s="3" t="s">
        <v>139</v>
      </c>
      <c r="R140" s="3" t="s">
        <v>427</v>
      </c>
      <c r="S140" s="4" t="s">
        <v>428</v>
      </c>
      <c r="U140" s="4" t="s">
        <v>139</v>
      </c>
      <c r="V140" s="4" t="s">
        <v>427</v>
      </c>
      <c r="W140" s="4" t="s">
        <v>428</v>
      </c>
      <c r="Y140" s="4" t="s">
        <v>2293</v>
      </c>
      <c r="Z140" s="4" t="s">
        <v>2293</v>
      </c>
      <c r="AB140" s="3"/>
      <c r="AC140" s="3"/>
      <c r="AD140" s="3" t="s">
        <v>2228</v>
      </c>
      <c r="AE140" s="3">
        <v>1000</v>
      </c>
      <c r="AI140" s="4" t="s">
        <v>2298</v>
      </c>
      <c r="AJ140" s="4" t="s">
        <v>2298</v>
      </c>
      <c r="AK140" s="3" t="s">
        <v>286</v>
      </c>
      <c r="AL140" s="4">
        <v>30080</v>
      </c>
      <c r="AM140" s="5">
        <v>28550</v>
      </c>
      <c r="AN140" s="4" t="s">
        <v>2282</v>
      </c>
      <c r="AO140" s="4">
        <v>98</v>
      </c>
      <c r="AP140" s="4">
        <v>80120000</v>
      </c>
    </row>
    <row r="141" spans="1:42" s="4" customFormat="1" x14ac:dyDescent="0.25">
      <c r="A141" s="3">
        <v>4604535</v>
      </c>
      <c r="B141" s="28">
        <v>41803</v>
      </c>
      <c r="C141" s="3" t="s">
        <v>560</v>
      </c>
      <c r="D141" s="3">
        <v>10004324</v>
      </c>
      <c r="E141" s="4">
        <v>4533886</v>
      </c>
      <c r="F141" s="3" t="s">
        <v>49</v>
      </c>
      <c r="G141" s="4" t="s">
        <v>751</v>
      </c>
      <c r="H141" s="4" t="s">
        <v>752</v>
      </c>
      <c r="I141" s="5">
        <v>29343</v>
      </c>
      <c r="J141" s="3" t="s">
        <v>750</v>
      </c>
      <c r="K141" s="3" t="s">
        <v>223</v>
      </c>
      <c r="L141" s="3" t="s">
        <v>119</v>
      </c>
      <c r="M141" s="4" t="s">
        <v>752</v>
      </c>
      <c r="N141" s="3" t="s">
        <v>56</v>
      </c>
      <c r="O141" s="3"/>
      <c r="Q141" s="3"/>
      <c r="R141" s="3"/>
      <c r="Y141" s="4" t="s">
        <v>753</v>
      </c>
      <c r="Z141" s="4" t="s">
        <v>753</v>
      </c>
      <c r="AA141" s="4" t="s">
        <v>754</v>
      </c>
      <c r="AB141" s="3" t="s">
        <v>755</v>
      </c>
      <c r="AC141" s="3" t="s">
        <v>756</v>
      </c>
      <c r="AD141" s="3" t="s">
        <v>757</v>
      </c>
      <c r="AE141" s="3">
        <v>1000</v>
      </c>
      <c r="AI141" s="4" t="s">
        <v>758</v>
      </c>
      <c r="AJ141" s="4" t="s">
        <v>758</v>
      </c>
      <c r="AK141" s="3"/>
      <c r="AL141" s="4">
        <v>49246</v>
      </c>
      <c r="AM141" s="5">
        <v>29343</v>
      </c>
      <c r="AN141" s="4" t="s">
        <v>124</v>
      </c>
      <c r="AO141" s="4">
        <v>99</v>
      </c>
      <c r="AP141" s="4">
        <v>80100000</v>
      </c>
    </row>
    <row r="142" spans="1:42" s="4" customFormat="1" x14ac:dyDescent="0.25">
      <c r="A142" s="3">
        <v>4604038</v>
      </c>
      <c r="B142" s="28">
        <v>42139</v>
      </c>
      <c r="C142" s="3" t="s">
        <v>1042</v>
      </c>
      <c r="D142" s="3">
        <v>10003762</v>
      </c>
      <c r="E142" s="4">
        <v>4533389</v>
      </c>
      <c r="F142" s="3" t="s">
        <v>49</v>
      </c>
      <c r="G142" s="4" t="s">
        <v>1228</v>
      </c>
      <c r="H142" s="4" t="s">
        <v>1229</v>
      </c>
      <c r="I142" s="5">
        <v>30000</v>
      </c>
      <c r="J142" s="3" t="s">
        <v>645</v>
      </c>
      <c r="K142" s="3" t="s">
        <v>1230</v>
      </c>
      <c r="L142" s="3" t="s">
        <v>196</v>
      </c>
      <c r="M142" s="4" t="s">
        <v>1231</v>
      </c>
      <c r="N142" s="3" t="s">
        <v>25</v>
      </c>
      <c r="O142" s="3"/>
      <c r="Q142" s="3" t="s">
        <v>139</v>
      </c>
      <c r="R142" s="3" t="s">
        <v>215</v>
      </c>
      <c r="S142" s="4" t="s">
        <v>216</v>
      </c>
      <c r="Y142" s="4" t="s">
        <v>1232</v>
      </c>
      <c r="Z142" s="4" t="s">
        <v>1232</v>
      </c>
      <c r="AB142" s="3"/>
      <c r="AC142" s="3"/>
      <c r="AD142" s="3" t="s">
        <v>1227</v>
      </c>
      <c r="AE142" s="3">
        <v>1000</v>
      </c>
      <c r="AI142" s="4" t="s">
        <v>1233</v>
      </c>
      <c r="AJ142" s="4" t="s">
        <v>1233</v>
      </c>
      <c r="AK142" s="3"/>
      <c r="AL142" s="4">
        <v>44880</v>
      </c>
      <c r="AM142" s="5">
        <v>30000</v>
      </c>
      <c r="AN142" s="4" t="s">
        <v>124</v>
      </c>
      <c r="AO142" s="4">
        <v>99</v>
      </c>
      <c r="AP142" s="4">
        <v>84120000</v>
      </c>
    </row>
    <row r="143" spans="1:42" s="4" customFormat="1" x14ac:dyDescent="0.25">
      <c r="A143" s="3">
        <v>4604694</v>
      </c>
      <c r="B143" s="28">
        <v>41892</v>
      </c>
      <c r="C143" s="3" t="s">
        <v>1278</v>
      </c>
      <c r="D143" s="3">
        <v>10004492</v>
      </c>
      <c r="E143" s="4">
        <v>4534045</v>
      </c>
      <c r="F143" s="3" t="s">
        <v>49</v>
      </c>
      <c r="G143" s="4" t="s">
        <v>1642</v>
      </c>
      <c r="H143" s="4" t="s">
        <v>1643</v>
      </c>
      <c r="I143" s="5">
        <v>30000</v>
      </c>
      <c r="J143" s="3" t="s">
        <v>1587</v>
      </c>
      <c r="K143" s="3" t="s">
        <v>173</v>
      </c>
      <c r="L143" s="3" t="s">
        <v>196</v>
      </c>
      <c r="M143" s="4" t="s">
        <v>1643</v>
      </c>
      <c r="N143" s="3" t="s">
        <v>25</v>
      </c>
      <c r="O143" s="3"/>
      <c r="Q143" s="3"/>
      <c r="R143" s="3"/>
      <c r="Y143" s="4" t="s">
        <v>267</v>
      </c>
      <c r="Z143" s="4" t="s">
        <v>267</v>
      </c>
      <c r="AB143" s="3"/>
      <c r="AC143" s="3"/>
      <c r="AD143" s="3" t="s">
        <v>1587</v>
      </c>
      <c r="AE143" s="3">
        <v>1000</v>
      </c>
      <c r="AI143" s="4" t="s">
        <v>270</v>
      </c>
      <c r="AJ143" s="4" t="s">
        <v>270</v>
      </c>
      <c r="AK143" s="3"/>
      <c r="AL143" s="4">
        <v>141740</v>
      </c>
      <c r="AM143" s="5">
        <v>30000</v>
      </c>
      <c r="AN143" s="4" t="s">
        <v>124</v>
      </c>
      <c r="AO143" s="4">
        <v>99</v>
      </c>
      <c r="AP143" s="4">
        <v>80110000</v>
      </c>
    </row>
    <row r="144" spans="1:42" s="4" customFormat="1" x14ac:dyDescent="0.25">
      <c r="A144" s="3">
        <v>4603600</v>
      </c>
      <c r="B144" s="28">
        <v>42185</v>
      </c>
      <c r="C144" s="3" t="s">
        <v>1042</v>
      </c>
      <c r="D144" s="3">
        <v>10003443</v>
      </c>
      <c r="E144" s="4">
        <v>4532951</v>
      </c>
      <c r="F144" s="3" t="s">
        <v>49</v>
      </c>
      <c r="G144" s="4" t="s">
        <v>1137</v>
      </c>
      <c r="H144" s="4" t="s">
        <v>1147</v>
      </c>
      <c r="I144" s="5">
        <v>30000</v>
      </c>
      <c r="J144" s="3" t="s">
        <v>1148</v>
      </c>
      <c r="K144" s="3" t="s">
        <v>365</v>
      </c>
      <c r="L144" s="3" t="s">
        <v>54</v>
      </c>
      <c r="M144" s="4" t="s">
        <v>1149</v>
      </c>
      <c r="N144" s="3" t="s">
        <v>56</v>
      </c>
      <c r="O144" s="3"/>
      <c r="Q144" s="3"/>
      <c r="R144" s="3"/>
      <c r="Y144" s="4" t="s">
        <v>1068</v>
      </c>
      <c r="Z144" s="4" t="s">
        <v>1090</v>
      </c>
      <c r="AA144" s="4" t="s">
        <v>1142</v>
      </c>
      <c r="AB144" s="3" t="s">
        <v>1142</v>
      </c>
      <c r="AC144" s="3" t="s">
        <v>1143</v>
      </c>
      <c r="AD144" s="3" t="s">
        <v>77</v>
      </c>
      <c r="AE144" s="3">
        <v>1000</v>
      </c>
      <c r="AI144" s="4" t="s">
        <v>1071</v>
      </c>
      <c r="AJ144" s="4" t="s">
        <v>1091</v>
      </c>
      <c r="AK144" s="3"/>
      <c r="AL144" s="4">
        <v>141215</v>
      </c>
      <c r="AM144" s="5">
        <v>30000</v>
      </c>
      <c r="AN144" s="4" t="s">
        <v>124</v>
      </c>
      <c r="AO144" s="4">
        <v>99</v>
      </c>
      <c r="AP144" s="4">
        <v>78111809</v>
      </c>
    </row>
    <row r="145" spans="1:42" s="4" customFormat="1" x14ac:dyDescent="0.25">
      <c r="A145" s="3">
        <v>4604695</v>
      </c>
      <c r="B145" s="28">
        <v>42185</v>
      </c>
      <c r="C145" s="3" t="s">
        <v>1278</v>
      </c>
      <c r="D145" s="3">
        <v>10004487</v>
      </c>
      <c r="E145" s="4">
        <v>4534046</v>
      </c>
      <c r="F145" s="3" t="s">
        <v>49</v>
      </c>
      <c r="G145" s="4" t="s">
        <v>1454</v>
      </c>
      <c r="H145" s="4" t="s">
        <v>1644</v>
      </c>
      <c r="I145" s="5">
        <v>30000</v>
      </c>
      <c r="J145" s="3" t="s">
        <v>786</v>
      </c>
      <c r="K145" s="3" t="s">
        <v>395</v>
      </c>
      <c r="L145" s="3" t="s">
        <v>119</v>
      </c>
      <c r="M145" s="4" t="s">
        <v>1644</v>
      </c>
      <c r="N145" s="3" t="s">
        <v>25</v>
      </c>
      <c r="O145" s="3"/>
      <c r="Q145" s="3"/>
      <c r="R145" s="3"/>
      <c r="Y145" s="4" t="s">
        <v>1141</v>
      </c>
      <c r="Z145" s="4" t="s">
        <v>1141</v>
      </c>
      <c r="AA145" s="4" t="s">
        <v>1645</v>
      </c>
      <c r="AB145" s="3"/>
      <c r="AC145" s="3"/>
      <c r="AD145" s="3" t="s">
        <v>77</v>
      </c>
      <c r="AE145" s="3">
        <v>1000</v>
      </c>
      <c r="AI145" s="4" t="s">
        <v>1144</v>
      </c>
      <c r="AJ145" s="4" t="s">
        <v>1144</v>
      </c>
      <c r="AK145" s="3"/>
      <c r="AL145" s="4">
        <v>141769</v>
      </c>
      <c r="AM145" s="5">
        <v>30000</v>
      </c>
      <c r="AN145" s="4" t="s">
        <v>124</v>
      </c>
      <c r="AO145" s="4">
        <v>99</v>
      </c>
      <c r="AP145" s="4">
        <v>72101500</v>
      </c>
    </row>
    <row r="146" spans="1:42" s="4" customFormat="1" x14ac:dyDescent="0.25">
      <c r="A146" s="3">
        <v>4604807</v>
      </c>
      <c r="B146" s="28">
        <v>41984</v>
      </c>
      <c r="C146" s="3" t="s">
        <v>1278</v>
      </c>
      <c r="D146" s="3">
        <v>10004604</v>
      </c>
      <c r="E146" s="4">
        <v>4534158</v>
      </c>
      <c r="F146" s="3" t="s">
        <v>49</v>
      </c>
      <c r="G146" s="4" t="s">
        <v>1454</v>
      </c>
      <c r="H146" s="4" t="s">
        <v>1756</v>
      </c>
      <c r="I146" s="5">
        <v>31108</v>
      </c>
      <c r="J146" s="3" t="s">
        <v>436</v>
      </c>
      <c r="K146" s="3" t="s">
        <v>901</v>
      </c>
      <c r="L146" s="3" t="s">
        <v>196</v>
      </c>
      <c r="M146" s="4" t="s">
        <v>1757</v>
      </c>
      <c r="N146" s="3" t="s">
        <v>25</v>
      </c>
      <c r="O146" s="3"/>
      <c r="Q146" s="3"/>
      <c r="R146" s="3"/>
      <c r="Y146" s="4" t="s">
        <v>1079</v>
      </c>
      <c r="Z146" s="4" t="s">
        <v>540</v>
      </c>
      <c r="AB146" s="3"/>
      <c r="AC146" s="3"/>
      <c r="AD146" s="3" t="s">
        <v>1240</v>
      </c>
      <c r="AE146" s="3">
        <v>1000</v>
      </c>
      <c r="AI146" s="4" t="s">
        <v>1083</v>
      </c>
      <c r="AJ146" s="4" t="s">
        <v>542</v>
      </c>
      <c r="AK146" s="3"/>
      <c r="AL146" s="4">
        <v>141769</v>
      </c>
      <c r="AM146" s="5">
        <v>31108</v>
      </c>
      <c r="AN146" s="4" t="s">
        <v>124</v>
      </c>
      <c r="AO146" s="4">
        <v>99</v>
      </c>
      <c r="AP146" s="4">
        <v>80100000</v>
      </c>
    </row>
    <row r="147" spans="1:42" s="4" customFormat="1" x14ac:dyDescent="0.25">
      <c r="A147" s="3">
        <v>4604995</v>
      </c>
      <c r="B147" s="28">
        <v>42164</v>
      </c>
      <c r="C147" s="3" t="s">
        <v>1278</v>
      </c>
      <c r="D147" s="3">
        <v>10004831</v>
      </c>
      <c r="E147" s="4">
        <v>4534346</v>
      </c>
      <c r="F147" s="3" t="s">
        <v>49</v>
      </c>
      <c r="G147" s="4" t="s">
        <v>1818</v>
      </c>
      <c r="H147" s="4" t="s">
        <v>2006</v>
      </c>
      <c r="I147" s="5">
        <v>31416</v>
      </c>
      <c r="J147" s="3" t="s">
        <v>1491</v>
      </c>
      <c r="K147" s="3" t="s">
        <v>439</v>
      </c>
      <c r="L147" s="3" t="s">
        <v>196</v>
      </c>
      <c r="M147" s="4" t="s">
        <v>2006</v>
      </c>
      <c r="N147" s="3" t="s">
        <v>25</v>
      </c>
      <c r="O147" s="3"/>
      <c r="Q147" s="3" t="s">
        <v>139</v>
      </c>
      <c r="R147" s="3" t="s">
        <v>427</v>
      </c>
      <c r="S147" s="4" t="s">
        <v>428</v>
      </c>
      <c r="U147" s="4" t="s">
        <v>139</v>
      </c>
      <c r="V147" s="4" t="s">
        <v>427</v>
      </c>
      <c r="W147" s="4" t="s">
        <v>428</v>
      </c>
      <c r="Y147" s="4" t="s">
        <v>1700</v>
      </c>
      <c r="Z147" s="4" t="s">
        <v>1995</v>
      </c>
      <c r="AB147" s="3"/>
      <c r="AC147" s="3"/>
      <c r="AD147" s="3" t="s">
        <v>1491</v>
      </c>
      <c r="AE147" s="3">
        <v>1000</v>
      </c>
      <c r="AI147" s="4" t="s">
        <v>1701</v>
      </c>
      <c r="AJ147" s="4" t="s">
        <v>1999</v>
      </c>
      <c r="AK147" s="3"/>
      <c r="AL147" s="4">
        <v>44100</v>
      </c>
      <c r="AM147" s="5">
        <v>31416</v>
      </c>
      <c r="AN147" s="4" t="s">
        <v>124</v>
      </c>
      <c r="AO147" s="4">
        <v>99</v>
      </c>
      <c r="AP147" s="4">
        <v>80101507</v>
      </c>
    </row>
    <row r="148" spans="1:42" s="4" customFormat="1" x14ac:dyDescent="0.25">
      <c r="A148" s="3">
        <v>4603008</v>
      </c>
      <c r="B148" s="28">
        <v>41793</v>
      </c>
      <c r="C148" s="3" t="s">
        <v>560</v>
      </c>
      <c r="D148" s="3">
        <v>10002828</v>
      </c>
      <c r="E148" s="4">
        <v>4532359</v>
      </c>
      <c r="F148" s="3" t="s">
        <v>49</v>
      </c>
      <c r="G148" s="4" t="s">
        <v>599</v>
      </c>
      <c r="H148" s="4" t="s">
        <v>600</v>
      </c>
      <c r="I148" s="5">
        <v>32000</v>
      </c>
      <c r="J148" s="3" t="s">
        <v>619</v>
      </c>
      <c r="K148" s="3" t="s">
        <v>620</v>
      </c>
      <c r="L148" s="3" t="s">
        <v>54</v>
      </c>
      <c r="M148" s="4" t="s">
        <v>621</v>
      </c>
      <c r="N148" s="3" t="s">
        <v>56</v>
      </c>
      <c r="O148" s="3"/>
      <c r="Q148" s="3"/>
      <c r="R148" s="3"/>
      <c r="Y148" s="4" t="s">
        <v>604</v>
      </c>
      <c r="Z148" s="4" t="s">
        <v>605</v>
      </c>
      <c r="AA148" s="4" t="s">
        <v>606</v>
      </c>
      <c r="AB148" s="3" t="s">
        <v>606</v>
      </c>
      <c r="AC148" s="3" t="s">
        <v>607</v>
      </c>
      <c r="AD148" s="3" t="s">
        <v>598</v>
      </c>
      <c r="AE148" s="3">
        <v>1000</v>
      </c>
      <c r="AI148" s="4" t="s">
        <v>608</v>
      </c>
      <c r="AJ148" s="4" t="s">
        <v>609</v>
      </c>
      <c r="AK148" s="3"/>
      <c r="AL148" s="4">
        <v>44723</v>
      </c>
      <c r="AM148" s="5">
        <v>32000</v>
      </c>
      <c r="AN148" s="4" t="s">
        <v>124</v>
      </c>
      <c r="AO148" s="4">
        <v>99</v>
      </c>
      <c r="AP148" s="4">
        <v>78111809</v>
      </c>
    </row>
    <row r="149" spans="1:42" s="4" customFormat="1" x14ac:dyDescent="0.25">
      <c r="A149" s="3">
        <v>4605025</v>
      </c>
      <c r="B149" s="28">
        <v>42173</v>
      </c>
      <c r="C149" s="3" t="s">
        <v>1278</v>
      </c>
      <c r="D149" s="3">
        <v>10004863</v>
      </c>
      <c r="E149" s="4">
        <v>4534376</v>
      </c>
      <c r="F149" s="3" t="s">
        <v>49</v>
      </c>
      <c r="G149" s="4" t="s">
        <v>1053</v>
      </c>
      <c r="H149" s="4" t="s">
        <v>2030</v>
      </c>
      <c r="I149" s="5">
        <v>32197.73</v>
      </c>
      <c r="J149" s="3" t="s">
        <v>77</v>
      </c>
      <c r="K149" s="3" t="s">
        <v>575</v>
      </c>
      <c r="L149" s="3" t="s">
        <v>119</v>
      </c>
      <c r="M149" s="4" t="s">
        <v>2031</v>
      </c>
      <c r="N149" s="3" t="s">
        <v>56</v>
      </c>
      <c r="O149" s="3"/>
      <c r="Q149" s="3"/>
      <c r="R149" s="3"/>
      <c r="Y149" s="4" t="s">
        <v>1056</v>
      </c>
      <c r="Z149" s="4" t="s">
        <v>1056</v>
      </c>
      <c r="AA149" s="4" t="s">
        <v>1057</v>
      </c>
      <c r="AB149" s="3" t="s">
        <v>1057</v>
      </c>
      <c r="AC149" s="3" t="s">
        <v>1340</v>
      </c>
      <c r="AD149" s="3" t="s">
        <v>385</v>
      </c>
      <c r="AE149" s="3">
        <v>1000</v>
      </c>
      <c r="AI149" s="4" t="s">
        <v>1058</v>
      </c>
      <c r="AJ149" s="4" t="s">
        <v>1058</v>
      </c>
      <c r="AK149" s="3"/>
      <c r="AL149" s="4">
        <v>140248</v>
      </c>
      <c r="AM149" s="5">
        <v>32197.73</v>
      </c>
      <c r="AN149" s="4" t="s">
        <v>124</v>
      </c>
      <c r="AO149" s="4">
        <v>99</v>
      </c>
      <c r="AP149" s="4">
        <v>43230000</v>
      </c>
    </row>
    <row r="150" spans="1:42" s="4" customFormat="1" x14ac:dyDescent="0.25">
      <c r="A150" s="3">
        <v>4604915</v>
      </c>
      <c r="B150" s="28">
        <v>42103</v>
      </c>
      <c r="C150" s="3" t="s">
        <v>1278</v>
      </c>
      <c r="D150" s="3">
        <v>10004728</v>
      </c>
      <c r="E150" s="4">
        <v>4534266</v>
      </c>
      <c r="F150" s="3" t="s">
        <v>49</v>
      </c>
      <c r="G150" s="4" t="s">
        <v>1053</v>
      </c>
      <c r="H150" s="4" t="s">
        <v>1767</v>
      </c>
      <c r="I150" s="5">
        <v>32844.35</v>
      </c>
      <c r="J150" s="3" t="s">
        <v>492</v>
      </c>
      <c r="K150" s="3" t="s">
        <v>422</v>
      </c>
      <c r="L150" s="3" t="s">
        <v>119</v>
      </c>
      <c r="M150" s="4" t="s">
        <v>1904</v>
      </c>
      <c r="N150" s="3" t="s">
        <v>56</v>
      </c>
      <c r="O150" s="3"/>
      <c r="Q150" s="3"/>
      <c r="R150" s="3"/>
      <c r="Y150" s="4" t="s">
        <v>1056</v>
      </c>
      <c r="Z150" s="4" t="s">
        <v>1056</v>
      </c>
      <c r="AA150" s="4" t="s">
        <v>1057</v>
      </c>
      <c r="AB150" s="3" t="s">
        <v>1057</v>
      </c>
      <c r="AC150" s="3" t="s">
        <v>1340</v>
      </c>
      <c r="AD150" s="3" t="s">
        <v>492</v>
      </c>
      <c r="AE150" s="3">
        <v>1000</v>
      </c>
      <c r="AI150" s="4" t="s">
        <v>1058</v>
      </c>
      <c r="AJ150" s="4" t="s">
        <v>1058</v>
      </c>
      <c r="AK150" s="3"/>
      <c r="AL150" s="4">
        <v>140248</v>
      </c>
      <c r="AM150" s="5">
        <v>32844.35</v>
      </c>
      <c r="AN150" s="4" t="s">
        <v>124</v>
      </c>
      <c r="AO150" s="4">
        <v>99</v>
      </c>
      <c r="AP150" s="4">
        <v>81111800</v>
      </c>
    </row>
    <row r="151" spans="1:42" s="4" customFormat="1" x14ac:dyDescent="0.25">
      <c r="A151" s="3">
        <v>4604619</v>
      </c>
      <c r="B151" s="28">
        <v>41831</v>
      </c>
      <c r="C151" s="3" t="s">
        <v>2073</v>
      </c>
      <c r="D151" s="3">
        <v>10004363</v>
      </c>
      <c r="E151" s="4">
        <v>4533970</v>
      </c>
      <c r="F151" s="3" t="s">
        <v>49</v>
      </c>
      <c r="G151" s="4" t="s">
        <v>342</v>
      </c>
      <c r="H151" s="4" t="s">
        <v>2079</v>
      </c>
      <c r="I151" s="5">
        <v>32890</v>
      </c>
      <c r="J151" s="3" t="s">
        <v>76</v>
      </c>
      <c r="K151" s="3" t="s">
        <v>77</v>
      </c>
      <c r="L151" s="3" t="s">
        <v>119</v>
      </c>
      <c r="M151" s="4" t="s">
        <v>2080</v>
      </c>
      <c r="N151" s="3" t="s">
        <v>56</v>
      </c>
      <c r="O151" s="3"/>
      <c r="Q151" s="3"/>
      <c r="R151" s="3"/>
      <c r="Y151" s="4" t="s">
        <v>368</v>
      </c>
      <c r="Z151" s="4" t="s">
        <v>368</v>
      </c>
      <c r="AA151" s="4" t="s">
        <v>1324</v>
      </c>
      <c r="AB151" s="3" t="s">
        <v>2081</v>
      </c>
      <c r="AC151" s="3" t="s">
        <v>1326</v>
      </c>
      <c r="AD151" s="3" t="s">
        <v>223</v>
      </c>
      <c r="AE151" s="3">
        <v>5000</v>
      </c>
      <c r="AI151" s="4" t="s">
        <v>370</v>
      </c>
      <c r="AJ151" s="4" t="s">
        <v>370</v>
      </c>
      <c r="AK151" s="3"/>
      <c r="AL151" s="4">
        <v>140447</v>
      </c>
      <c r="AM151" s="5">
        <v>32890</v>
      </c>
      <c r="AN151" s="4" t="s">
        <v>31</v>
      </c>
      <c r="AO151" s="4">
        <v>99</v>
      </c>
      <c r="AP151" s="4">
        <v>81112200</v>
      </c>
    </row>
    <row r="152" spans="1:42" s="4" customFormat="1" x14ac:dyDescent="0.25">
      <c r="A152" s="3">
        <v>4605010</v>
      </c>
      <c r="B152" s="28">
        <v>42150</v>
      </c>
      <c r="C152" s="3" t="s">
        <v>288</v>
      </c>
      <c r="D152" s="3">
        <v>10004859</v>
      </c>
      <c r="E152" s="4">
        <v>4534361</v>
      </c>
      <c r="F152" s="3" t="s">
        <v>49</v>
      </c>
      <c r="G152" s="4" t="s">
        <v>383</v>
      </c>
      <c r="H152" s="4" t="s">
        <v>384</v>
      </c>
      <c r="I152" s="5">
        <v>33000</v>
      </c>
      <c r="J152" s="3" t="s">
        <v>385</v>
      </c>
      <c r="K152" s="3" t="s">
        <v>386</v>
      </c>
      <c r="L152" s="3" t="s">
        <v>196</v>
      </c>
      <c r="M152" s="4" t="s">
        <v>384</v>
      </c>
      <c r="N152" s="3" t="s">
        <v>25</v>
      </c>
      <c r="O152" s="3" t="s">
        <v>139</v>
      </c>
      <c r="P152" s="4" t="s">
        <v>282</v>
      </c>
      <c r="Q152" s="3"/>
      <c r="R152" s="3"/>
      <c r="Y152" s="4" t="s">
        <v>379</v>
      </c>
      <c r="Z152" s="4" t="s">
        <v>379</v>
      </c>
      <c r="AA152" s="4" t="s">
        <v>387</v>
      </c>
      <c r="AB152" s="3"/>
      <c r="AC152" s="3"/>
      <c r="AD152" s="3" t="s">
        <v>380</v>
      </c>
      <c r="AE152" s="3">
        <v>1000</v>
      </c>
      <c r="AI152" s="4" t="s">
        <v>381</v>
      </c>
      <c r="AJ152" s="4" t="s">
        <v>381</v>
      </c>
      <c r="AK152" s="3" t="s">
        <v>286</v>
      </c>
      <c r="AL152" s="4">
        <v>141621</v>
      </c>
      <c r="AM152" s="5">
        <v>33000</v>
      </c>
      <c r="AN152" s="4" t="s">
        <v>124</v>
      </c>
      <c r="AO152" s="4">
        <v>99</v>
      </c>
      <c r="AP152" s="4">
        <v>80110000</v>
      </c>
    </row>
    <row r="153" spans="1:42" s="4" customFormat="1" x14ac:dyDescent="0.25">
      <c r="A153" s="3">
        <v>4604794</v>
      </c>
      <c r="B153" s="28">
        <v>41964</v>
      </c>
      <c r="C153" s="3" t="s">
        <v>392</v>
      </c>
      <c r="D153" s="3">
        <v>10004584</v>
      </c>
      <c r="E153" s="4">
        <v>4534145</v>
      </c>
      <c r="F153" s="3" t="s">
        <v>49</v>
      </c>
      <c r="G153" s="4" t="s">
        <v>425</v>
      </c>
      <c r="H153" s="4" t="s">
        <v>426</v>
      </c>
      <c r="I153" s="5">
        <v>33000</v>
      </c>
      <c r="J153" s="3" t="s">
        <v>424</v>
      </c>
      <c r="K153" s="3" t="s">
        <v>419</v>
      </c>
      <c r="L153" s="3" t="s">
        <v>196</v>
      </c>
      <c r="M153" s="4" t="s">
        <v>426</v>
      </c>
      <c r="N153" s="3" t="s">
        <v>25</v>
      </c>
      <c r="O153" s="3" t="s">
        <v>139</v>
      </c>
      <c r="P153" s="4" t="s">
        <v>140</v>
      </c>
      <c r="Q153" s="3" t="s">
        <v>139</v>
      </c>
      <c r="R153" s="3" t="s">
        <v>427</v>
      </c>
      <c r="S153" s="4" t="s">
        <v>428</v>
      </c>
      <c r="U153" s="4" t="s">
        <v>139</v>
      </c>
      <c r="V153" s="4" t="s">
        <v>119</v>
      </c>
      <c r="W153" s="4" t="s">
        <v>217</v>
      </c>
      <c r="X153" s="4" t="s">
        <v>429</v>
      </c>
      <c r="Y153" s="4" t="s">
        <v>430</v>
      </c>
      <c r="Z153" s="4" t="s">
        <v>431</v>
      </c>
      <c r="AB153" s="3"/>
      <c r="AC153" s="3"/>
      <c r="AD153" s="3" t="s">
        <v>432</v>
      </c>
      <c r="AE153" s="3">
        <v>1000</v>
      </c>
      <c r="AI153" s="4" t="s">
        <v>433</v>
      </c>
      <c r="AJ153" s="4" t="s">
        <v>434</v>
      </c>
      <c r="AK153" s="3" t="s">
        <v>143</v>
      </c>
      <c r="AL153" s="4">
        <v>141839</v>
      </c>
      <c r="AM153" s="5">
        <v>33000</v>
      </c>
      <c r="AN153" s="4" t="s">
        <v>124</v>
      </c>
      <c r="AO153" s="4">
        <v>99</v>
      </c>
      <c r="AP153" s="4">
        <v>80141500</v>
      </c>
    </row>
    <row r="154" spans="1:42" s="4" customFormat="1" x14ac:dyDescent="0.25">
      <c r="A154" s="3">
        <v>4604543</v>
      </c>
      <c r="B154" s="28">
        <v>41808</v>
      </c>
      <c r="C154" s="3" t="s">
        <v>560</v>
      </c>
      <c r="D154" s="3">
        <v>10004331</v>
      </c>
      <c r="E154" s="4">
        <v>4533894</v>
      </c>
      <c r="F154" s="3" t="s">
        <v>49</v>
      </c>
      <c r="G154" s="4" t="s">
        <v>305</v>
      </c>
      <c r="H154" s="4" t="s">
        <v>759</v>
      </c>
      <c r="I154" s="5">
        <v>33000</v>
      </c>
      <c r="J154" s="3" t="s">
        <v>265</v>
      </c>
      <c r="K154" s="3" t="s">
        <v>223</v>
      </c>
      <c r="L154" s="3" t="s">
        <v>196</v>
      </c>
      <c r="M154" s="4" t="s">
        <v>759</v>
      </c>
      <c r="N154" s="3" t="s">
        <v>25</v>
      </c>
      <c r="O154" s="3"/>
      <c r="Q154" s="3" t="s">
        <v>139</v>
      </c>
      <c r="R154" s="3" t="s">
        <v>119</v>
      </c>
      <c r="S154" s="4" t="s">
        <v>217</v>
      </c>
      <c r="T154" s="4" t="s">
        <v>760</v>
      </c>
      <c r="U154" s="4" t="s">
        <v>139</v>
      </c>
      <c r="V154" s="4" t="s">
        <v>119</v>
      </c>
      <c r="W154" s="4" t="s">
        <v>217</v>
      </c>
      <c r="X154" s="4" t="s">
        <v>760</v>
      </c>
      <c r="Y154" s="4" t="s">
        <v>761</v>
      </c>
      <c r="Z154" s="4" t="s">
        <v>761</v>
      </c>
      <c r="AB154" s="3"/>
      <c r="AC154" s="3"/>
      <c r="AD154" s="3" t="s">
        <v>192</v>
      </c>
      <c r="AE154" s="3">
        <v>1000</v>
      </c>
      <c r="AI154" s="4" t="s">
        <v>762</v>
      </c>
      <c r="AJ154" s="4" t="s">
        <v>762</v>
      </c>
      <c r="AK154" s="3"/>
      <c r="AL154" s="4">
        <v>141704</v>
      </c>
      <c r="AM154" s="5">
        <v>33000</v>
      </c>
      <c r="AN154" s="4" t="s">
        <v>124</v>
      </c>
      <c r="AO154" s="4">
        <v>99</v>
      </c>
      <c r="AP154" s="4">
        <v>80110000</v>
      </c>
    </row>
    <row r="155" spans="1:42" s="4" customFormat="1" x14ac:dyDescent="0.25">
      <c r="A155" s="3">
        <v>4603163</v>
      </c>
      <c r="B155" s="28">
        <v>41793</v>
      </c>
      <c r="C155" s="3" t="s">
        <v>2273</v>
      </c>
      <c r="D155" s="3">
        <v>10002992</v>
      </c>
      <c r="E155" s="4">
        <v>4532514</v>
      </c>
      <c r="F155" s="3" t="s">
        <v>49</v>
      </c>
      <c r="G155" s="4" t="s">
        <v>599</v>
      </c>
      <c r="H155" s="4" t="s">
        <v>1138</v>
      </c>
      <c r="I155" s="5">
        <v>33000</v>
      </c>
      <c r="J155" s="3" t="s">
        <v>98</v>
      </c>
      <c r="K155" s="3" t="s">
        <v>180</v>
      </c>
      <c r="L155" s="3" t="s">
        <v>54</v>
      </c>
      <c r="M155" s="4" t="s">
        <v>2314</v>
      </c>
      <c r="N155" s="3" t="s">
        <v>56</v>
      </c>
      <c r="O155" s="3"/>
      <c r="Q155" s="3"/>
      <c r="R155" s="3"/>
      <c r="Y155" s="4" t="s">
        <v>604</v>
      </c>
      <c r="Z155" s="4" t="s">
        <v>605</v>
      </c>
      <c r="AA155" s="4" t="s">
        <v>606</v>
      </c>
      <c r="AB155" s="3" t="s">
        <v>606</v>
      </c>
      <c r="AC155" s="3" t="s">
        <v>607</v>
      </c>
      <c r="AD155" s="3" t="s">
        <v>598</v>
      </c>
      <c r="AE155" s="3">
        <v>1000</v>
      </c>
      <c r="AI155" s="4" t="s">
        <v>608</v>
      </c>
      <c r="AJ155" s="4" t="s">
        <v>609</v>
      </c>
      <c r="AK155" s="3"/>
      <c r="AL155" s="4">
        <v>44723</v>
      </c>
      <c r="AM155" s="5">
        <v>33000</v>
      </c>
      <c r="AN155" s="4" t="s">
        <v>124</v>
      </c>
      <c r="AO155" s="4">
        <v>99</v>
      </c>
      <c r="AP155" s="4">
        <v>78111809</v>
      </c>
    </row>
    <row r="156" spans="1:42" s="4" customFormat="1" x14ac:dyDescent="0.25">
      <c r="A156" s="3">
        <v>4604918</v>
      </c>
      <c r="B156" s="28">
        <v>42107</v>
      </c>
      <c r="C156" s="3" t="s">
        <v>1278</v>
      </c>
      <c r="D156" s="3">
        <v>10004743</v>
      </c>
      <c r="E156" s="4">
        <v>4534269</v>
      </c>
      <c r="F156" s="3" t="s">
        <v>49</v>
      </c>
      <c r="G156" s="4" t="s">
        <v>1502</v>
      </c>
      <c r="H156" s="4" t="s">
        <v>1906</v>
      </c>
      <c r="I156" s="5">
        <v>33000</v>
      </c>
      <c r="J156" s="3" t="s">
        <v>500</v>
      </c>
      <c r="K156" s="3" t="s">
        <v>77</v>
      </c>
      <c r="L156" s="3" t="s">
        <v>119</v>
      </c>
      <c r="M156" s="4" t="s">
        <v>1906</v>
      </c>
      <c r="N156" s="3" t="s">
        <v>56</v>
      </c>
      <c r="O156" s="3"/>
      <c r="Q156" s="3"/>
      <c r="R156" s="3"/>
      <c r="Y156" s="4" t="s">
        <v>1344</v>
      </c>
      <c r="Z156" s="4" t="s">
        <v>1344</v>
      </c>
      <c r="AA156" s="4" t="s">
        <v>412</v>
      </c>
      <c r="AB156" s="3" t="s">
        <v>1504</v>
      </c>
      <c r="AC156" s="3" t="s">
        <v>414</v>
      </c>
      <c r="AD156" s="3" t="s">
        <v>492</v>
      </c>
      <c r="AE156" s="3">
        <v>1000</v>
      </c>
      <c r="AI156" s="4" t="s">
        <v>1346</v>
      </c>
      <c r="AJ156" s="4" t="s">
        <v>1346</v>
      </c>
      <c r="AK156" s="3"/>
      <c r="AL156" s="4">
        <v>49955</v>
      </c>
      <c r="AM156" s="5">
        <v>33000</v>
      </c>
      <c r="AN156" s="4" t="s">
        <v>124</v>
      </c>
      <c r="AO156" s="4">
        <v>99</v>
      </c>
      <c r="AP156" s="4">
        <v>81112200</v>
      </c>
    </row>
    <row r="157" spans="1:42" s="4" customFormat="1" x14ac:dyDescent="0.25">
      <c r="A157" s="3">
        <v>4604737</v>
      </c>
      <c r="B157" s="28">
        <v>41922</v>
      </c>
      <c r="C157" s="3" t="s">
        <v>1278</v>
      </c>
      <c r="D157" s="3">
        <v>10004491</v>
      </c>
      <c r="E157" s="4">
        <v>4534088</v>
      </c>
      <c r="F157" s="3" t="s">
        <v>49</v>
      </c>
      <c r="G157" s="4" t="s">
        <v>1657</v>
      </c>
      <c r="H157" s="4" t="s">
        <v>1684</v>
      </c>
      <c r="I157" s="5">
        <v>33110</v>
      </c>
      <c r="J157" s="3" t="s">
        <v>745</v>
      </c>
      <c r="K157" s="3" t="s">
        <v>395</v>
      </c>
      <c r="L157" s="3" t="s">
        <v>196</v>
      </c>
      <c r="M157" s="4" t="s">
        <v>1685</v>
      </c>
      <c r="N157" s="3" t="s">
        <v>25</v>
      </c>
      <c r="O157" s="3"/>
      <c r="Q157" s="3"/>
      <c r="R157" s="3"/>
      <c r="Y157" s="4" t="s">
        <v>1056</v>
      </c>
      <c r="Z157" s="4" t="s">
        <v>1056</v>
      </c>
      <c r="AB157" s="3"/>
      <c r="AC157" s="3"/>
      <c r="AD157" s="3" t="s">
        <v>1683</v>
      </c>
      <c r="AE157" s="3">
        <v>1000</v>
      </c>
      <c r="AI157" s="4" t="s">
        <v>1058</v>
      </c>
      <c r="AJ157" s="4" t="s">
        <v>1058</v>
      </c>
      <c r="AK157" s="3"/>
      <c r="AL157" s="4">
        <v>47407</v>
      </c>
      <c r="AM157" s="5">
        <v>33110</v>
      </c>
      <c r="AN157" s="4" t="s">
        <v>124</v>
      </c>
      <c r="AO157" s="4">
        <v>99</v>
      </c>
      <c r="AP157" s="4">
        <v>44110000</v>
      </c>
    </row>
    <row r="158" spans="1:42" s="4" customFormat="1" x14ac:dyDescent="0.25">
      <c r="A158" s="3">
        <v>4604349</v>
      </c>
      <c r="B158" s="28">
        <v>41674</v>
      </c>
      <c r="C158" s="3" t="s">
        <v>1278</v>
      </c>
      <c r="D158" s="3">
        <v>10004130</v>
      </c>
      <c r="E158" s="4">
        <v>4533700</v>
      </c>
      <c r="F158" s="3" t="s">
        <v>49</v>
      </c>
      <c r="G158" s="4" t="s">
        <v>1303</v>
      </c>
      <c r="H158" s="4" t="s">
        <v>1304</v>
      </c>
      <c r="I158" s="5">
        <v>33137.5</v>
      </c>
      <c r="J158" s="3" t="s">
        <v>1298</v>
      </c>
      <c r="K158" s="3" t="s">
        <v>959</v>
      </c>
      <c r="L158" s="3" t="s">
        <v>196</v>
      </c>
      <c r="M158" s="4" t="s">
        <v>1304</v>
      </c>
      <c r="N158" s="3" t="s">
        <v>25</v>
      </c>
      <c r="O158" s="3"/>
      <c r="Q158" s="3"/>
      <c r="R158" s="3"/>
      <c r="Y158" s="4" t="s">
        <v>1305</v>
      </c>
      <c r="Z158" s="4" t="s">
        <v>1305</v>
      </c>
      <c r="AB158" s="3"/>
      <c r="AC158" s="3"/>
      <c r="AD158" s="3" t="s">
        <v>1302</v>
      </c>
      <c r="AE158" s="3">
        <v>1000</v>
      </c>
      <c r="AI158" s="4" t="s">
        <v>1306</v>
      </c>
      <c r="AJ158" s="4" t="s">
        <v>1306</v>
      </c>
      <c r="AK158" s="3"/>
      <c r="AL158" s="4">
        <v>141677</v>
      </c>
      <c r="AM158" s="5">
        <v>33137.5</v>
      </c>
      <c r="AN158" s="4" t="s">
        <v>124</v>
      </c>
      <c r="AO158" s="4">
        <v>99</v>
      </c>
      <c r="AP158" s="4">
        <v>43230000</v>
      </c>
    </row>
    <row r="159" spans="1:42" s="4" customFormat="1" x14ac:dyDescent="0.25">
      <c r="A159" s="3">
        <v>4604888</v>
      </c>
      <c r="B159" s="28">
        <v>42185</v>
      </c>
      <c r="C159" s="3" t="s">
        <v>1278</v>
      </c>
      <c r="D159" s="3">
        <v>10004701</v>
      </c>
      <c r="E159" s="4">
        <v>4534239</v>
      </c>
      <c r="F159" s="3" t="s">
        <v>49</v>
      </c>
      <c r="G159" s="4" t="s">
        <v>1454</v>
      </c>
      <c r="H159" s="4" t="s">
        <v>1876</v>
      </c>
      <c r="I159" s="5">
        <v>33386.1</v>
      </c>
      <c r="J159" s="3" t="s">
        <v>1877</v>
      </c>
      <c r="K159" s="3" t="s">
        <v>77</v>
      </c>
      <c r="L159" s="3" t="s">
        <v>119</v>
      </c>
      <c r="M159" s="4" t="s">
        <v>1876</v>
      </c>
      <c r="N159" s="3" t="s">
        <v>25</v>
      </c>
      <c r="O159" s="3"/>
      <c r="Q159" s="3"/>
      <c r="R159" s="3"/>
      <c r="Y159" s="4" t="s">
        <v>1141</v>
      </c>
      <c r="Z159" s="4" t="s">
        <v>1141</v>
      </c>
      <c r="AA159" s="4" t="s">
        <v>1645</v>
      </c>
      <c r="AB159" s="3"/>
      <c r="AC159" s="3"/>
      <c r="AD159" s="3" t="s">
        <v>77</v>
      </c>
      <c r="AE159" s="3">
        <v>1000</v>
      </c>
      <c r="AI159" s="4" t="s">
        <v>1144</v>
      </c>
      <c r="AJ159" s="4" t="s">
        <v>1144</v>
      </c>
      <c r="AK159" s="3"/>
      <c r="AL159" s="4">
        <v>141769</v>
      </c>
      <c r="AM159" s="5">
        <v>33386.1</v>
      </c>
      <c r="AN159" s="4" t="s">
        <v>124</v>
      </c>
      <c r="AO159" s="4">
        <v>99</v>
      </c>
      <c r="AP159" s="4">
        <v>72101500</v>
      </c>
    </row>
    <row r="160" spans="1:42" s="4" customFormat="1" x14ac:dyDescent="0.25">
      <c r="A160" s="3">
        <v>4604824</v>
      </c>
      <c r="B160" s="28">
        <v>42016</v>
      </c>
      <c r="C160" s="3" t="s">
        <v>1278</v>
      </c>
      <c r="D160" s="3">
        <v>10004622</v>
      </c>
      <c r="E160" s="4">
        <v>4534175</v>
      </c>
      <c r="F160" s="3" t="s">
        <v>49</v>
      </c>
      <c r="G160" s="4" t="s">
        <v>1454</v>
      </c>
      <c r="H160" s="4" t="s">
        <v>1784</v>
      </c>
      <c r="I160" s="5">
        <v>33594</v>
      </c>
      <c r="J160" s="3" t="s">
        <v>335</v>
      </c>
      <c r="K160" s="3" t="s">
        <v>480</v>
      </c>
      <c r="L160" s="3" t="s">
        <v>119</v>
      </c>
      <c r="M160" s="4" t="s">
        <v>1784</v>
      </c>
      <c r="N160" s="3" t="s">
        <v>25</v>
      </c>
      <c r="O160" s="3"/>
      <c r="Q160" s="3"/>
      <c r="R160" s="3"/>
      <c r="Y160" s="4" t="s">
        <v>1785</v>
      </c>
      <c r="Z160" s="4" t="s">
        <v>1785</v>
      </c>
      <c r="AA160" s="4" t="s">
        <v>1786</v>
      </c>
      <c r="AB160" s="3"/>
      <c r="AC160" s="3"/>
      <c r="AD160" s="3" t="s">
        <v>335</v>
      </c>
      <c r="AE160" s="3">
        <v>1000</v>
      </c>
      <c r="AI160" s="4" t="s">
        <v>1787</v>
      </c>
      <c r="AJ160" s="4" t="s">
        <v>1787</v>
      </c>
      <c r="AK160" s="3"/>
      <c r="AL160" s="4">
        <v>141769</v>
      </c>
      <c r="AM160" s="5">
        <v>33594</v>
      </c>
      <c r="AN160" s="4" t="s">
        <v>124</v>
      </c>
      <c r="AO160" s="4">
        <v>99</v>
      </c>
      <c r="AP160" s="4">
        <v>72100000</v>
      </c>
    </row>
    <row r="161" spans="1:42" s="4" customFormat="1" x14ac:dyDescent="0.25">
      <c r="A161" s="3">
        <v>4605002</v>
      </c>
      <c r="B161" s="28">
        <v>42165</v>
      </c>
      <c r="C161" s="3" t="s">
        <v>1278</v>
      </c>
      <c r="D161" s="3">
        <v>10004832</v>
      </c>
      <c r="E161" s="4">
        <v>4534353</v>
      </c>
      <c r="F161" s="3" t="s">
        <v>49</v>
      </c>
      <c r="G161" s="4" t="s">
        <v>2008</v>
      </c>
      <c r="H161" s="4" t="s">
        <v>2009</v>
      </c>
      <c r="I161" s="5">
        <v>33749.050000000003</v>
      </c>
      <c r="J161" s="3" t="s">
        <v>472</v>
      </c>
      <c r="K161" s="3" t="s">
        <v>77</v>
      </c>
      <c r="L161" s="3" t="s">
        <v>196</v>
      </c>
      <c r="M161" s="4" t="s">
        <v>2009</v>
      </c>
      <c r="N161" s="3" t="s">
        <v>25</v>
      </c>
      <c r="O161" s="3"/>
      <c r="Q161" s="3"/>
      <c r="R161" s="3"/>
      <c r="Y161" s="4" t="s">
        <v>1959</v>
      </c>
      <c r="Z161" s="4" t="s">
        <v>1959</v>
      </c>
      <c r="AB161" s="3"/>
      <c r="AC161" s="3"/>
      <c r="AD161" s="3" t="s">
        <v>77</v>
      </c>
      <c r="AE161" s="3">
        <v>1000</v>
      </c>
      <c r="AI161" s="4" t="s">
        <v>1960</v>
      </c>
      <c r="AJ161" s="4" t="s">
        <v>1960</v>
      </c>
      <c r="AK161" s="3"/>
      <c r="AL161" s="4">
        <v>141907</v>
      </c>
      <c r="AM161" s="5">
        <v>33749.050000000003</v>
      </c>
      <c r="AN161" s="4" t="s">
        <v>124</v>
      </c>
      <c r="AO161" s="4">
        <v>99</v>
      </c>
      <c r="AP161" s="4">
        <v>43230000</v>
      </c>
    </row>
    <row r="162" spans="1:42" s="4" customFormat="1" x14ac:dyDescent="0.25">
      <c r="A162" s="3">
        <v>4604696</v>
      </c>
      <c r="B162" s="28">
        <v>42185</v>
      </c>
      <c r="C162" s="3" t="s">
        <v>1278</v>
      </c>
      <c r="D162" s="3">
        <v>10004485</v>
      </c>
      <c r="E162" s="4">
        <v>4534047</v>
      </c>
      <c r="F162" s="3" t="s">
        <v>49</v>
      </c>
      <c r="G162" s="4" t="s">
        <v>1454</v>
      </c>
      <c r="H162" s="4" t="s">
        <v>1646</v>
      </c>
      <c r="I162" s="5">
        <v>33896.120000000003</v>
      </c>
      <c r="J162" s="3" t="s">
        <v>745</v>
      </c>
      <c r="K162" s="3" t="s">
        <v>395</v>
      </c>
      <c r="L162" s="3" t="s">
        <v>119</v>
      </c>
      <c r="M162" s="4" t="s">
        <v>1646</v>
      </c>
      <c r="N162" s="3" t="s">
        <v>25</v>
      </c>
      <c r="O162" s="3"/>
      <c r="Q162" s="3"/>
      <c r="R162" s="3"/>
      <c r="Y162" s="4" t="s">
        <v>1141</v>
      </c>
      <c r="Z162" s="4" t="s">
        <v>1141</v>
      </c>
      <c r="AA162" s="4" t="s">
        <v>1647</v>
      </c>
      <c r="AB162" s="3"/>
      <c r="AC162" s="3"/>
      <c r="AD162" s="3" t="s">
        <v>77</v>
      </c>
      <c r="AE162" s="3">
        <v>1000</v>
      </c>
      <c r="AI162" s="4" t="s">
        <v>1144</v>
      </c>
      <c r="AJ162" s="4" t="s">
        <v>1144</v>
      </c>
      <c r="AK162" s="3"/>
      <c r="AL162" s="4">
        <v>141769</v>
      </c>
      <c r="AM162" s="5">
        <v>33896.120000000003</v>
      </c>
      <c r="AN162" s="4" t="s">
        <v>124</v>
      </c>
      <c r="AO162" s="4">
        <v>98</v>
      </c>
      <c r="AP162" s="4">
        <v>72101500</v>
      </c>
    </row>
    <row r="163" spans="1:42" s="4" customFormat="1" x14ac:dyDescent="0.25">
      <c r="A163" s="3">
        <v>4602635</v>
      </c>
      <c r="B163" s="28">
        <v>41793</v>
      </c>
      <c r="C163" s="3" t="s">
        <v>797</v>
      </c>
      <c r="D163" s="3">
        <v>10002588</v>
      </c>
      <c r="E163" s="4">
        <v>4531986</v>
      </c>
      <c r="F163" s="3" t="s">
        <v>49</v>
      </c>
      <c r="G163" s="4" t="s">
        <v>599</v>
      </c>
      <c r="H163" s="4" t="s">
        <v>600</v>
      </c>
      <c r="I163" s="5">
        <v>34000</v>
      </c>
      <c r="J163" s="3" t="s">
        <v>809</v>
      </c>
      <c r="K163" s="3" t="s">
        <v>818</v>
      </c>
      <c r="L163" s="3" t="s">
        <v>54</v>
      </c>
      <c r="M163" s="4" t="s">
        <v>819</v>
      </c>
      <c r="N163" s="3" t="s">
        <v>56</v>
      </c>
      <c r="O163" s="3"/>
      <c r="Q163" s="3"/>
      <c r="R163" s="3"/>
      <c r="Y163" s="4" t="s">
        <v>604</v>
      </c>
      <c r="Z163" s="4" t="s">
        <v>605</v>
      </c>
      <c r="AA163" s="4" t="s">
        <v>606</v>
      </c>
      <c r="AB163" s="3" t="s">
        <v>606</v>
      </c>
      <c r="AC163" s="3" t="s">
        <v>607</v>
      </c>
      <c r="AD163" s="3" t="s">
        <v>598</v>
      </c>
      <c r="AE163" s="3">
        <v>1000</v>
      </c>
      <c r="AI163" s="4" t="s">
        <v>608</v>
      </c>
      <c r="AJ163" s="4" t="s">
        <v>609</v>
      </c>
      <c r="AK163" s="3"/>
      <c r="AL163" s="4">
        <v>44723</v>
      </c>
      <c r="AM163" s="5">
        <v>34000</v>
      </c>
      <c r="AN163" s="4" t="s">
        <v>124</v>
      </c>
      <c r="AO163" s="4">
        <v>99</v>
      </c>
      <c r="AP163" s="4">
        <v>78111809</v>
      </c>
    </row>
    <row r="164" spans="1:42" s="4" customFormat="1" x14ac:dyDescent="0.25">
      <c r="A164" s="3">
        <v>4604667</v>
      </c>
      <c r="B164" s="28">
        <v>41866</v>
      </c>
      <c r="C164" s="3" t="s">
        <v>1278</v>
      </c>
      <c r="D164" s="3">
        <v>10004455</v>
      </c>
      <c r="E164" s="4">
        <v>4534018</v>
      </c>
      <c r="F164" s="3" t="s">
        <v>49</v>
      </c>
      <c r="G164" s="4" t="s">
        <v>1053</v>
      </c>
      <c r="H164" s="4" t="s">
        <v>1597</v>
      </c>
      <c r="I164" s="5">
        <v>34366.639999999999</v>
      </c>
      <c r="J164" s="3" t="s">
        <v>187</v>
      </c>
      <c r="K164" s="3" t="s">
        <v>832</v>
      </c>
      <c r="L164" s="3" t="s">
        <v>119</v>
      </c>
      <c r="M164" s="4" t="s">
        <v>1598</v>
      </c>
      <c r="N164" s="3" t="s">
        <v>56</v>
      </c>
      <c r="O164" s="3"/>
      <c r="Q164" s="3"/>
      <c r="R164" s="3"/>
      <c r="Y164" s="4" t="s">
        <v>1056</v>
      </c>
      <c r="Z164" s="4" t="s">
        <v>1090</v>
      </c>
      <c r="AA164" s="4" t="s">
        <v>1057</v>
      </c>
      <c r="AB164" s="3" t="s">
        <v>1057</v>
      </c>
      <c r="AC164" s="3" t="s">
        <v>1340</v>
      </c>
      <c r="AD164" s="3" t="s">
        <v>183</v>
      </c>
      <c r="AE164" s="3">
        <v>1000</v>
      </c>
      <c r="AI164" s="4" t="s">
        <v>1058</v>
      </c>
      <c r="AJ164" s="4" t="s">
        <v>1091</v>
      </c>
      <c r="AK164" s="3"/>
      <c r="AL164" s="4">
        <v>140248</v>
      </c>
      <c r="AM164" s="5">
        <v>34366.639999999999</v>
      </c>
      <c r="AN164" s="4" t="s">
        <v>124</v>
      </c>
      <c r="AO164" s="4">
        <v>99</v>
      </c>
      <c r="AP164" s="4">
        <v>43210000</v>
      </c>
    </row>
    <row r="165" spans="1:42" s="4" customFormat="1" x14ac:dyDescent="0.25">
      <c r="A165" s="3">
        <v>4605008</v>
      </c>
      <c r="B165" s="28">
        <v>42166</v>
      </c>
      <c r="C165" s="3" t="s">
        <v>392</v>
      </c>
      <c r="D165" s="3">
        <v>10004862</v>
      </c>
      <c r="E165" s="4">
        <v>4534359</v>
      </c>
      <c r="F165" s="3" t="s">
        <v>49</v>
      </c>
      <c r="G165" s="4" t="s">
        <v>536</v>
      </c>
      <c r="H165" s="4" t="s">
        <v>537</v>
      </c>
      <c r="I165" s="5">
        <v>35000</v>
      </c>
      <c r="J165" s="3" t="s">
        <v>535</v>
      </c>
      <c r="K165" s="3" t="s">
        <v>77</v>
      </c>
      <c r="L165" s="3" t="s">
        <v>196</v>
      </c>
      <c r="M165" s="4" t="s">
        <v>538</v>
      </c>
      <c r="N165" s="3" t="s">
        <v>25</v>
      </c>
      <c r="O165" s="3"/>
      <c r="Q165" s="3"/>
      <c r="R165" s="3"/>
      <c r="Y165" s="4" t="s">
        <v>539</v>
      </c>
      <c r="Z165" s="4" t="s">
        <v>540</v>
      </c>
      <c r="AB165" s="3"/>
      <c r="AC165" s="3"/>
      <c r="AD165" s="3" t="s">
        <v>535</v>
      </c>
      <c r="AE165" s="3">
        <v>1000</v>
      </c>
      <c r="AI165" s="4" t="s">
        <v>541</v>
      </c>
      <c r="AJ165" s="4" t="s">
        <v>542</v>
      </c>
      <c r="AK165" s="3"/>
      <c r="AL165" s="4">
        <v>140525</v>
      </c>
      <c r="AM165" s="5">
        <v>35000</v>
      </c>
      <c r="AN165" s="4" t="s">
        <v>124</v>
      </c>
      <c r="AO165" s="4">
        <v>99</v>
      </c>
      <c r="AP165" s="4">
        <v>80160000</v>
      </c>
    </row>
    <row r="166" spans="1:42" s="4" customFormat="1" x14ac:dyDescent="0.25">
      <c r="A166" s="3">
        <v>4604549</v>
      </c>
      <c r="B166" s="28">
        <v>41799</v>
      </c>
      <c r="C166" s="3" t="s">
        <v>1278</v>
      </c>
      <c r="D166" s="3">
        <v>10004335</v>
      </c>
      <c r="E166" s="4">
        <v>4533900</v>
      </c>
      <c r="F166" s="3" t="s">
        <v>49</v>
      </c>
      <c r="G166" s="4" t="s">
        <v>1397</v>
      </c>
      <c r="H166" s="4" t="s">
        <v>1398</v>
      </c>
      <c r="I166" s="5">
        <v>35000</v>
      </c>
      <c r="J166" s="3" t="s">
        <v>1396</v>
      </c>
      <c r="K166" s="3" t="s">
        <v>807</v>
      </c>
      <c r="L166" s="3" t="s">
        <v>196</v>
      </c>
      <c r="M166" s="4" t="s">
        <v>1398</v>
      </c>
      <c r="N166" s="3" t="s">
        <v>25</v>
      </c>
      <c r="O166" s="3"/>
      <c r="Q166" s="3"/>
      <c r="R166" s="3"/>
      <c r="Y166" s="4" t="s">
        <v>1393</v>
      </c>
      <c r="Z166" s="4" t="s">
        <v>1393</v>
      </c>
      <c r="AB166" s="3"/>
      <c r="AC166" s="3"/>
      <c r="AD166" s="3" t="s">
        <v>195</v>
      </c>
      <c r="AE166" s="3">
        <v>1000</v>
      </c>
      <c r="AI166" s="4" t="s">
        <v>1395</v>
      </c>
      <c r="AJ166" s="4" t="s">
        <v>1395</v>
      </c>
      <c r="AK166" s="3"/>
      <c r="AL166" s="4">
        <v>141758</v>
      </c>
      <c r="AM166" s="5">
        <v>35000</v>
      </c>
      <c r="AN166" s="4" t="s">
        <v>124</v>
      </c>
      <c r="AO166" s="4">
        <v>99</v>
      </c>
      <c r="AP166" s="4">
        <v>80100000</v>
      </c>
    </row>
    <row r="167" spans="1:42" s="4" customFormat="1" x14ac:dyDescent="0.25">
      <c r="A167" s="3">
        <v>4603599</v>
      </c>
      <c r="B167" s="28">
        <v>42185</v>
      </c>
      <c r="C167" s="3" t="s">
        <v>1042</v>
      </c>
      <c r="D167" s="3">
        <v>10003442</v>
      </c>
      <c r="E167" s="4">
        <v>4532950</v>
      </c>
      <c r="F167" s="3" t="s">
        <v>49</v>
      </c>
      <c r="G167" s="4" t="s">
        <v>1137</v>
      </c>
      <c r="H167" s="4" t="s">
        <v>1138</v>
      </c>
      <c r="I167" s="5">
        <v>35000</v>
      </c>
      <c r="J167" s="3" t="s">
        <v>1145</v>
      </c>
      <c r="K167" s="3" t="s">
        <v>237</v>
      </c>
      <c r="L167" s="3" t="s">
        <v>54</v>
      </c>
      <c r="M167" s="4" t="s">
        <v>1146</v>
      </c>
      <c r="N167" s="3" t="s">
        <v>56</v>
      </c>
      <c r="O167" s="3"/>
      <c r="Q167" s="3"/>
      <c r="R167" s="3"/>
      <c r="Y167" s="4" t="s">
        <v>1141</v>
      </c>
      <c r="Z167" s="4" t="s">
        <v>1090</v>
      </c>
      <c r="AA167" s="4" t="s">
        <v>1142</v>
      </c>
      <c r="AB167" s="3" t="s">
        <v>1142</v>
      </c>
      <c r="AC167" s="3" t="s">
        <v>1143</v>
      </c>
      <c r="AD167" s="3" t="s">
        <v>77</v>
      </c>
      <c r="AE167" s="3">
        <v>1000</v>
      </c>
      <c r="AI167" s="4" t="s">
        <v>1144</v>
      </c>
      <c r="AJ167" s="4" t="s">
        <v>1091</v>
      </c>
      <c r="AK167" s="3"/>
      <c r="AL167" s="4">
        <v>141215</v>
      </c>
      <c r="AM167" s="5">
        <v>35000</v>
      </c>
      <c r="AN167" s="4" t="s">
        <v>124</v>
      </c>
      <c r="AO167" s="4">
        <v>99</v>
      </c>
      <c r="AP167" s="4">
        <v>78111809</v>
      </c>
    </row>
    <row r="168" spans="1:42" s="4" customFormat="1" x14ac:dyDescent="0.25">
      <c r="A168" s="3">
        <v>4604467</v>
      </c>
      <c r="B168" s="28">
        <v>41870</v>
      </c>
      <c r="C168" s="3" t="s">
        <v>107</v>
      </c>
      <c r="D168" s="3">
        <v>10004263</v>
      </c>
      <c r="E168" s="4">
        <v>4533818</v>
      </c>
      <c r="F168" s="3" t="s">
        <v>49</v>
      </c>
      <c r="G168" s="4" t="s">
        <v>184</v>
      </c>
      <c r="H168" s="4" t="s">
        <v>185</v>
      </c>
      <c r="I168" s="5">
        <v>35000</v>
      </c>
      <c r="J168" s="3" t="s">
        <v>186</v>
      </c>
      <c r="K168" s="3" t="s">
        <v>187</v>
      </c>
      <c r="L168" s="3" t="s">
        <v>119</v>
      </c>
      <c r="M168" s="4" t="s">
        <v>185</v>
      </c>
      <c r="N168" s="3" t="s">
        <v>56</v>
      </c>
      <c r="O168" s="3"/>
      <c r="Q168" s="3"/>
      <c r="R168" s="3"/>
      <c r="Y168" s="4" t="s">
        <v>179</v>
      </c>
      <c r="Z168" s="4" t="s">
        <v>179</v>
      </c>
      <c r="AA168" s="4" t="s">
        <v>188</v>
      </c>
      <c r="AB168" s="3" t="s">
        <v>189</v>
      </c>
      <c r="AC168" s="3" t="s">
        <v>190</v>
      </c>
      <c r="AD168" s="3" t="s">
        <v>191</v>
      </c>
      <c r="AE168" s="3">
        <v>1000</v>
      </c>
      <c r="AI168" s="4" t="s">
        <v>182</v>
      </c>
      <c r="AJ168" s="4" t="s">
        <v>182</v>
      </c>
      <c r="AK168" s="3"/>
      <c r="AL168" s="4">
        <v>40619</v>
      </c>
      <c r="AM168" s="5">
        <v>35000</v>
      </c>
      <c r="AN168" s="4" t="s">
        <v>124</v>
      </c>
      <c r="AO168" s="4">
        <v>99</v>
      </c>
      <c r="AP168" s="4">
        <v>80111600</v>
      </c>
    </row>
    <row r="169" spans="1:42" s="4" customFormat="1" x14ac:dyDescent="0.25">
      <c r="A169" s="3">
        <v>4604606</v>
      </c>
      <c r="B169" s="28">
        <v>41829</v>
      </c>
      <c r="C169" s="3" t="s">
        <v>1278</v>
      </c>
      <c r="D169" s="3">
        <v>10004388</v>
      </c>
      <c r="E169" s="4">
        <v>4533957</v>
      </c>
      <c r="F169" s="3" t="s">
        <v>49</v>
      </c>
      <c r="G169" s="4" t="s">
        <v>1486</v>
      </c>
      <c r="H169" s="4" t="s">
        <v>1487</v>
      </c>
      <c r="I169" s="5">
        <v>35000</v>
      </c>
      <c r="J169" s="3" t="s">
        <v>113</v>
      </c>
      <c r="K169" s="3" t="s">
        <v>77</v>
      </c>
      <c r="L169" s="3" t="s">
        <v>119</v>
      </c>
      <c r="M169" s="4" t="s">
        <v>1488</v>
      </c>
      <c r="N169" s="3" t="s">
        <v>56</v>
      </c>
      <c r="O169" s="3"/>
      <c r="Q169" s="3"/>
      <c r="R169" s="3"/>
      <c r="Y169" s="4" t="s">
        <v>1056</v>
      </c>
      <c r="Z169" s="4" t="s">
        <v>1090</v>
      </c>
      <c r="AA169" s="4" t="s">
        <v>1468</v>
      </c>
      <c r="AB169" s="3" t="s">
        <v>1468</v>
      </c>
      <c r="AC169" s="3" t="s">
        <v>1470</v>
      </c>
      <c r="AD169" s="3" t="s">
        <v>211</v>
      </c>
      <c r="AE169" s="3">
        <v>1000</v>
      </c>
      <c r="AI169" s="4" t="s">
        <v>1058</v>
      </c>
      <c r="AJ169" s="4" t="s">
        <v>1091</v>
      </c>
      <c r="AK169" s="3"/>
      <c r="AL169" s="4">
        <v>40501</v>
      </c>
      <c r="AM169" s="5">
        <v>35000</v>
      </c>
      <c r="AN169" s="4" t="s">
        <v>124</v>
      </c>
      <c r="AO169" s="4">
        <v>99</v>
      </c>
      <c r="AP169" s="4">
        <v>43200000</v>
      </c>
    </row>
    <row r="170" spans="1:42" s="4" customFormat="1" x14ac:dyDescent="0.25">
      <c r="A170" s="3">
        <v>4604836</v>
      </c>
      <c r="B170" s="28">
        <v>42065</v>
      </c>
      <c r="C170" s="3" t="s">
        <v>1278</v>
      </c>
      <c r="D170" s="3">
        <v>10004631</v>
      </c>
      <c r="E170" s="4">
        <v>4534187</v>
      </c>
      <c r="F170" s="3" t="s">
        <v>49</v>
      </c>
      <c r="G170" s="4" t="s">
        <v>1454</v>
      </c>
      <c r="H170" s="4" t="s">
        <v>1798</v>
      </c>
      <c r="I170" s="5">
        <v>35000</v>
      </c>
      <c r="J170" s="3" t="s">
        <v>1770</v>
      </c>
      <c r="K170" s="3" t="s">
        <v>1159</v>
      </c>
      <c r="L170" s="3" t="s">
        <v>119</v>
      </c>
      <c r="M170" s="4" t="s">
        <v>1799</v>
      </c>
      <c r="N170" s="3" t="s">
        <v>25</v>
      </c>
      <c r="O170" s="3"/>
      <c r="Q170" s="3"/>
      <c r="R170" s="3"/>
      <c r="Y170" s="4" t="s">
        <v>1141</v>
      </c>
      <c r="Z170" s="4" t="s">
        <v>1141</v>
      </c>
      <c r="AA170" s="4" t="s">
        <v>1645</v>
      </c>
      <c r="AB170" s="3"/>
      <c r="AC170" s="3"/>
      <c r="AD170" s="3" t="s">
        <v>475</v>
      </c>
      <c r="AE170" s="3">
        <v>1000</v>
      </c>
      <c r="AI170" s="4" t="s">
        <v>1144</v>
      </c>
      <c r="AJ170" s="4" t="s">
        <v>1144</v>
      </c>
      <c r="AK170" s="3"/>
      <c r="AL170" s="4">
        <v>141769</v>
      </c>
      <c r="AM170" s="5">
        <v>35000</v>
      </c>
      <c r="AN170" s="4" t="s">
        <v>124</v>
      </c>
      <c r="AO170" s="4">
        <v>99</v>
      </c>
      <c r="AP170" s="4">
        <v>72101500</v>
      </c>
    </row>
    <row r="171" spans="1:42" s="4" customFormat="1" x14ac:dyDescent="0.25">
      <c r="A171" s="3">
        <v>4604770</v>
      </c>
      <c r="B171" s="28">
        <v>41932</v>
      </c>
      <c r="C171" s="3" t="s">
        <v>1278</v>
      </c>
      <c r="D171" s="3">
        <v>10004540</v>
      </c>
      <c r="E171" s="4">
        <v>4534121</v>
      </c>
      <c r="F171" s="3" t="s">
        <v>49</v>
      </c>
      <c r="G171" s="4" t="s">
        <v>1716</v>
      </c>
      <c r="H171" s="4" t="s">
        <v>1717</v>
      </c>
      <c r="I171" s="5">
        <v>35288</v>
      </c>
      <c r="J171" s="3" t="s">
        <v>1688</v>
      </c>
      <c r="K171" s="3" t="s">
        <v>292</v>
      </c>
      <c r="L171" s="3" t="s">
        <v>119</v>
      </c>
      <c r="M171" s="4" t="s">
        <v>1717</v>
      </c>
      <c r="N171" s="3" t="s">
        <v>56</v>
      </c>
      <c r="O171" s="3"/>
      <c r="Q171" s="3"/>
      <c r="R171" s="3"/>
      <c r="Y171" s="4" t="s">
        <v>1700</v>
      </c>
      <c r="Z171" s="4" t="s">
        <v>1700</v>
      </c>
      <c r="AA171" s="4">
        <v>20000194</v>
      </c>
      <c r="AB171" s="3" t="s">
        <v>1718</v>
      </c>
      <c r="AC171" s="3" t="s">
        <v>1719</v>
      </c>
      <c r="AD171" s="3" t="s">
        <v>1059</v>
      </c>
      <c r="AE171" s="3">
        <v>1000</v>
      </c>
      <c r="AI171" s="4" t="s">
        <v>1701</v>
      </c>
      <c r="AJ171" s="4" t="s">
        <v>1701</v>
      </c>
      <c r="AK171" s="3"/>
      <c r="AL171" s="4">
        <v>44468</v>
      </c>
      <c r="AM171" s="5">
        <v>35288</v>
      </c>
      <c r="AN171" s="4" t="s">
        <v>124</v>
      </c>
      <c r="AO171" s="4">
        <v>99</v>
      </c>
      <c r="AP171" s="4">
        <v>80101507</v>
      </c>
    </row>
    <row r="172" spans="1:42" s="4" customFormat="1" x14ac:dyDescent="0.25">
      <c r="A172" s="3">
        <v>4604663</v>
      </c>
      <c r="B172" s="28">
        <v>41863</v>
      </c>
      <c r="C172" s="3" t="s">
        <v>1278</v>
      </c>
      <c r="D172" s="3">
        <v>10004411</v>
      </c>
      <c r="E172" s="4">
        <v>4534014</v>
      </c>
      <c r="F172" s="3" t="s">
        <v>49</v>
      </c>
      <c r="G172" s="4" t="s">
        <v>1053</v>
      </c>
      <c r="H172" s="4" t="s">
        <v>1590</v>
      </c>
      <c r="I172" s="5">
        <v>35860</v>
      </c>
      <c r="J172" s="3" t="s">
        <v>1591</v>
      </c>
      <c r="K172" s="3" t="s">
        <v>807</v>
      </c>
      <c r="L172" s="3" t="s">
        <v>119</v>
      </c>
      <c r="M172" s="4" t="s">
        <v>1592</v>
      </c>
      <c r="N172" s="3" t="s">
        <v>56</v>
      </c>
      <c r="O172" s="3"/>
      <c r="Q172" s="3"/>
      <c r="R172" s="3"/>
      <c r="Y172" s="4" t="s">
        <v>1056</v>
      </c>
      <c r="Z172" s="4" t="s">
        <v>1090</v>
      </c>
      <c r="AA172" s="4" t="s">
        <v>1057</v>
      </c>
      <c r="AB172" s="3" t="s">
        <v>1057</v>
      </c>
      <c r="AC172" s="3" t="s">
        <v>1340</v>
      </c>
      <c r="AD172" s="3" t="s">
        <v>1593</v>
      </c>
      <c r="AE172" s="3">
        <v>1000</v>
      </c>
      <c r="AI172" s="4" t="s">
        <v>1058</v>
      </c>
      <c r="AJ172" s="4" t="s">
        <v>1091</v>
      </c>
      <c r="AK172" s="3"/>
      <c r="AL172" s="4">
        <v>140248</v>
      </c>
      <c r="AM172" s="5">
        <v>35860</v>
      </c>
      <c r="AN172" s="4" t="s">
        <v>124</v>
      </c>
      <c r="AO172" s="4">
        <v>99</v>
      </c>
      <c r="AP172" s="4">
        <v>43222500</v>
      </c>
    </row>
    <row r="173" spans="1:42" s="4" customFormat="1" x14ac:dyDescent="0.25">
      <c r="A173" s="3">
        <v>4604941</v>
      </c>
      <c r="B173" s="28">
        <v>42111</v>
      </c>
      <c r="C173" s="3" t="s">
        <v>2093</v>
      </c>
      <c r="D173" s="3">
        <v>10004729</v>
      </c>
      <c r="E173" s="4">
        <v>4534292</v>
      </c>
      <c r="F173" s="3" t="s">
        <v>49</v>
      </c>
      <c r="G173" s="4" t="s">
        <v>572</v>
      </c>
      <c r="H173" s="4" t="s">
        <v>2133</v>
      </c>
      <c r="I173" s="5">
        <v>36000</v>
      </c>
      <c r="J173" s="3" t="s">
        <v>513</v>
      </c>
      <c r="K173" s="3" t="s">
        <v>516</v>
      </c>
      <c r="L173" s="3" t="s">
        <v>196</v>
      </c>
      <c r="M173" s="4" t="s">
        <v>2133</v>
      </c>
      <c r="N173" s="3" t="s">
        <v>25</v>
      </c>
      <c r="O173" s="3"/>
      <c r="Q173" s="3"/>
      <c r="R173" s="3"/>
      <c r="Y173" s="4" t="s">
        <v>933</v>
      </c>
      <c r="Z173" s="4" t="s">
        <v>933</v>
      </c>
      <c r="AB173" s="3"/>
      <c r="AC173" s="3"/>
      <c r="AD173" s="3" t="s">
        <v>2134</v>
      </c>
      <c r="AE173" s="3">
        <v>1000</v>
      </c>
      <c r="AI173" s="4" t="s">
        <v>934</v>
      </c>
      <c r="AJ173" s="4" t="s">
        <v>934</v>
      </c>
      <c r="AK173" s="3"/>
      <c r="AL173" s="4">
        <v>45868</v>
      </c>
      <c r="AM173" s="5">
        <v>36000</v>
      </c>
      <c r="AN173" s="4" t="s">
        <v>124</v>
      </c>
      <c r="AO173" s="4">
        <v>99</v>
      </c>
      <c r="AP173" s="4">
        <v>80101507</v>
      </c>
    </row>
    <row r="174" spans="1:42" s="4" customFormat="1" x14ac:dyDescent="0.25">
      <c r="A174" s="3">
        <v>4604885</v>
      </c>
      <c r="B174" s="28">
        <v>42164</v>
      </c>
      <c r="C174" s="3" t="s">
        <v>1278</v>
      </c>
      <c r="D174" s="3">
        <v>10004698</v>
      </c>
      <c r="E174" s="4">
        <v>4534236</v>
      </c>
      <c r="F174" s="3" t="s">
        <v>49</v>
      </c>
      <c r="G174" s="4" t="s">
        <v>1865</v>
      </c>
      <c r="H174" s="4" t="s">
        <v>1866</v>
      </c>
      <c r="I174" s="5">
        <v>36100</v>
      </c>
      <c r="J174" s="3" t="s">
        <v>477</v>
      </c>
      <c r="K174" s="3" t="s">
        <v>77</v>
      </c>
      <c r="L174" s="3" t="s">
        <v>119</v>
      </c>
      <c r="M174" s="4" t="s">
        <v>1866</v>
      </c>
      <c r="N174" s="3" t="s">
        <v>56</v>
      </c>
      <c r="O174" s="3"/>
      <c r="Q174" s="3"/>
      <c r="R174" s="3"/>
      <c r="Y174" s="4" t="s">
        <v>1068</v>
      </c>
      <c r="Z174" s="4" t="s">
        <v>1090</v>
      </c>
      <c r="AA174" s="4" t="s">
        <v>1867</v>
      </c>
      <c r="AB174" s="3" t="s">
        <v>1868</v>
      </c>
      <c r="AC174" s="3" t="s">
        <v>1869</v>
      </c>
      <c r="AD174" s="3" t="s">
        <v>474</v>
      </c>
      <c r="AE174" s="3">
        <v>1000</v>
      </c>
      <c r="AI174" s="4" t="s">
        <v>1071</v>
      </c>
      <c r="AJ174" s="4" t="s">
        <v>1091</v>
      </c>
      <c r="AK174" s="3"/>
      <c r="AL174" s="4">
        <v>44725</v>
      </c>
      <c r="AM174" s="5">
        <v>36100</v>
      </c>
      <c r="AN174" s="4" t="s">
        <v>124</v>
      </c>
      <c r="AO174" s="4">
        <v>99</v>
      </c>
      <c r="AP174" s="4">
        <v>14111509</v>
      </c>
    </row>
    <row r="175" spans="1:42" s="4" customFormat="1" x14ac:dyDescent="0.25">
      <c r="A175" s="3">
        <v>4605030</v>
      </c>
      <c r="B175" s="28">
        <v>42125</v>
      </c>
      <c r="C175" s="3" t="s">
        <v>2342</v>
      </c>
      <c r="D175" s="3">
        <v>10004870</v>
      </c>
      <c r="E175" s="4">
        <v>4534381</v>
      </c>
      <c r="F175" s="3" t="s">
        <v>49</v>
      </c>
      <c r="G175" s="4" t="s">
        <v>2411</v>
      </c>
      <c r="H175" s="4" t="s">
        <v>2227</v>
      </c>
      <c r="I175" s="5">
        <v>36300</v>
      </c>
      <c r="J175" s="3" t="s">
        <v>53</v>
      </c>
      <c r="K175" s="3" t="s">
        <v>374</v>
      </c>
      <c r="L175" s="3" t="s">
        <v>196</v>
      </c>
      <c r="M175" s="4" t="s">
        <v>2412</v>
      </c>
      <c r="N175" s="3" t="s">
        <v>25</v>
      </c>
      <c r="O175" s="3"/>
      <c r="Q175" s="3"/>
      <c r="R175" s="3"/>
      <c r="Y175" s="4" t="s">
        <v>2277</v>
      </c>
      <c r="Z175" s="4" t="s">
        <v>2386</v>
      </c>
      <c r="AB175" s="3"/>
      <c r="AC175" s="3"/>
      <c r="AD175" s="3" t="s">
        <v>1159</v>
      </c>
      <c r="AE175" s="3">
        <v>1000</v>
      </c>
      <c r="AI175" s="4" t="s">
        <v>2281</v>
      </c>
      <c r="AJ175" s="4" t="s">
        <v>2387</v>
      </c>
      <c r="AK175" s="3"/>
      <c r="AL175" s="4">
        <v>141917</v>
      </c>
      <c r="AM175" s="5">
        <v>36300</v>
      </c>
      <c r="AN175" s="4" t="s">
        <v>124</v>
      </c>
      <c r="AO175" s="4">
        <v>99</v>
      </c>
      <c r="AP175" s="4">
        <v>80160000</v>
      </c>
    </row>
    <row r="176" spans="1:42" s="4" customFormat="1" x14ac:dyDescent="0.25">
      <c r="A176" s="3">
        <v>4605044</v>
      </c>
      <c r="B176" s="28">
        <v>42180</v>
      </c>
      <c r="C176" s="3" t="s">
        <v>1278</v>
      </c>
      <c r="D176" s="3">
        <v>10004894</v>
      </c>
      <c r="E176" s="4">
        <v>4534395</v>
      </c>
      <c r="F176" s="3" t="s">
        <v>49</v>
      </c>
      <c r="G176" s="4" t="s">
        <v>1360</v>
      </c>
      <c r="H176" s="4" t="s">
        <v>2053</v>
      </c>
      <c r="I176" s="5">
        <v>36300</v>
      </c>
      <c r="J176" s="3" t="s">
        <v>543</v>
      </c>
      <c r="K176" s="3" t="s">
        <v>77</v>
      </c>
      <c r="L176" s="3" t="s">
        <v>119</v>
      </c>
      <c r="M176" s="4" t="s">
        <v>2053</v>
      </c>
      <c r="N176" s="3" t="s">
        <v>56</v>
      </c>
      <c r="O176" s="3"/>
      <c r="Q176" s="3"/>
      <c r="R176" s="3"/>
      <c r="Y176" s="4" t="s">
        <v>1959</v>
      </c>
      <c r="Z176" s="4" t="s">
        <v>1959</v>
      </c>
      <c r="AA176" s="4" t="s">
        <v>1324</v>
      </c>
      <c r="AB176" s="3" t="s">
        <v>1363</v>
      </c>
      <c r="AC176" s="3" t="s">
        <v>1326</v>
      </c>
      <c r="AD176" s="3" t="s">
        <v>369</v>
      </c>
      <c r="AE176" s="3">
        <v>1000</v>
      </c>
      <c r="AI176" s="4" t="s">
        <v>1960</v>
      </c>
      <c r="AJ176" s="4" t="s">
        <v>1960</v>
      </c>
      <c r="AK176" s="3"/>
      <c r="AL176" s="4">
        <v>49879</v>
      </c>
      <c r="AM176" s="5">
        <v>36300</v>
      </c>
      <c r="AN176" s="4" t="s">
        <v>124</v>
      </c>
      <c r="AO176" s="4">
        <v>99</v>
      </c>
      <c r="AP176" s="4">
        <v>43230000</v>
      </c>
    </row>
    <row r="177" spans="1:42" s="4" customFormat="1" x14ac:dyDescent="0.25">
      <c r="A177" s="3">
        <v>4604833</v>
      </c>
      <c r="B177" s="28">
        <v>42024</v>
      </c>
      <c r="C177" s="3" t="s">
        <v>392</v>
      </c>
      <c r="D177" s="3">
        <v>10004590</v>
      </c>
      <c r="E177" s="4">
        <v>4534184</v>
      </c>
      <c r="F177" s="3" t="s">
        <v>49</v>
      </c>
      <c r="G177" s="4" t="s">
        <v>372</v>
      </c>
      <c r="H177" s="4" t="s">
        <v>446</v>
      </c>
      <c r="I177" s="5">
        <v>36850</v>
      </c>
      <c r="J177" s="3" t="s">
        <v>447</v>
      </c>
      <c r="K177" s="3" t="s">
        <v>448</v>
      </c>
      <c r="L177" s="3" t="s">
        <v>119</v>
      </c>
      <c r="M177" s="4" t="s">
        <v>446</v>
      </c>
      <c r="N177" s="3" t="s">
        <v>56</v>
      </c>
      <c r="O177" s="3" t="s">
        <v>139</v>
      </c>
      <c r="P177" s="4" t="s">
        <v>140</v>
      </c>
      <c r="Q177" s="3"/>
      <c r="R177" s="3"/>
      <c r="Y177" s="4" t="s">
        <v>420</v>
      </c>
      <c r="Z177" s="4" t="s">
        <v>420</v>
      </c>
      <c r="AA177" s="4" t="s">
        <v>356</v>
      </c>
      <c r="AB177" s="3" t="s">
        <v>375</v>
      </c>
      <c r="AC177" s="3" t="s">
        <v>358</v>
      </c>
      <c r="AD177" s="3" t="s">
        <v>449</v>
      </c>
      <c r="AE177" s="3">
        <v>1000</v>
      </c>
      <c r="AI177" s="4" t="s">
        <v>423</v>
      </c>
      <c r="AJ177" s="4" t="s">
        <v>423</v>
      </c>
      <c r="AK177" s="3" t="s">
        <v>143</v>
      </c>
      <c r="AL177" s="4">
        <v>43825</v>
      </c>
      <c r="AM177" s="5">
        <v>36850</v>
      </c>
      <c r="AN177" s="4" t="s">
        <v>124</v>
      </c>
      <c r="AO177" s="4">
        <v>99</v>
      </c>
      <c r="AP177" s="4">
        <v>81121500</v>
      </c>
    </row>
    <row r="178" spans="1:42" s="4" customFormat="1" x14ac:dyDescent="0.25">
      <c r="A178" s="3">
        <v>4604750</v>
      </c>
      <c r="B178" s="28">
        <v>42024</v>
      </c>
      <c r="C178" s="3" t="s">
        <v>392</v>
      </c>
      <c r="D178" s="3">
        <v>10004546</v>
      </c>
      <c r="E178" s="4">
        <v>4534101</v>
      </c>
      <c r="F178" s="3" t="s">
        <v>49</v>
      </c>
      <c r="G178" s="4" t="s">
        <v>174</v>
      </c>
      <c r="H178" s="4" t="s">
        <v>403</v>
      </c>
      <c r="I178" s="5">
        <v>36960</v>
      </c>
      <c r="J178" s="3" t="s">
        <v>320</v>
      </c>
      <c r="K178" s="3" t="s">
        <v>404</v>
      </c>
      <c r="L178" s="3" t="s">
        <v>119</v>
      </c>
      <c r="M178" s="4" t="s">
        <v>403</v>
      </c>
      <c r="N178" s="3" t="s">
        <v>56</v>
      </c>
      <c r="O178" s="3"/>
      <c r="Q178" s="3"/>
      <c r="R178" s="3"/>
      <c r="Y178" s="4" t="s">
        <v>405</v>
      </c>
      <c r="Z178" s="4" t="s">
        <v>406</v>
      </c>
      <c r="AA178" s="4" t="s">
        <v>188</v>
      </c>
      <c r="AB178" s="3" t="s">
        <v>401</v>
      </c>
      <c r="AC178" s="3" t="s">
        <v>190</v>
      </c>
      <c r="AD178" s="3" t="s">
        <v>407</v>
      </c>
      <c r="AE178" s="3">
        <v>1000</v>
      </c>
      <c r="AI178" s="4" t="s">
        <v>408</v>
      </c>
      <c r="AJ178" s="4" t="s">
        <v>409</v>
      </c>
      <c r="AK178" s="3"/>
      <c r="AL178" s="4">
        <v>40476</v>
      </c>
      <c r="AM178" s="5">
        <v>36960</v>
      </c>
      <c r="AN178" s="4" t="s">
        <v>124</v>
      </c>
      <c r="AO178" s="4">
        <v>99</v>
      </c>
      <c r="AP178" s="4">
        <v>80111600</v>
      </c>
    </row>
    <row r="179" spans="1:42" s="4" customFormat="1" x14ac:dyDescent="0.25">
      <c r="A179" s="3">
        <v>4604640</v>
      </c>
      <c r="B179" s="28">
        <v>41850</v>
      </c>
      <c r="C179" s="3" t="s">
        <v>1278</v>
      </c>
      <c r="D179" s="3">
        <v>10004432</v>
      </c>
      <c r="E179" s="4">
        <v>4533991</v>
      </c>
      <c r="F179" s="3" t="s">
        <v>49</v>
      </c>
      <c r="G179" s="4" t="s">
        <v>1561</v>
      </c>
      <c r="H179" s="4" t="s">
        <v>1562</v>
      </c>
      <c r="I179" s="5">
        <v>37600</v>
      </c>
      <c r="J179" s="3" t="s">
        <v>1563</v>
      </c>
      <c r="K179" s="3" t="s">
        <v>997</v>
      </c>
      <c r="L179" s="3" t="s">
        <v>196</v>
      </c>
      <c r="M179" s="4" t="s">
        <v>1564</v>
      </c>
      <c r="N179" s="3" t="s">
        <v>25</v>
      </c>
      <c r="O179" s="3"/>
      <c r="Q179" s="3"/>
      <c r="R179" s="3"/>
      <c r="Y179" s="4" t="s">
        <v>1056</v>
      </c>
      <c r="Z179" s="4" t="s">
        <v>1090</v>
      </c>
      <c r="AB179" s="3"/>
      <c r="AC179" s="3"/>
      <c r="AD179" s="3" t="s">
        <v>223</v>
      </c>
      <c r="AE179" s="3">
        <v>1000</v>
      </c>
      <c r="AI179" s="4" t="s">
        <v>1058</v>
      </c>
      <c r="AJ179" s="4" t="s">
        <v>1091</v>
      </c>
      <c r="AK179" s="3"/>
      <c r="AL179" s="4">
        <v>30955</v>
      </c>
      <c r="AM179" s="5">
        <v>37600</v>
      </c>
      <c r="AN179" s="4" t="s">
        <v>124</v>
      </c>
      <c r="AO179" s="4">
        <v>99</v>
      </c>
    </row>
    <row r="180" spans="1:42" s="4" customFormat="1" x14ac:dyDescent="0.25">
      <c r="A180" s="3">
        <v>4604595</v>
      </c>
      <c r="B180" s="28">
        <v>42185</v>
      </c>
      <c r="C180" s="3" t="s">
        <v>1278</v>
      </c>
      <c r="D180" s="3">
        <v>10004375</v>
      </c>
      <c r="E180" s="4">
        <v>4533946</v>
      </c>
      <c r="F180" s="3" t="s">
        <v>49</v>
      </c>
      <c r="G180" s="4" t="s">
        <v>1454</v>
      </c>
      <c r="H180" s="4" t="s">
        <v>1455</v>
      </c>
      <c r="I180" s="5">
        <v>38216.199999999997</v>
      </c>
      <c r="J180" s="3" t="s">
        <v>627</v>
      </c>
      <c r="K180" s="3" t="s">
        <v>77</v>
      </c>
      <c r="L180" s="3" t="s">
        <v>196</v>
      </c>
      <c r="M180" s="4" t="s">
        <v>1456</v>
      </c>
      <c r="N180" s="3" t="s">
        <v>25</v>
      </c>
      <c r="O180" s="3"/>
      <c r="Q180" s="3"/>
      <c r="R180" s="3"/>
      <c r="Y180" s="4" t="s">
        <v>1141</v>
      </c>
      <c r="Z180" s="4" t="s">
        <v>1141</v>
      </c>
      <c r="AB180" s="3"/>
      <c r="AC180" s="3"/>
      <c r="AD180" s="3" t="s">
        <v>77</v>
      </c>
      <c r="AE180" s="3">
        <v>1000</v>
      </c>
      <c r="AI180" s="4" t="s">
        <v>1144</v>
      </c>
      <c r="AJ180" s="4" t="s">
        <v>1144</v>
      </c>
      <c r="AK180" s="3"/>
      <c r="AL180" s="4">
        <v>141769</v>
      </c>
      <c r="AM180" s="5">
        <v>38216.199999999997</v>
      </c>
      <c r="AN180" s="4" t="s">
        <v>124</v>
      </c>
      <c r="AO180" s="4">
        <v>99</v>
      </c>
      <c r="AP180" s="4">
        <v>72101500</v>
      </c>
    </row>
    <row r="181" spans="1:42" s="4" customFormat="1" x14ac:dyDescent="0.25">
      <c r="A181" s="3">
        <v>4604960</v>
      </c>
      <c r="B181" s="28">
        <v>42135</v>
      </c>
      <c r="C181" s="3" t="s">
        <v>1278</v>
      </c>
      <c r="D181" s="3">
        <v>10004780</v>
      </c>
      <c r="E181" s="4">
        <v>4534311</v>
      </c>
      <c r="F181" s="3" t="s">
        <v>49</v>
      </c>
      <c r="G181" s="4" t="s">
        <v>1951</v>
      </c>
      <c r="H181" s="4" t="s">
        <v>1952</v>
      </c>
      <c r="I181" s="5">
        <v>38392.199999999997</v>
      </c>
      <c r="J181" s="3" t="s">
        <v>292</v>
      </c>
      <c r="K181" s="3" t="s">
        <v>302</v>
      </c>
      <c r="L181" s="3" t="s">
        <v>119</v>
      </c>
      <c r="M181" s="4" t="s">
        <v>1953</v>
      </c>
      <c r="N181" s="3" t="s">
        <v>56</v>
      </c>
      <c r="O181" s="3"/>
      <c r="Q181" s="3"/>
      <c r="R181" s="3"/>
      <c r="Y181" s="4" t="s">
        <v>1079</v>
      </c>
      <c r="Z181" s="4" t="s">
        <v>1090</v>
      </c>
      <c r="AA181" s="4" t="s">
        <v>1095</v>
      </c>
      <c r="AB181" s="3" t="s">
        <v>1954</v>
      </c>
      <c r="AC181" s="3" t="s">
        <v>1097</v>
      </c>
      <c r="AD181" s="3" t="s">
        <v>359</v>
      </c>
      <c r="AE181" s="3">
        <v>1000</v>
      </c>
      <c r="AI181" s="4" t="s">
        <v>1083</v>
      </c>
      <c r="AJ181" s="4" t="s">
        <v>1091</v>
      </c>
      <c r="AK181" s="3"/>
      <c r="AL181" s="4">
        <v>40413</v>
      </c>
      <c r="AM181" s="5">
        <v>38392.199999999997</v>
      </c>
      <c r="AN181" s="4" t="s">
        <v>124</v>
      </c>
      <c r="AO181" s="4">
        <v>99</v>
      </c>
      <c r="AP181" s="4">
        <v>44100000</v>
      </c>
    </row>
    <row r="182" spans="1:42" s="4" customFormat="1" x14ac:dyDescent="0.25">
      <c r="A182" s="3">
        <v>4604879</v>
      </c>
      <c r="B182" s="28">
        <v>42079</v>
      </c>
      <c r="C182" s="3" t="s">
        <v>1278</v>
      </c>
      <c r="D182" s="3">
        <v>10004694</v>
      </c>
      <c r="E182" s="4">
        <v>4534230</v>
      </c>
      <c r="F182" s="3" t="s">
        <v>49</v>
      </c>
      <c r="G182" s="4" t="s">
        <v>134</v>
      </c>
      <c r="H182" s="4" t="s">
        <v>1849</v>
      </c>
      <c r="I182" s="5">
        <v>38395.5</v>
      </c>
      <c r="J182" s="3" t="s">
        <v>477</v>
      </c>
      <c r="K182" s="3" t="s">
        <v>172</v>
      </c>
      <c r="L182" s="3" t="s">
        <v>119</v>
      </c>
      <c r="M182" s="4" t="s">
        <v>1849</v>
      </c>
      <c r="N182" s="3" t="s">
        <v>56</v>
      </c>
      <c r="O182" s="3"/>
      <c r="Q182" s="3"/>
      <c r="R182" s="3"/>
      <c r="Y182" s="4" t="s">
        <v>1344</v>
      </c>
      <c r="Z182" s="4" t="s">
        <v>1344</v>
      </c>
      <c r="AA182" s="4" t="s">
        <v>1850</v>
      </c>
      <c r="AB182" s="3" t="s">
        <v>1851</v>
      </c>
      <c r="AC182" s="3" t="s">
        <v>1852</v>
      </c>
      <c r="AD182" s="3" t="s">
        <v>407</v>
      </c>
      <c r="AE182" s="3">
        <v>1000</v>
      </c>
      <c r="AI182" s="4" t="s">
        <v>1346</v>
      </c>
      <c r="AJ182" s="4" t="s">
        <v>1346</v>
      </c>
      <c r="AK182" s="3"/>
      <c r="AL182" s="4">
        <v>41275</v>
      </c>
      <c r="AM182" s="5">
        <v>38395.5</v>
      </c>
      <c r="AN182" s="4" t="s">
        <v>124</v>
      </c>
      <c r="AO182" s="4">
        <v>99</v>
      </c>
      <c r="AP182" s="4">
        <v>81111500</v>
      </c>
    </row>
    <row r="183" spans="1:42" s="4" customFormat="1" x14ac:dyDescent="0.25">
      <c r="A183" s="3">
        <v>4604964</v>
      </c>
      <c r="B183" s="28">
        <v>42139</v>
      </c>
      <c r="C183" s="3" t="s">
        <v>1278</v>
      </c>
      <c r="D183" s="3">
        <v>10004784</v>
      </c>
      <c r="E183" s="4">
        <v>4534315</v>
      </c>
      <c r="F183" s="3" t="s">
        <v>49</v>
      </c>
      <c r="G183" s="4" t="s">
        <v>1357</v>
      </c>
      <c r="H183" s="4" t="s">
        <v>1595</v>
      </c>
      <c r="I183" s="5">
        <v>38500</v>
      </c>
      <c r="J183" s="3" t="s">
        <v>1227</v>
      </c>
      <c r="K183" s="3" t="s">
        <v>77</v>
      </c>
      <c r="L183" s="3" t="s">
        <v>196</v>
      </c>
      <c r="M183" s="4" t="s">
        <v>1595</v>
      </c>
      <c r="N183" s="3" t="s">
        <v>25</v>
      </c>
      <c r="O183" s="3"/>
      <c r="Q183" s="3"/>
      <c r="R183" s="3"/>
      <c r="Y183" s="4" t="s">
        <v>1959</v>
      </c>
      <c r="Z183" s="4" t="s">
        <v>1959</v>
      </c>
      <c r="AB183" s="3"/>
      <c r="AC183" s="3"/>
      <c r="AD183" s="3" t="s">
        <v>359</v>
      </c>
      <c r="AE183" s="3">
        <v>1000</v>
      </c>
      <c r="AI183" s="4" t="s">
        <v>1960</v>
      </c>
      <c r="AJ183" s="4" t="s">
        <v>1960</v>
      </c>
      <c r="AK183" s="3"/>
      <c r="AL183" s="4">
        <v>49941</v>
      </c>
      <c r="AM183" s="5">
        <v>38500</v>
      </c>
      <c r="AN183" s="4" t="s">
        <v>124</v>
      </c>
      <c r="AO183" s="4">
        <v>99</v>
      </c>
      <c r="AP183" s="4">
        <v>80101507</v>
      </c>
    </row>
    <row r="184" spans="1:42" s="4" customFormat="1" x14ac:dyDescent="0.25">
      <c r="A184" s="3">
        <v>4604722</v>
      </c>
      <c r="B184" s="28">
        <v>41907</v>
      </c>
      <c r="C184" s="3" t="s">
        <v>1278</v>
      </c>
      <c r="D184" s="3">
        <v>10004512</v>
      </c>
      <c r="E184" s="4">
        <v>4534073</v>
      </c>
      <c r="F184" s="3" t="s">
        <v>49</v>
      </c>
      <c r="G184" s="4" t="s">
        <v>1661</v>
      </c>
      <c r="H184" s="4" t="s">
        <v>1662</v>
      </c>
      <c r="I184" s="5">
        <v>38785.14</v>
      </c>
      <c r="J184" s="3" t="s">
        <v>301</v>
      </c>
      <c r="K184" s="3" t="s">
        <v>137</v>
      </c>
      <c r="L184" s="3" t="s">
        <v>196</v>
      </c>
      <c r="M184" s="4" t="s">
        <v>1663</v>
      </c>
      <c r="N184" s="3" t="s">
        <v>25</v>
      </c>
      <c r="O184" s="3"/>
      <c r="Q184" s="3"/>
      <c r="R184" s="3"/>
      <c r="Y184" s="4" t="s">
        <v>179</v>
      </c>
      <c r="Z184" s="4" t="s">
        <v>179</v>
      </c>
      <c r="AB184" s="3"/>
      <c r="AC184" s="3"/>
      <c r="AD184" s="3" t="s">
        <v>905</v>
      </c>
      <c r="AE184" s="3">
        <v>1000</v>
      </c>
      <c r="AI184" s="4" t="s">
        <v>182</v>
      </c>
      <c r="AJ184" s="4" t="s">
        <v>182</v>
      </c>
      <c r="AK184" s="3"/>
      <c r="AL184" s="4">
        <v>141803</v>
      </c>
      <c r="AM184" s="5">
        <v>38785.14</v>
      </c>
      <c r="AN184" s="4" t="s">
        <v>124</v>
      </c>
      <c r="AO184" s="4">
        <v>99</v>
      </c>
      <c r="AP184" s="4">
        <v>80111700</v>
      </c>
    </row>
    <row r="185" spans="1:42" s="4" customFormat="1" x14ac:dyDescent="0.25">
      <c r="A185" s="3">
        <v>4603195</v>
      </c>
      <c r="B185" s="28">
        <v>42184</v>
      </c>
      <c r="C185" s="3" t="s">
        <v>1042</v>
      </c>
      <c r="D185" s="3">
        <v>10003047</v>
      </c>
      <c r="E185" s="4">
        <v>4532546</v>
      </c>
      <c r="F185" s="3" t="s">
        <v>49</v>
      </c>
      <c r="G185" s="4" t="s">
        <v>1118</v>
      </c>
      <c r="H185" s="4" t="s">
        <v>1119</v>
      </c>
      <c r="I185" s="5">
        <v>38940</v>
      </c>
      <c r="J185" s="3" t="s">
        <v>1120</v>
      </c>
      <c r="K185" s="3" t="s">
        <v>363</v>
      </c>
      <c r="L185" s="3" t="s">
        <v>196</v>
      </c>
      <c r="M185" s="4" t="s">
        <v>1119</v>
      </c>
      <c r="N185" s="3" t="s">
        <v>25</v>
      </c>
      <c r="O185" s="3"/>
      <c r="Q185" s="3"/>
      <c r="R185" s="3"/>
      <c r="Y185" s="4" t="s">
        <v>540</v>
      </c>
      <c r="Z185" s="4" t="s">
        <v>1090</v>
      </c>
      <c r="AB185" s="3"/>
      <c r="AC185" s="3"/>
      <c r="AD185" s="3" t="s">
        <v>287</v>
      </c>
      <c r="AE185" s="3">
        <v>1000</v>
      </c>
      <c r="AI185" s="4" t="s">
        <v>542</v>
      </c>
      <c r="AJ185" s="4" t="s">
        <v>1091</v>
      </c>
      <c r="AK185" s="3"/>
      <c r="AL185" s="4">
        <v>140597</v>
      </c>
      <c r="AM185" s="5">
        <v>38940</v>
      </c>
      <c r="AN185" s="4" t="s">
        <v>124</v>
      </c>
      <c r="AO185" s="4">
        <v>98</v>
      </c>
      <c r="AP185" s="4">
        <v>46171619</v>
      </c>
    </row>
    <row r="186" spans="1:42" s="4" customFormat="1" x14ac:dyDescent="0.25">
      <c r="A186" s="3">
        <v>4604990</v>
      </c>
      <c r="B186" s="28">
        <v>42146</v>
      </c>
      <c r="C186" s="3" t="s">
        <v>1278</v>
      </c>
      <c r="D186" s="3">
        <v>10004779</v>
      </c>
      <c r="E186" s="4">
        <v>4534341</v>
      </c>
      <c r="F186" s="3" t="s">
        <v>49</v>
      </c>
      <c r="G186" s="4" t="s">
        <v>1360</v>
      </c>
      <c r="H186" s="4" t="s">
        <v>2000</v>
      </c>
      <c r="I186" s="5">
        <v>40000</v>
      </c>
      <c r="J186" s="3" t="s">
        <v>1088</v>
      </c>
      <c r="K186" s="3" t="s">
        <v>77</v>
      </c>
      <c r="L186" s="3" t="s">
        <v>196</v>
      </c>
      <c r="M186" s="4" t="s">
        <v>2000</v>
      </c>
      <c r="N186" s="3" t="s">
        <v>25</v>
      </c>
      <c r="O186" s="3"/>
      <c r="Q186" s="3"/>
      <c r="R186" s="3"/>
      <c r="Y186" s="4" t="s">
        <v>2001</v>
      </c>
      <c r="Z186" s="4" t="s">
        <v>1959</v>
      </c>
      <c r="AB186" s="3"/>
      <c r="AC186" s="3"/>
      <c r="AD186" s="3" t="s">
        <v>365</v>
      </c>
      <c r="AE186" s="3">
        <v>1000</v>
      </c>
      <c r="AI186" s="4" t="s">
        <v>2002</v>
      </c>
      <c r="AJ186" s="4" t="s">
        <v>1960</v>
      </c>
      <c r="AK186" s="3"/>
      <c r="AL186" s="4">
        <v>49879</v>
      </c>
      <c r="AM186" s="5">
        <v>40000</v>
      </c>
      <c r="AN186" s="4" t="s">
        <v>124</v>
      </c>
      <c r="AO186" s="4">
        <v>99</v>
      </c>
      <c r="AP186" s="4">
        <v>43230000</v>
      </c>
    </row>
    <row r="187" spans="1:42" s="4" customFormat="1" x14ac:dyDescent="0.25">
      <c r="A187" s="3">
        <v>4604850</v>
      </c>
      <c r="B187" s="28">
        <v>42045</v>
      </c>
      <c r="C187" s="3" t="s">
        <v>2158</v>
      </c>
      <c r="D187" s="3">
        <v>10004655</v>
      </c>
      <c r="E187" s="4">
        <v>4534201</v>
      </c>
      <c r="F187" s="3" t="s">
        <v>49</v>
      </c>
      <c r="G187" s="4" t="s">
        <v>2211</v>
      </c>
      <c r="H187" s="4" t="s">
        <v>2234</v>
      </c>
      <c r="I187" s="5">
        <v>40000</v>
      </c>
      <c r="J187" s="3" t="s">
        <v>2233</v>
      </c>
      <c r="K187" s="3" t="s">
        <v>1877</v>
      </c>
      <c r="L187" s="3" t="s">
        <v>196</v>
      </c>
      <c r="M187" s="4" t="s">
        <v>2234</v>
      </c>
      <c r="N187" s="3" t="s">
        <v>25</v>
      </c>
      <c r="O187" s="3" t="s">
        <v>139</v>
      </c>
      <c r="P187" s="4" t="s">
        <v>140</v>
      </c>
      <c r="Q187" s="3"/>
      <c r="R187" s="3"/>
      <c r="Y187" s="4" t="s">
        <v>2235</v>
      </c>
      <c r="Z187" s="4" t="s">
        <v>2235</v>
      </c>
      <c r="AB187" s="3"/>
      <c r="AC187" s="3"/>
      <c r="AD187" s="3" t="s">
        <v>467</v>
      </c>
      <c r="AE187" s="3">
        <v>1000</v>
      </c>
      <c r="AI187" s="4" t="s">
        <v>2236</v>
      </c>
      <c r="AJ187" s="4" t="s">
        <v>2236</v>
      </c>
      <c r="AK187" s="3" t="s">
        <v>143</v>
      </c>
      <c r="AL187" s="4">
        <v>141778</v>
      </c>
      <c r="AM187" s="5">
        <v>40000</v>
      </c>
      <c r="AN187" s="4" t="s">
        <v>124</v>
      </c>
      <c r="AO187" s="4">
        <v>99</v>
      </c>
      <c r="AP187" s="4">
        <v>80100000</v>
      </c>
    </row>
    <row r="188" spans="1:42" s="4" customFormat="1" x14ac:dyDescent="0.25">
      <c r="A188" s="3">
        <v>4602620</v>
      </c>
      <c r="B188" s="28">
        <v>41793</v>
      </c>
      <c r="C188" s="3" t="s">
        <v>560</v>
      </c>
      <c r="D188" s="3">
        <v>10002451</v>
      </c>
      <c r="E188" s="4">
        <v>4531971</v>
      </c>
      <c r="F188" s="3" t="s">
        <v>49</v>
      </c>
      <c r="G188" s="4" t="s">
        <v>599</v>
      </c>
      <c r="H188" s="4" t="s">
        <v>600</v>
      </c>
      <c r="I188" s="5">
        <v>40000</v>
      </c>
      <c r="J188" s="3" t="s">
        <v>601</v>
      </c>
      <c r="K188" s="3" t="s">
        <v>602</v>
      </c>
      <c r="L188" s="3" t="s">
        <v>54</v>
      </c>
      <c r="M188" s="4" t="s">
        <v>603</v>
      </c>
      <c r="N188" s="3" t="s">
        <v>56</v>
      </c>
      <c r="O188" s="3"/>
      <c r="Q188" s="3"/>
      <c r="R188" s="3"/>
      <c r="Y188" s="4" t="s">
        <v>604</v>
      </c>
      <c r="Z188" s="4" t="s">
        <v>605</v>
      </c>
      <c r="AA188" s="4" t="s">
        <v>606</v>
      </c>
      <c r="AB188" s="3" t="s">
        <v>606</v>
      </c>
      <c r="AC188" s="3" t="s">
        <v>607</v>
      </c>
      <c r="AD188" s="3" t="s">
        <v>598</v>
      </c>
      <c r="AE188" s="3">
        <v>1000</v>
      </c>
      <c r="AI188" s="4" t="s">
        <v>608</v>
      </c>
      <c r="AJ188" s="4" t="s">
        <v>609</v>
      </c>
      <c r="AK188" s="3"/>
      <c r="AL188" s="4">
        <v>44723</v>
      </c>
      <c r="AM188" s="5">
        <v>40000</v>
      </c>
      <c r="AN188" s="4" t="s">
        <v>124</v>
      </c>
      <c r="AO188" s="4">
        <v>99</v>
      </c>
      <c r="AP188" s="4">
        <v>78111809</v>
      </c>
    </row>
    <row r="189" spans="1:42" s="4" customFormat="1" x14ac:dyDescent="0.25">
      <c r="A189" s="3">
        <v>4603792</v>
      </c>
      <c r="B189" s="28">
        <v>42080</v>
      </c>
      <c r="C189" s="3" t="s">
        <v>1042</v>
      </c>
      <c r="D189" s="3">
        <v>10003633</v>
      </c>
      <c r="E189" s="4">
        <v>4533143</v>
      </c>
      <c r="F189" s="3" t="s">
        <v>49</v>
      </c>
      <c r="G189" s="4" t="s">
        <v>1137</v>
      </c>
      <c r="H189" s="4" t="s">
        <v>1147</v>
      </c>
      <c r="I189" s="5">
        <v>40000</v>
      </c>
      <c r="J189" s="3" t="s">
        <v>634</v>
      </c>
      <c r="K189" s="3" t="s">
        <v>543</v>
      </c>
      <c r="L189" s="3" t="s">
        <v>119</v>
      </c>
      <c r="M189" s="4" t="s">
        <v>1180</v>
      </c>
      <c r="N189" s="3" t="s">
        <v>56</v>
      </c>
      <c r="O189" s="3"/>
      <c r="Q189" s="3"/>
      <c r="R189" s="3"/>
      <c r="Y189" s="4" t="s">
        <v>540</v>
      </c>
      <c r="Z189" s="4" t="s">
        <v>1090</v>
      </c>
      <c r="AA189" s="4" t="s">
        <v>1181</v>
      </c>
      <c r="AB189" s="3" t="s">
        <v>1142</v>
      </c>
      <c r="AC189" s="3" t="s">
        <v>1143</v>
      </c>
      <c r="AD189" s="3" t="s">
        <v>1179</v>
      </c>
      <c r="AE189" s="3">
        <v>1000</v>
      </c>
      <c r="AI189" s="4" t="s">
        <v>542</v>
      </c>
      <c r="AJ189" s="4" t="s">
        <v>1091</v>
      </c>
      <c r="AK189" s="3"/>
      <c r="AL189" s="4">
        <v>141215</v>
      </c>
      <c r="AM189" s="5">
        <v>40000</v>
      </c>
      <c r="AN189" s="4" t="s">
        <v>124</v>
      </c>
      <c r="AO189" s="4">
        <v>99</v>
      </c>
      <c r="AP189" s="4">
        <v>78111809</v>
      </c>
    </row>
    <row r="190" spans="1:42" s="4" customFormat="1" x14ac:dyDescent="0.25">
      <c r="A190" s="3">
        <v>4604599</v>
      </c>
      <c r="B190" s="28">
        <v>41869</v>
      </c>
      <c r="C190" s="3" t="s">
        <v>1278</v>
      </c>
      <c r="D190" s="3">
        <v>10004380</v>
      </c>
      <c r="E190" s="4">
        <v>4533950</v>
      </c>
      <c r="F190" s="3" t="s">
        <v>49</v>
      </c>
      <c r="G190" s="4" t="s">
        <v>1111</v>
      </c>
      <c r="H190" s="4" t="s">
        <v>1466</v>
      </c>
      <c r="I190" s="5">
        <v>40000</v>
      </c>
      <c r="J190" s="3" t="s">
        <v>76</v>
      </c>
      <c r="K190" s="3" t="s">
        <v>77</v>
      </c>
      <c r="L190" s="3" t="s">
        <v>119</v>
      </c>
      <c r="M190" s="4" t="s">
        <v>1467</v>
      </c>
      <c r="N190" s="3" t="s">
        <v>56</v>
      </c>
      <c r="O190" s="3"/>
      <c r="Q190" s="3"/>
      <c r="R190" s="3"/>
      <c r="Y190" s="4" t="s">
        <v>1056</v>
      </c>
      <c r="Z190" s="4" t="s">
        <v>1090</v>
      </c>
      <c r="AA190" s="4" t="s">
        <v>1468</v>
      </c>
      <c r="AB190" s="3" t="s">
        <v>1469</v>
      </c>
      <c r="AC190" s="3" t="s">
        <v>1470</v>
      </c>
      <c r="AD190" s="3" t="s">
        <v>183</v>
      </c>
      <c r="AE190" s="3">
        <v>1000</v>
      </c>
      <c r="AI190" s="4" t="s">
        <v>1058</v>
      </c>
      <c r="AJ190" s="4" t="s">
        <v>1091</v>
      </c>
      <c r="AK190" s="3"/>
      <c r="AL190" s="4">
        <v>30004</v>
      </c>
      <c r="AM190" s="5">
        <v>40000</v>
      </c>
      <c r="AN190" s="4" t="s">
        <v>124</v>
      </c>
      <c r="AO190" s="4">
        <v>98</v>
      </c>
      <c r="AP190" s="4">
        <v>43191501</v>
      </c>
    </row>
    <row r="191" spans="1:42" s="4" customFormat="1" x14ac:dyDescent="0.25">
      <c r="A191" s="3">
        <v>4603791</v>
      </c>
      <c r="B191" s="28">
        <v>41492</v>
      </c>
      <c r="C191" s="3" t="s">
        <v>2273</v>
      </c>
      <c r="D191" s="3">
        <v>10003630</v>
      </c>
      <c r="E191" s="4">
        <v>4533142</v>
      </c>
      <c r="F191" s="3" t="s">
        <v>49</v>
      </c>
      <c r="G191" s="4" t="s">
        <v>1137</v>
      </c>
      <c r="H191" s="4" t="s">
        <v>1138</v>
      </c>
      <c r="I191" s="5">
        <v>40000</v>
      </c>
      <c r="J191" s="3" t="s">
        <v>2320</v>
      </c>
      <c r="K191" s="3" t="s">
        <v>439</v>
      </c>
      <c r="L191" s="3" t="s">
        <v>119</v>
      </c>
      <c r="M191" s="4" t="s">
        <v>2321</v>
      </c>
      <c r="N191" s="3" t="s">
        <v>56</v>
      </c>
      <c r="O191" s="3"/>
      <c r="Q191" s="3"/>
      <c r="R191" s="3"/>
      <c r="Y191" s="4" t="s">
        <v>1141</v>
      </c>
      <c r="Z191" s="4" t="s">
        <v>605</v>
      </c>
      <c r="AA191" s="4" t="s">
        <v>1181</v>
      </c>
      <c r="AB191" s="3" t="s">
        <v>1142</v>
      </c>
      <c r="AC191" s="3" t="s">
        <v>1143</v>
      </c>
      <c r="AD191" s="3" t="s">
        <v>2322</v>
      </c>
      <c r="AE191" s="3">
        <v>1000</v>
      </c>
      <c r="AI191" s="4" t="s">
        <v>1144</v>
      </c>
      <c r="AJ191" s="4" t="s">
        <v>609</v>
      </c>
      <c r="AK191" s="3"/>
      <c r="AL191" s="4">
        <v>141215</v>
      </c>
      <c r="AM191" s="5">
        <v>40000</v>
      </c>
      <c r="AN191" s="4" t="s">
        <v>124</v>
      </c>
      <c r="AO191" s="4">
        <v>99</v>
      </c>
      <c r="AP191" s="4">
        <v>78111809</v>
      </c>
    </row>
    <row r="192" spans="1:42" s="4" customFormat="1" x14ac:dyDescent="0.25">
      <c r="A192" s="3">
        <v>4604751</v>
      </c>
      <c r="B192" s="28">
        <v>41912</v>
      </c>
      <c r="C192" s="3" t="s">
        <v>1278</v>
      </c>
      <c r="D192" s="3">
        <v>10004516</v>
      </c>
      <c r="E192" s="4">
        <v>4534102</v>
      </c>
      <c r="F192" s="3" t="s">
        <v>49</v>
      </c>
      <c r="G192" s="4" t="s">
        <v>410</v>
      </c>
      <c r="H192" s="4" t="s">
        <v>1699</v>
      </c>
      <c r="I192" s="5">
        <v>40480</v>
      </c>
      <c r="J192" s="3" t="s">
        <v>832</v>
      </c>
      <c r="K192" s="3" t="s">
        <v>395</v>
      </c>
      <c r="L192" s="3" t="s">
        <v>119</v>
      </c>
      <c r="M192" s="4" t="s">
        <v>1699</v>
      </c>
      <c r="N192" s="3" t="s">
        <v>56</v>
      </c>
      <c r="O192" s="3"/>
      <c r="Q192" s="3"/>
      <c r="R192" s="3"/>
      <c r="Y192" s="4" t="s">
        <v>1700</v>
      </c>
      <c r="Z192" s="4" t="s">
        <v>1700</v>
      </c>
      <c r="AA192" s="4" t="s">
        <v>412</v>
      </c>
      <c r="AB192" s="3" t="s">
        <v>413</v>
      </c>
      <c r="AC192" s="3" t="s">
        <v>414</v>
      </c>
      <c r="AD192" s="3" t="s">
        <v>320</v>
      </c>
      <c r="AE192" s="3">
        <v>1000</v>
      </c>
      <c r="AI192" s="4" t="s">
        <v>1701</v>
      </c>
      <c r="AJ192" s="4" t="s">
        <v>1701</v>
      </c>
      <c r="AK192" s="3"/>
      <c r="AL192" s="4">
        <v>141810</v>
      </c>
      <c r="AM192" s="5">
        <v>40480</v>
      </c>
      <c r="AN192" s="4" t="s">
        <v>124</v>
      </c>
      <c r="AO192" s="4">
        <v>99</v>
      </c>
      <c r="AP192" s="4">
        <v>80101507</v>
      </c>
    </row>
    <row r="193" spans="1:42" s="4" customFormat="1" x14ac:dyDescent="0.25">
      <c r="A193" s="3">
        <v>4605027</v>
      </c>
      <c r="B193" s="28">
        <v>42173</v>
      </c>
      <c r="C193" s="3" t="s">
        <v>1278</v>
      </c>
      <c r="D193" s="3">
        <v>10004872</v>
      </c>
      <c r="E193" s="4">
        <v>4534378</v>
      </c>
      <c r="F193" s="3" t="s">
        <v>49</v>
      </c>
      <c r="G193" s="4" t="s">
        <v>2022</v>
      </c>
      <c r="H193" s="4" t="s">
        <v>2034</v>
      </c>
      <c r="I193" s="5">
        <v>40885.050000000003</v>
      </c>
      <c r="J193" s="3" t="s">
        <v>407</v>
      </c>
      <c r="K193" s="3" t="s">
        <v>77</v>
      </c>
      <c r="L193" s="3" t="s">
        <v>196</v>
      </c>
      <c r="M193" s="4" t="s">
        <v>2035</v>
      </c>
      <c r="N193" s="3" t="s">
        <v>25</v>
      </c>
      <c r="O193" s="3"/>
      <c r="Q193" s="3"/>
      <c r="R193" s="3"/>
      <c r="Y193" s="4" t="s">
        <v>1510</v>
      </c>
      <c r="Z193" s="4" t="s">
        <v>1995</v>
      </c>
      <c r="AB193" s="3"/>
      <c r="AC193" s="3"/>
      <c r="AD193" s="3" t="s">
        <v>351</v>
      </c>
      <c r="AE193" s="3">
        <v>1000</v>
      </c>
      <c r="AI193" s="4" t="s">
        <v>1512</v>
      </c>
      <c r="AJ193" s="4" t="s">
        <v>1999</v>
      </c>
      <c r="AK193" s="3"/>
      <c r="AL193" s="4">
        <v>141918</v>
      </c>
      <c r="AM193" s="5">
        <v>40885.050000000003</v>
      </c>
      <c r="AN193" s="4" t="s">
        <v>124</v>
      </c>
      <c r="AO193" s="4">
        <v>99</v>
      </c>
      <c r="AP193" s="4">
        <v>43190000</v>
      </c>
    </row>
    <row r="194" spans="1:42" s="4" customFormat="1" x14ac:dyDescent="0.25">
      <c r="A194" s="3">
        <v>4604898</v>
      </c>
      <c r="B194" s="28">
        <v>42086</v>
      </c>
      <c r="C194" s="3" t="s">
        <v>1278</v>
      </c>
      <c r="D194" s="3">
        <v>10004703</v>
      </c>
      <c r="E194" s="4">
        <v>4534249</v>
      </c>
      <c r="F194" s="3" t="s">
        <v>49</v>
      </c>
      <c r="G194" s="4" t="s">
        <v>1053</v>
      </c>
      <c r="H194" s="4" t="s">
        <v>1889</v>
      </c>
      <c r="I194" s="5">
        <v>41250</v>
      </c>
      <c r="J194" s="3" t="s">
        <v>1877</v>
      </c>
      <c r="K194" s="3" t="s">
        <v>77</v>
      </c>
      <c r="L194" s="3" t="s">
        <v>119</v>
      </c>
      <c r="M194" s="4" t="s">
        <v>1890</v>
      </c>
      <c r="N194" s="3" t="s">
        <v>56</v>
      </c>
      <c r="O194" s="3"/>
      <c r="Q194" s="3"/>
      <c r="R194" s="3"/>
      <c r="Y194" s="4" t="s">
        <v>1056</v>
      </c>
      <c r="Z194" s="4" t="s">
        <v>1056</v>
      </c>
      <c r="AA194" s="4" t="s">
        <v>1057</v>
      </c>
      <c r="AB194" s="3" t="s">
        <v>1057</v>
      </c>
      <c r="AC194" s="3" t="s">
        <v>1340</v>
      </c>
      <c r="AD194" s="3" t="s">
        <v>479</v>
      </c>
      <c r="AE194" s="3">
        <v>1000</v>
      </c>
      <c r="AI194" s="4" t="s">
        <v>1058</v>
      </c>
      <c r="AJ194" s="4" t="s">
        <v>1058</v>
      </c>
      <c r="AK194" s="3"/>
      <c r="AL194" s="4">
        <v>140248</v>
      </c>
      <c r="AM194" s="5">
        <v>41250</v>
      </c>
      <c r="AN194" s="4" t="s">
        <v>124</v>
      </c>
      <c r="AO194" s="4">
        <v>99</v>
      </c>
      <c r="AP194" s="4">
        <v>81111500</v>
      </c>
    </row>
    <row r="195" spans="1:42" s="4" customFormat="1" x14ac:dyDescent="0.25">
      <c r="A195" s="3">
        <v>4604863</v>
      </c>
      <c r="B195" s="28">
        <v>42038</v>
      </c>
      <c r="C195" s="3" t="s">
        <v>1278</v>
      </c>
      <c r="D195" s="3">
        <v>10004676</v>
      </c>
      <c r="E195" s="4">
        <v>4534214</v>
      </c>
      <c r="F195" s="3" t="s">
        <v>49</v>
      </c>
      <c r="G195" s="4" t="s">
        <v>174</v>
      </c>
      <c r="H195" s="4" t="s">
        <v>1834</v>
      </c>
      <c r="I195" s="5">
        <v>42526</v>
      </c>
      <c r="J195" s="3" t="s">
        <v>484</v>
      </c>
      <c r="K195" s="3" t="s">
        <v>1227</v>
      </c>
      <c r="L195" s="3" t="s">
        <v>119</v>
      </c>
      <c r="M195" s="4" t="s">
        <v>1834</v>
      </c>
      <c r="N195" s="3" t="s">
        <v>56</v>
      </c>
      <c r="O195" s="3"/>
      <c r="Q195" s="3"/>
      <c r="R195" s="3"/>
      <c r="Y195" s="4" t="s">
        <v>1700</v>
      </c>
      <c r="Z195" s="4" t="s">
        <v>1700</v>
      </c>
      <c r="AA195" s="4" t="s">
        <v>188</v>
      </c>
      <c r="AB195" s="3" t="s">
        <v>401</v>
      </c>
      <c r="AC195" s="3" t="s">
        <v>190</v>
      </c>
      <c r="AD195" s="3" t="s">
        <v>1227</v>
      </c>
      <c r="AE195" s="3">
        <v>1000</v>
      </c>
      <c r="AI195" s="4" t="s">
        <v>1701</v>
      </c>
      <c r="AJ195" s="4" t="s">
        <v>1701</v>
      </c>
      <c r="AK195" s="3"/>
      <c r="AL195" s="4">
        <v>40476</v>
      </c>
      <c r="AM195" s="5">
        <v>42526</v>
      </c>
      <c r="AN195" s="4" t="s">
        <v>124</v>
      </c>
      <c r="AO195" s="4">
        <v>99</v>
      </c>
      <c r="AP195" s="4">
        <v>80111600</v>
      </c>
    </row>
    <row r="196" spans="1:42" s="4" customFormat="1" x14ac:dyDescent="0.25">
      <c r="A196" s="3">
        <v>4604731</v>
      </c>
      <c r="B196" s="28">
        <v>41906</v>
      </c>
      <c r="C196" s="3" t="s">
        <v>1278</v>
      </c>
      <c r="D196" s="3">
        <v>10004334</v>
      </c>
      <c r="E196" s="4">
        <v>4534082</v>
      </c>
      <c r="F196" s="3" t="s">
        <v>49</v>
      </c>
      <c r="G196" s="4" t="s">
        <v>1380</v>
      </c>
      <c r="H196" s="4" t="s">
        <v>1676</v>
      </c>
      <c r="I196" s="5">
        <v>42570</v>
      </c>
      <c r="J196" s="3" t="s">
        <v>76</v>
      </c>
      <c r="K196" s="3" t="s">
        <v>77</v>
      </c>
      <c r="L196" s="3" t="s">
        <v>196</v>
      </c>
      <c r="M196" s="4" t="s">
        <v>1676</v>
      </c>
      <c r="N196" s="3" t="s">
        <v>25</v>
      </c>
      <c r="O196" s="3"/>
      <c r="Q196" s="3"/>
      <c r="R196" s="3"/>
      <c r="Y196" s="4" t="s">
        <v>1677</v>
      </c>
      <c r="Z196" s="4" t="s">
        <v>1677</v>
      </c>
      <c r="AB196" s="3"/>
      <c r="AC196" s="3"/>
      <c r="AD196" s="3" t="s">
        <v>757</v>
      </c>
      <c r="AE196" s="3">
        <v>1000</v>
      </c>
      <c r="AI196" s="4" t="s">
        <v>1678</v>
      </c>
      <c r="AJ196" s="4" t="s">
        <v>1678</v>
      </c>
      <c r="AK196" s="3"/>
      <c r="AL196" s="4">
        <v>46327</v>
      </c>
      <c r="AM196" s="5">
        <v>42570</v>
      </c>
      <c r="AN196" s="4" t="s">
        <v>124</v>
      </c>
      <c r="AO196" s="4">
        <v>99</v>
      </c>
      <c r="AP196" s="4">
        <v>81112200</v>
      </c>
    </row>
    <row r="197" spans="1:42" s="4" customFormat="1" x14ac:dyDescent="0.25">
      <c r="A197" s="3">
        <v>4603347</v>
      </c>
      <c r="B197" s="28">
        <v>42019</v>
      </c>
      <c r="C197" s="3" t="s">
        <v>1042</v>
      </c>
      <c r="D197" s="3">
        <v>10003194</v>
      </c>
      <c r="E197" s="4">
        <v>4532698</v>
      </c>
      <c r="F197" s="3" t="s">
        <v>49</v>
      </c>
      <c r="G197" s="4" t="s">
        <v>1131</v>
      </c>
      <c r="H197" s="4" t="s">
        <v>1132</v>
      </c>
      <c r="I197" s="5">
        <v>43000</v>
      </c>
      <c r="J197" s="3" t="s">
        <v>1133</v>
      </c>
      <c r="K197" s="3" t="s">
        <v>1134</v>
      </c>
      <c r="L197" s="3" t="s">
        <v>119</v>
      </c>
      <c r="M197" s="4" t="s">
        <v>1132</v>
      </c>
      <c r="N197" s="3" t="s">
        <v>25</v>
      </c>
      <c r="O197" s="3"/>
      <c r="Q197" s="3"/>
      <c r="R197" s="3"/>
      <c r="Y197" s="4" t="s">
        <v>540</v>
      </c>
      <c r="Z197" s="4" t="s">
        <v>1090</v>
      </c>
      <c r="AA197" s="4" t="s">
        <v>1135</v>
      </c>
      <c r="AB197" s="3"/>
      <c r="AC197" s="3"/>
      <c r="AD197" s="3" t="s">
        <v>1130</v>
      </c>
      <c r="AE197" s="3">
        <v>1000</v>
      </c>
      <c r="AI197" s="4" t="s">
        <v>542</v>
      </c>
      <c r="AJ197" s="4" t="s">
        <v>1091</v>
      </c>
      <c r="AK197" s="3"/>
      <c r="AL197" s="4">
        <v>49690</v>
      </c>
      <c r="AM197" s="5">
        <v>43000</v>
      </c>
      <c r="AN197" s="4" t="s">
        <v>124</v>
      </c>
      <c r="AO197" s="4">
        <v>99</v>
      </c>
      <c r="AP197" s="4">
        <v>76110000</v>
      </c>
    </row>
    <row r="198" spans="1:42" s="4" customFormat="1" x14ac:dyDescent="0.25">
      <c r="A198" s="3">
        <v>4604910</v>
      </c>
      <c r="B198" s="28">
        <v>42107</v>
      </c>
      <c r="C198" s="3" t="s">
        <v>1278</v>
      </c>
      <c r="D198" s="3">
        <v>10004727</v>
      </c>
      <c r="E198" s="4">
        <v>4534261</v>
      </c>
      <c r="F198" s="3" t="s">
        <v>49</v>
      </c>
      <c r="G198" s="4" t="s">
        <v>1321</v>
      </c>
      <c r="H198" s="4" t="s">
        <v>1767</v>
      </c>
      <c r="I198" s="5">
        <v>43337.25</v>
      </c>
      <c r="J198" s="3" t="s">
        <v>500</v>
      </c>
      <c r="K198" s="3" t="s">
        <v>77</v>
      </c>
      <c r="L198" s="3" t="s">
        <v>196</v>
      </c>
      <c r="M198" s="4" t="s">
        <v>1767</v>
      </c>
      <c r="N198" s="3" t="s">
        <v>25</v>
      </c>
      <c r="O198" s="3"/>
      <c r="Q198" s="3"/>
      <c r="R198" s="3"/>
      <c r="Y198" s="4" t="s">
        <v>1309</v>
      </c>
      <c r="Z198" s="4" t="s">
        <v>1309</v>
      </c>
      <c r="AB198" s="3"/>
      <c r="AC198" s="3"/>
      <c r="AD198" s="3" t="s">
        <v>532</v>
      </c>
      <c r="AE198" s="3">
        <v>1000</v>
      </c>
      <c r="AI198" s="4" t="s">
        <v>1313</v>
      </c>
      <c r="AJ198" s="4" t="s">
        <v>1313</v>
      </c>
      <c r="AK198" s="3"/>
      <c r="AL198" s="4">
        <v>140474</v>
      </c>
      <c r="AM198" s="5">
        <v>43337.25</v>
      </c>
      <c r="AN198" s="4" t="s">
        <v>124</v>
      </c>
      <c r="AO198" s="4">
        <v>98</v>
      </c>
      <c r="AP198" s="4">
        <v>80101507</v>
      </c>
    </row>
    <row r="199" spans="1:42" s="4" customFormat="1" x14ac:dyDescent="0.25">
      <c r="A199" s="3">
        <v>4604761</v>
      </c>
      <c r="B199" s="28">
        <v>41865</v>
      </c>
      <c r="C199" s="3" t="s">
        <v>2158</v>
      </c>
      <c r="D199" s="3">
        <v>10004474</v>
      </c>
      <c r="E199" s="4">
        <v>4534112</v>
      </c>
      <c r="F199" s="3" t="s">
        <v>49</v>
      </c>
      <c r="G199" s="4" t="s">
        <v>2218</v>
      </c>
      <c r="H199" s="4" t="s">
        <v>2219</v>
      </c>
      <c r="I199" s="5">
        <v>43415.59</v>
      </c>
      <c r="J199" s="3" t="s">
        <v>2220</v>
      </c>
      <c r="K199" s="3" t="s">
        <v>910</v>
      </c>
      <c r="L199" s="3" t="s">
        <v>196</v>
      </c>
      <c r="M199" s="4" t="s">
        <v>2221</v>
      </c>
      <c r="N199" s="3" t="s">
        <v>25</v>
      </c>
      <c r="O199" s="3" t="s">
        <v>139</v>
      </c>
      <c r="P199" s="4" t="s">
        <v>282</v>
      </c>
      <c r="Q199" s="3"/>
      <c r="R199" s="3"/>
      <c r="U199" s="4" t="s">
        <v>139</v>
      </c>
      <c r="V199" s="4" t="s">
        <v>119</v>
      </c>
      <c r="W199" s="4" t="s">
        <v>217</v>
      </c>
      <c r="X199" s="4" t="s">
        <v>2222</v>
      </c>
      <c r="Y199" s="4" t="s">
        <v>2223</v>
      </c>
      <c r="Z199" s="4" t="s">
        <v>2223</v>
      </c>
      <c r="AB199" s="3"/>
      <c r="AC199" s="3"/>
      <c r="AD199" s="3" t="s">
        <v>910</v>
      </c>
      <c r="AE199" s="3">
        <v>1000</v>
      </c>
      <c r="AI199" s="4" t="s">
        <v>2224</v>
      </c>
      <c r="AJ199" s="4" t="s">
        <v>2224</v>
      </c>
      <c r="AK199" s="3" t="s">
        <v>286</v>
      </c>
      <c r="AL199" s="4">
        <v>141816</v>
      </c>
      <c r="AM199" s="5">
        <v>43415.59</v>
      </c>
      <c r="AN199" s="4" t="s">
        <v>124</v>
      </c>
      <c r="AO199" s="4">
        <v>99</v>
      </c>
    </row>
    <row r="200" spans="1:42" s="4" customFormat="1" x14ac:dyDescent="0.25">
      <c r="A200" s="3">
        <v>4605018</v>
      </c>
      <c r="B200" s="28">
        <v>42167</v>
      </c>
      <c r="C200" s="3" t="s">
        <v>2158</v>
      </c>
      <c r="D200" s="3">
        <v>10004834</v>
      </c>
      <c r="E200" s="4">
        <v>4534369</v>
      </c>
      <c r="F200" s="3" t="s">
        <v>49</v>
      </c>
      <c r="G200" s="4" t="s">
        <v>2268</v>
      </c>
      <c r="H200" s="4" t="s">
        <v>2271</v>
      </c>
      <c r="I200" s="5">
        <v>44000</v>
      </c>
      <c r="J200" s="3" t="s">
        <v>377</v>
      </c>
      <c r="K200" s="3" t="s">
        <v>77</v>
      </c>
      <c r="L200" s="3" t="s">
        <v>196</v>
      </c>
      <c r="M200" s="4" t="s">
        <v>2270</v>
      </c>
      <c r="N200" s="3" t="s">
        <v>25</v>
      </c>
      <c r="O200" s="3" t="s">
        <v>139</v>
      </c>
      <c r="P200" s="4" t="s">
        <v>282</v>
      </c>
      <c r="Q200" s="3"/>
      <c r="R200" s="3"/>
      <c r="Y200" s="4" t="s">
        <v>767</v>
      </c>
      <c r="Z200" s="4" t="s">
        <v>767</v>
      </c>
      <c r="AB200" s="3"/>
      <c r="AC200" s="3"/>
      <c r="AD200" s="3" t="s">
        <v>407</v>
      </c>
      <c r="AE200" s="3">
        <v>1000</v>
      </c>
      <c r="AI200" s="4" t="s">
        <v>769</v>
      </c>
      <c r="AJ200" s="4" t="s">
        <v>769</v>
      </c>
      <c r="AK200" s="3" t="s">
        <v>286</v>
      </c>
      <c r="AL200" s="4">
        <v>140501</v>
      </c>
      <c r="AM200" s="5">
        <v>44000</v>
      </c>
      <c r="AN200" s="4" t="s">
        <v>124</v>
      </c>
      <c r="AO200" s="4">
        <v>99</v>
      </c>
      <c r="AP200" s="4">
        <v>80101507</v>
      </c>
    </row>
    <row r="201" spans="1:42" s="4" customFormat="1" x14ac:dyDescent="0.25">
      <c r="A201" s="3">
        <v>4604329</v>
      </c>
      <c r="B201" s="28">
        <v>41656</v>
      </c>
      <c r="C201" s="3" t="s">
        <v>1278</v>
      </c>
      <c r="D201" s="3">
        <v>10004104</v>
      </c>
      <c r="E201" s="4">
        <v>4533680</v>
      </c>
      <c r="F201" s="3" t="s">
        <v>49</v>
      </c>
      <c r="G201" s="4" t="s">
        <v>1293</v>
      </c>
      <c r="H201" s="4" t="s">
        <v>1294</v>
      </c>
      <c r="I201" s="5">
        <v>44661.93</v>
      </c>
      <c r="J201" s="3" t="s">
        <v>1292</v>
      </c>
      <c r="K201" s="3" t="s">
        <v>807</v>
      </c>
      <c r="L201" s="3" t="s">
        <v>196</v>
      </c>
      <c r="M201" s="4" t="s">
        <v>1295</v>
      </c>
      <c r="N201" s="3" t="s">
        <v>25</v>
      </c>
      <c r="O201" s="3"/>
      <c r="Q201" s="3"/>
      <c r="R201" s="3"/>
      <c r="Y201" s="4" t="s">
        <v>1056</v>
      </c>
      <c r="Z201" s="4" t="s">
        <v>1090</v>
      </c>
      <c r="AB201" s="3"/>
      <c r="AC201" s="3"/>
      <c r="AD201" s="3" t="s">
        <v>1292</v>
      </c>
      <c r="AE201" s="3">
        <v>1000</v>
      </c>
      <c r="AI201" s="4" t="s">
        <v>1058</v>
      </c>
      <c r="AJ201" s="4" t="s">
        <v>1091</v>
      </c>
      <c r="AK201" s="3"/>
      <c r="AL201" s="4">
        <v>40424</v>
      </c>
      <c r="AM201" s="5">
        <v>44661.93</v>
      </c>
      <c r="AN201" s="4" t="s">
        <v>124</v>
      </c>
      <c r="AO201" s="4">
        <v>99</v>
      </c>
      <c r="AP201" s="4">
        <v>43230000</v>
      </c>
    </row>
    <row r="202" spans="1:42" s="4" customFormat="1" x14ac:dyDescent="0.25">
      <c r="A202" s="3">
        <v>4604951</v>
      </c>
      <c r="B202" s="28">
        <v>42125</v>
      </c>
      <c r="C202" s="3" t="s">
        <v>1278</v>
      </c>
      <c r="D202" s="3">
        <v>10004760</v>
      </c>
      <c r="E202" s="4">
        <v>4534302</v>
      </c>
      <c r="F202" s="3" t="s">
        <v>49</v>
      </c>
      <c r="G202" s="4" t="s">
        <v>1053</v>
      </c>
      <c r="H202" s="4" t="s">
        <v>1939</v>
      </c>
      <c r="I202" s="5">
        <v>44989.95</v>
      </c>
      <c r="J202" s="3" t="s">
        <v>53</v>
      </c>
      <c r="K202" s="3" t="s">
        <v>488</v>
      </c>
      <c r="L202" s="3" t="s">
        <v>119</v>
      </c>
      <c r="M202" s="4" t="s">
        <v>1940</v>
      </c>
      <c r="N202" s="3" t="s">
        <v>56</v>
      </c>
      <c r="O202" s="3"/>
      <c r="Q202" s="3"/>
      <c r="R202" s="3"/>
      <c r="Y202" s="4" t="s">
        <v>1056</v>
      </c>
      <c r="Z202" s="4" t="s">
        <v>1056</v>
      </c>
      <c r="AA202" s="4" t="s">
        <v>1057</v>
      </c>
      <c r="AB202" s="3" t="s">
        <v>1057</v>
      </c>
      <c r="AC202" s="3" t="s">
        <v>1340</v>
      </c>
      <c r="AD202" s="3" t="s">
        <v>53</v>
      </c>
      <c r="AE202" s="3">
        <v>1000</v>
      </c>
      <c r="AI202" s="4" t="s">
        <v>1058</v>
      </c>
      <c r="AJ202" s="4" t="s">
        <v>1058</v>
      </c>
      <c r="AK202" s="3"/>
      <c r="AL202" s="4">
        <v>140248</v>
      </c>
      <c r="AM202" s="5">
        <v>44989.95</v>
      </c>
      <c r="AN202" s="4" t="s">
        <v>124</v>
      </c>
      <c r="AO202" s="4">
        <v>99</v>
      </c>
      <c r="AP202" s="4">
        <v>43211501</v>
      </c>
    </row>
    <row r="203" spans="1:42" s="4" customFormat="1" x14ac:dyDescent="0.25">
      <c r="A203" s="3">
        <v>4604878</v>
      </c>
      <c r="B203" s="28">
        <v>42091</v>
      </c>
      <c r="C203" s="3" t="s">
        <v>1278</v>
      </c>
      <c r="D203" s="3">
        <v>10004696</v>
      </c>
      <c r="E203" s="4">
        <v>4534229</v>
      </c>
      <c r="F203" s="3" t="s">
        <v>49</v>
      </c>
      <c r="G203" s="4" t="s">
        <v>1234</v>
      </c>
      <c r="H203" s="4" t="s">
        <v>1235</v>
      </c>
      <c r="I203" s="5">
        <v>45000</v>
      </c>
      <c r="J203" s="3" t="s">
        <v>1236</v>
      </c>
      <c r="K203" s="3" t="s">
        <v>1845</v>
      </c>
      <c r="L203" s="3" t="s">
        <v>196</v>
      </c>
      <c r="M203" s="4" t="s">
        <v>1846</v>
      </c>
      <c r="N203" s="3" t="s">
        <v>25</v>
      </c>
      <c r="O203" s="3"/>
      <c r="Q203" s="3"/>
      <c r="R203" s="3"/>
      <c r="Y203" s="4" t="s">
        <v>1847</v>
      </c>
      <c r="Z203" s="4" t="s">
        <v>1847</v>
      </c>
      <c r="AB203" s="3"/>
      <c r="AC203" s="3"/>
      <c r="AD203" s="3" t="s">
        <v>477</v>
      </c>
      <c r="AE203" s="3">
        <v>1000</v>
      </c>
      <c r="AI203" s="4" t="s">
        <v>1848</v>
      </c>
      <c r="AJ203" s="4" t="s">
        <v>1848</v>
      </c>
      <c r="AK203" s="3"/>
      <c r="AL203" s="4">
        <v>43497</v>
      </c>
      <c r="AM203" s="5">
        <v>45000</v>
      </c>
      <c r="AN203" s="4" t="s">
        <v>124</v>
      </c>
      <c r="AO203" s="4">
        <v>99</v>
      </c>
      <c r="AP203" s="4">
        <v>86000000</v>
      </c>
    </row>
    <row r="204" spans="1:42" s="4" customFormat="1" x14ac:dyDescent="0.25">
      <c r="A204" s="3">
        <v>4604362</v>
      </c>
      <c r="B204" s="28">
        <v>41683</v>
      </c>
      <c r="C204" s="3" t="s">
        <v>2342</v>
      </c>
      <c r="D204" s="3">
        <v>10004141</v>
      </c>
      <c r="E204" s="4">
        <v>4533713</v>
      </c>
      <c r="F204" s="3" t="s">
        <v>49</v>
      </c>
      <c r="G204" s="4" t="s">
        <v>2300</v>
      </c>
      <c r="H204" s="4" t="s">
        <v>2301</v>
      </c>
      <c r="I204" s="5">
        <v>45000</v>
      </c>
      <c r="J204" s="3" t="s">
        <v>2345</v>
      </c>
      <c r="K204" s="3" t="s">
        <v>832</v>
      </c>
      <c r="L204" s="3" t="s">
        <v>1046</v>
      </c>
      <c r="M204" s="4" t="s">
        <v>2346</v>
      </c>
      <c r="N204" s="3" t="s">
        <v>25</v>
      </c>
      <c r="O204" s="3" t="s">
        <v>139</v>
      </c>
      <c r="P204" s="4" t="s">
        <v>282</v>
      </c>
      <c r="Q204" s="3" t="s">
        <v>139</v>
      </c>
      <c r="R204" s="3" t="s">
        <v>427</v>
      </c>
      <c r="S204" s="4" t="s">
        <v>428</v>
      </c>
      <c r="U204" s="4" t="s">
        <v>139</v>
      </c>
      <c r="V204" s="4" t="s">
        <v>427</v>
      </c>
      <c r="W204" s="4" t="s">
        <v>428</v>
      </c>
      <c r="Y204" s="4" t="s">
        <v>2286</v>
      </c>
      <c r="Z204" s="4" t="s">
        <v>2293</v>
      </c>
      <c r="AB204" s="3"/>
      <c r="AC204" s="3"/>
      <c r="AD204" s="3" t="s">
        <v>2228</v>
      </c>
      <c r="AE204" s="3">
        <v>1000</v>
      </c>
      <c r="AI204" s="4" t="s">
        <v>2288</v>
      </c>
      <c r="AJ204" s="4" t="s">
        <v>2298</v>
      </c>
      <c r="AK204" s="3" t="s">
        <v>286</v>
      </c>
      <c r="AL204" s="4">
        <v>30080</v>
      </c>
      <c r="AM204" s="5">
        <v>45000</v>
      </c>
      <c r="AN204" s="4" t="s">
        <v>2282</v>
      </c>
      <c r="AO204" s="4">
        <v>99</v>
      </c>
      <c r="AP204" s="4">
        <v>80120000</v>
      </c>
    </row>
    <row r="205" spans="1:42" s="4" customFormat="1" x14ac:dyDescent="0.25">
      <c r="A205" s="3">
        <v>4604987</v>
      </c>
      <c r="B205" s="28">
        <v>42076</v>
      </c>
      <c r="C205" s="3" t="s">
        <v>2342</v>
      </c>
      <c r="D205" s="3">
        <v>10004751</v>
      </c>
      <c r="E205" s="4">
        <v>4534338</v>
      </c>
      <c r="F205" s="3" t="s">
        <v>49</v>
      </c>
      <c r="G205" s="4" t="s">
        <v>2408</v>
      </c>
      <c r="H205" s="4" t="s">
        <v>2301</v>
      </c>
      <c r="I205" s="5">
        <v>45000</v>
      </c>
      <c r="J205" s="3" t="s">
        <v>441</v>
      </c>
      <c r="K205" s="3" t="s">
        <v>77</v>
      </c>
      <c r="L205" s="3" t="s">
        <v>1046</v>
      </c>
      <c r="M205" s="4" t="s">
        <v>2409</v>
      </c>
      <c r="N205" s="3" t="s">
        <v>25</v>
      </c>
      <c r="O205" s="3" t="s">
        <v>139</v>
      </c>
      <c r="P205" s="4" t="s">
        <v>282</v>
      </c>
      <c r="Q205" s="3" t="s">
        <v>139</v>
      </c>
      <c r="R205" s="3" t="s">
        <v>427</v>
      </c>
      <c r="S205" s="4" t="s">
        <v>428</v>
      </c>
      <c r="U205" s="4" t="s">
        <v>139</v>
      </c>
      <c r="V205" s="4" t="s">
        <v>427</v>
      </c>
      <c r="W205" s="4" t="s">
        <v>428</v>
      </c>
      <c r="Y205" s="4" t="s">
        <v>2277</v>
      </c>
      <c r="Z205" s="4" t="s">
        <v>2386</v>
      </c>
      <c r="AB205" s="3"/>
      <c r="AC205" s="3"/>
      <c r="AD205" s="3" t="s">
        <v>377</v>
      </c>
      <c r="AE205" s="3">
        <v>1000</v>
      </c>
      <c r="AI205" s="4" t="s">
        <v>2281</v>
      </c>
      <c r="AJ205" s="4" t="s">
        <v>2387</v>
      </c>
      <c r="AK205" s="3" t="s">
        <v>286</v>
      </c>
      <c r="AL205" s="4">
        <v>141902</v>
      </c>
      <c r="AM205" s="5">
        <v>45000</v>
      </c>
      <c r="AN205" s="4" t="s">
        <v>2282</v>
      </c>
      <c r="AO205" s="4">
        <v>99</v>
      </c>
      <c r="AP205" s="4">
        <v>80120000</v>
      </c>
    </row>
    <row r="206" spans="1:42" s="4" customFormat="1" x14ac:dyDescent="0.25">
      <c r="A206" s="3">
        <v>4604857</v>
      </c>
      <c r="B206" s="28">
        <v>42060</v>
      </c>
      <c r="C206" s="3" t="s">
        <v>1278</v>
      </c>
      <c r="D206" s="3">
        <v>10004662</v>
      </c>
      <c r="E206" s="4">
        <v>4534208</v>
      </c>
      <c r="F206" s="3" t="s">
        <v>49</v>
      </c>
      <c r="G206" s="4" t="s">
        <v>1085</v>
      </c>
      <c r="H206" s="4" t="s">
        <v>1823</v>
      </c>
      <c r="I206" s="5">
        <v>45283.54</v>
      </c>
      <c r="J206" s="3" t="s">
        <v>1691</v>
      </c>
      <c r="K206" s="3" t="s">
        <v>1822</v>
      </c>
      <c r="L206" s="3" t="s">
        <v>196</v>
      </c>
      <c r="M206" s="4" t="s">
        <v>1823</v>
      </c>
      <c r="N206" s="3" t="s">
        <v>25</v>
      </c>
      <c r="O206" s="3"/>
      <c r="Q206" s="3"/>
      <c r="R206" s="3"/>
      <c r="Y206" s="4" t="s">
        <v>1824</v>
      </c>
      <c r="Z206" s="4" t="s">
        <v>1778</v>
      </c>
      <c r="AB206" s="3"/>
      <c r="AC206" s="3"/>
      <c r="AD206" s="3" t="s">
        <v>1822</v>
      </c>
      <c r="AE206" s="3">
        <v>1000</v>
      </c>
      <c r="AI206" s="4" t="s">
        <v>1825</v>
      </c>
      <c r="AJ206" s="4" t="s">
        <v>1779</v>
      </c>
      <c r="AK206" s="3"/>
      <c r="AL206" s="4">
        <v>30502</v>
      </c>
      <c r="AM206" s="5">
        <v>45283.54</v>
      </c>
      <c r="AN206" s="4" t="s">
        <v>124</v>
      </c>
      <c r="AO206" s="4">
        <v>99</v>
      </c>
      <c r="AP206" s="4">
        <v>86000000</v>
      </c>
    </row>
    <row r="207" spans="1:42" s="4" customFormat="1" x14ac:dyDescent="0.25">
      <c r="A207" s="3">
        <v>4604859</v>
      </c>
      <c r="B207" s="28">
        <v>42060</v>
      </c>
      <c r="C207" s="3" t="s">
        <v>1278</v>
      </c>
      <c r="D207" s="3">
        <v>10004657</v>
      </c>
      <c r="E207" s="4">
        <v>4534210</v>
      </c>
      <c r="F207" s="3" t="s">
        <v>49</v>
      </c>
      <c r="G207" s="4" t="s">
        <v>1828</v>
      </c>
      <c r="H207" s="4" t="s">
        <v>1829</v>
      </c>
      <c r="I207" s="5">
        <v>45360</v>
      </c>
      <c r="J207" s="3" t="s">
        <v>467</v>
      </c>
      <c r="K207" s="3" t="s">
        <v>77</v>
      </c>
      <c r="L207" s="3" t="s">
        <v>1046</v>
      </c>
      <c r="M207" s="4" t="s">
        <v>1829</v>
      </c>
      <c r="N207" s="3" t="s">
        <v>25</v>
      </c>
      <c r="O207" s="3"/>
      <c r="Q207" s="3"/>
      <c r="R207" s="3"/>
      <c r="Y207" s="4" t="s">
        <v>1830</v>
      </c>
      <c r="Z207" s="4" t="s">
        <v>1344</v>
      </c>
      <c r="AB207" s="3"/>
      <c r="AC207" s="3"/>
      <c r="AD207" s="3" t="s">
        <v>1269</v>
      </c>
      <c r="AE207" s="3">
        <v>1000</v>
      </c>
      <c r="AI207" s="4" t="s">
        <v>1831</v>
      </c>
      <c r="AJ207" s="4" t="s">
        <v>1346</v>
      </c>
      <c r="AK207" s="3"/>
      <c r="AL207" s="4">
        <v>141864</v>
      </c>
      <c r="AM207" s="5">
        <v>45360</v>
      </c>
      <c r="AN207" s="4" t="s">
        <v>124</v>
      </c>
      <c r="AO207" s="4">
        <v>99</v>
      </c>
      <c r="AP207" s="4">
        <v>43230000</v>
      </c>
    </row>
    <row r="208" spans="1:42" s="4" customFormat="1" x14ac:dyDescent="0.25">
      <c r="A208" s="3">
        <v>4604576</v>
      </c>
      <c r="B208" s="28">
        <v>41820</v>
      </c>
      <c r="C208" s="3" t="s">
        <v>1278</v>
      </c>
      <c r="D208" s="3">
        <v>10004354</v>
      </c>
      <c r="E208" s="4">
        <v>4533927</v>
      </c>
      <c r="F208" s="3" t="s">
        <v>49</v>
      </c>
      <c r="G208" s="4" t="s">
        <v>1427</v>
      </c>
      <c r="H208" s="4" t="s">
        <v>1428</v>
      </c>
      <c r="I208" s="5">
        <v>45500</v>
      </c>
      <c r="J208" s="3" t="s">
        <v>200</v>
      </c>
      <c r="K208" s="3" t="s">
        <v>77</v>
      </c>
      <c r="L208" s="3" t="s">
        <v>196</v>
      </c>
      <c r="M208" s="4" t="s">
        <v>1428</v>
      </c>
      <c r="N208" s="3" t="s">
        <v>25</v>
      </c>
      <c r="O208" s="3"/>
      <c r="Q208" s="3"/>
      <c r="R208" s="3"/>
      <c r="Y208" s="4" t="s">
        <v>1429</v>
      </c>
      <c r="Z208" s="4" t="s">
        <v>1430</v>
      </c>
      <c r="AB208" s="3"/>
      <c r="AC208" s="3"/>
      <c r="AD208" s="3" t="s">
        <v>200</v>
      </c>
      <c r="AE208" s="3">
        <v>1000</v>
      </c>
      <c r="AI208" s="4" t="s">
        <v>1431</v>
      </c>
      <c r="AJ208" s="4" t="s">
        <v>1432</v>
      </c>
      <c r="AK208" s="3"/>
      <c r="AL208" s="4">
        <v>141764</v>
      </c>
      <c r="AM208" s="5">
        <v>45500</v>
      </c>
      <c r="AN208" s="4" t="s">
        <v>124</v>
      </c>
      <c r="AO208" s="4">
        <v>99</v>
      </c>
      <c r="AP208" s="4">
        <v>80110000</v>
      </c>
    </row>
    <row r="209" spans="1:42" s="4" customFormat="1" x14ac:dyDescent="0.25">
      <c r="A209" s="3">
        <v>4604525</v>
      </c>
      <c r="B209" s="28">
        <v>41803</v>
      </c>
      <c r="C209" s="3" t="s">
        <v>1278</v>
      </c>
      <c r="D209" s="3">
        <v>10004314</v>
      </c>
      <c r="E209" s="4">
        <v>4533876</v>
      </c>
      <c r="F209" s="3" t="s">
        <v>49</v>
      </c>
      <c r="G209" s="4" t="s">
        <v>1365</v>
      </c>
      <c r="H209" s="4" t="s">
        <v>1366</v>
      </c>
      <c r="I209" s="5">
        <v>45760</v>
      </c>
      <c r="J209" s="3" t="s">
        <v>76</v>
      </c>
      <c r="K209" s="3" t="s">
        <v>77</v>
      </c>
      <c r="L209" s="3" t="s">
        <v>119</v>
      </c>
      <c r="M209" s="4" t="s">
        <v>1366</v>
      </c>
      <c r="N209" s="3" t="s">
        <v>56</v>
      </c>
      <c r="O209" s="3"/>
      <c r="Q209" s="3"/>
      <c r="R209" s="3"/>
      <c r="Y209" s="4" t="s">
        <v>466</v>
      </c>
      <c r="Z209" s="4" t="s">
        <v>466</v>
      </c>
      <c r="AA209" s="4" t="s">
        <v>1367</v>
      </c>
      <c r="AB209" s="3" t="s">
        <v>1367</v>
      </c>
      <c r="AC209" s="3" t="s">
        <v>1368</v>
      </c>
      <c r="AD209" s="3" t="s">
        <v>1356</v>
      </c>
      <c r="AE209" s="3">
        <v>1000</v>
      </c>
      <c r="AI209" s="4" t="s">
        <v>468</v>
      </c>
      <c r="AJ209" s="4" t="s">
        <v>468</v>
      </c>
      <c r="AK209" s="3"/>
      <c r="AL209" s="4">
        <v>140286</v>
      </c>
      <c r="AM209" s="5">
        <v>45760</v>
      </c>
      <c r="AN209" s="4" t="s">
        <v>124</v>
      </c>
      <c r="AO209" s="4">
        <v>99</v>
      </c>
      <c r="AP209" s="4">
        <v>43230000</v>
      </c>
    </row>
    <row r="210" spans="1:42" s="4" customFormat="1" x14ac:dyDescent="0.25">
      <c r="A210" s="3">
        <v>4604827</v>
      </c>
      <c r="B210" s="28">
        <v>42019</v>
      </c>
      <c r="C210" s="3" t="s">
        <v>1278</v>
      </c>
      <c r="D210" s="3">
        <v>10004624</v>
      </c>
      <c r="E210" s="4">
        <v>4534178</v>
      </c>
      <c r="F210" s="3" t="s">
        <v>49</v>
      </c>
      <c r="G210" s="4" t="s">
        <v>1293</v>
      </c>
      <c r="H210" s="4" t="s">
        <v>1489</v>
      </c>
      <c r="I210" s="5">
        <v>46001.78</v>
      </c>
      <c r="J210" s="3" t="s">
        <v>1788</v>
      </c>
      <c r="K210" s="3" t="s">
        <v>321</v>
      </c>
      <c r="L210" s="3" t="s">
        <v>196</v>
      </c>
      <c r="M210" s="4" t="s">
        <v>1789</v>
      </c>
      <c r="N210" s="3" t="s">
        <v>25</v>
      </c>
      <c r="O210" s="3"/>
      <c r="Q210" s="3"/>
      <c r="R210" s="3"/>
      <c r="Y210" s="4" t="s">
        <v>1056</v>
      </c>
      <c r="Z210" s="4" t="s">
        <v>1056</v>
      </c>
      <c r="AB210" s="3"/>
      <c r="AC210" s="3"/>
      <c r="AD210" s="3" t="s">
        <v>340</v>
      </c>
      <c r="AE210" s="3">
        <v>1000</v>
      </c>
      <c r="AI210" s="4" t="s">
        <v>1058</v>
      </c>
      <c r="AJ210" s="4" t="s">
        <v>1058</v>
      </c>
      <c r="AK210" s="3"/>
      <c r="AL210" s="4">
        <v>40424</v>
      </c>
      <c r="AM210" s="5">
        <v>46001.78</v>
      </c>
      <c r="AN210" s="4" t="s">
        <v>124</v>
      </c>
      <c r="AO210" s="4">
        <v>99</v>
      </c>
      <c r="AP210" s="4">
        <v>43230000</v>
      </c>
    </row>
    <row r="211" spans="1:42" s="4" customFormat="1" x14ac:dyDescent="0.25">
      <c r="A211" s="3">
        <v>4604789</v>
      </c>
      <c r="B211" s="28">
        <v>41946</v>
      </c>
      <c r="C211" s="3" t="s">
        <v>1278</v>
      </c>
      <c r="D211" s="3">
        <v>10004534</v>
      </c>
      <c r="E211" s="4">
        <v>4534140</v>
      </c>
      <c r="F211" s="3" t="s">
        <v>49</v>
      </c>
      <c r="G211" s="4" t="s">
        <v>1738</v>
      </c>
      <c r="H211" s="4" t="s">
        <v>1739</v>
      </c>
      <c r="I211" s="5">
        <v>46310</v>
      </c>
      <c r="J211" s="3" t="s">
        <v>1691</v>
      </c>
      <c r="K211" s="3" t="s">
        <v>324</v>
      </c>
      <c r="L211" s="3" t="s">
        <v>119</v>
      </c>
      <c r="M211" s="4" t="s">
        <v>1739</v>
      </c>
      <c r="N211" s="3" t="s">
        <v>56</v>
      </c>
      <c r="O211" s="3"/>
      <c r="Q211" s="3"/>
      <c r="R211" s="3"/>
      <c r="Y211" s="4" t="s">
        <v>1539</v>
      </c>
      <c r="Z211" s="4" t="s">
        <v>1539</v>
      </c>
      <c r="AA211" s="4" t="s">
        <v>1740</v>
      </c>
      <c r="AB211" s="3" t="s">
        <v>1741</v>
      </c>
      <c r="AC211" s="3" t="s">
        <v>1742</v>
      </c>
      <c r="AD211" s="3" t="s">
        <v>951</v>
      </c>
      <c r="AE211" s="3">
        <v>1000</v>
      </c>
      <c r="AI211" s="4" t="s">
        <v>1540</v>
      </c>
      <c r="AJ211" s="4" t="s">
        <v>1540</v>
      </c>
      <c r="AK211" s="3"/>
      <c r="AL211" s="4">
        <v>141822</v>
      </c>
      <c r="AM211" s="5">
        <v>46310</v>
      </c>
      <c r="AN211" s="4" t="s">
        <v>124</v>
      </c>
      <c r="AO211" s="4">
        <v>99</v>
      </c>
      <c r="AP211" s="4">
        <v>80101507</v>
      </c>
    </row>
    <row r="212" spans="1:42" s="4" customFormat="1" x14ac:dyDescent="0.25">
      <c r="A212" s="3">
        <v>4604500</v>
      </c>
      <c r="B212" s="28">
        <v>41785</v>
      </c>
      <c r="C212" s="3" t="s">
        <v>1278</v>
      </c>
      <c r="D212" s="3">
        <v>10004280</v>
      </c>
      <c r="E212" s="4">
        <v>4533851</v>
      </c>
      <c r="F212" s="3" t="s">
        <v>49</v>
      </c>
      <c r="G212" s="4" t="s">
        <v>1341</v>
      </c>
      <c r="H212" s="4" t="s">
        <v>1342</v>
      </c>
      <c r="I212" s="5">
        <v>47000</v>
      </c>
      <c r="J212" s="3" t="s">
        <v>744</v>
      </c>
      <c r="K212" s="3" t="s">
        <v>997</v>
      </c>
      <c r="L212" s="3" t="s">
        <v>119</v>
      </c>
      <c r="M212" s="4" t="s">
        <v>1343</v>
      </c>
      <c r="N212" s="3" t="s">
        <v>56</v>
      </c>
      <c r="O212" s="3"/>
      <c r="Q212" s="3"/>
      <c r="R212" s="3"/>
      <c r="Y212" s="4" t="s">
        <v>1344</v>
      </c>
      <c r="Z212" s="4" t="s">
        <v>1344</v>
      </c>
      <c r="AA212" s="4" t="s">
        <v>1284</v>
      </c>
      <c r="AB212" s="3" t="s">
        <v>1345</v>
      </c>
      <c r="AC212" s="3" t="s">
        <v>1286</v>
      </c>
      <c r="AD212" s="3" t="s">
        <v>183</v>
      </c>
      <c r="AE212" s="3">
        <v>1000</v>
      </c>
      <c r="AI212" s="4" t="s">
        <v>1346</v>
      </c>
      <c r="AJ212" s="4" t="s">
        <v>1346</v>
      </c>
      <c r="AK212" s="3"/>
      <c r="AL212" s="4">
        <v>141743</v>
      </c>
      <c r="AM212" s="5">
        <v>47000</v>
      </c>
      <c r="AN212" s="4" t="s">
        <v>124</v>
      </c>
      <c r="AO212" s="4">
        <v>98</v>
      </c>
      <c r="AP212" s="4">
        <v>84111500</v>
      </c>
    </row>
    <row r="213" spans="1:42" s="4" customFormat="1" x14ac:dyDescent="0.25">
      <c r="A213" s="3">
        <v>4604954</v>
      </c>
      <c r="B213" s="28">
        <v>42154</v>
      </c>
      <c r="C213" s="3" t="s">
        <v>1278</v>
      </c>
      <c r="D213" s="3">
        <v>10004773</v>
      </c>
      <c r="E213" s="4">
        <v>4534305</v>
      </c>
      <c r="F213" s="3" t="s">
        <v>49</v>
      </c>
      <c r="G213" s="4" t="s">
        <v>1427</v>
      </c>
      <c r="H213" s="4" t="s">
        <v>1942</v>
      </c>
      <c r="I213" s="5">
        <v>47500</v>
      </c>
      <c r="J213" s="3" t="s">
        <v>1266</v>
      </c>
      <c r="K213" s="3" t="s">
        <v>302</v>
      </c>
      <c r="L213" s="3" t="s">
        <v>196</v>
      </c>
      <c r="M213" s="4" t="s">
        <v>1942</v>
      </c>
      <c r="N213" s="3" t="s">
        <v>25</v>
      </c>
      <c r="O213" s="3"/>
      <c r="Q213" s="3"/>
      <c r="R213" s="3"/>
      <c r="Y213" s="4" t="s">
        <v>267</v>
      </c>
      <c r="Z213" s="4" t="s">
        <v>267</v>
      </c>
      <c r="AB213" s="3"/>
      <c r="AC213" s="3"/>
      <c r="AD213" s="3" t="s">
        <v>527</v>
      </c>
      <c r="AE213" s="3">
        <v>1000</v>
      </c>
      <c r="AI213" s="4" t="s">
        <v>270</v>
      </c>
      <c r="AJ213" s="4" t="s">
        <v>270</v>
      </c>
      <c r="AK213" s="3"/>
      <c r="AL213" s="4">
        <v>141764</v>
      </c>
      <c r="AM213" s="5">
        <v>47500</v>
      </c>
      <c r="AN213" s="4" t="s">
        <v>124</v>
      </c>
      <c r="AO213" s="4">
        <v>99</v>
      </c>
      <c r="AP213" s="4">
        <v>80110000</v>
      </c>
    </row>
    <row r="214" spans="1:42" s="4" customFormat="1" x14ac:dyDescent="0.25">
      <c r="A214" s="3">
        <v>4604882</v>
      </c>
      <c r="B214" s="28">
        <v>42144</v>
      </c>
      <c r="C214" s="3" t="s">
        <v>1278</v>
      </c>
      <c r="D214" s="3">
        <v>10004697</v>
      </c>
      <c r="E214" s="4">
        <v>4534233</v>
      </c>
      <c r="F214" s="3" t="s">
        <v>49</v>
      </c>
      <c r="G214" s="4" t="s">
        <v>1599</v>
      </c>
      <c r="H214" s="4" t="s">
        <v>1857</v>
      </c>
      <c r="I214" s="5">
        <v>47520</v>
      </c>
      <c r="J214" s="3" t="s">
        <v>455</v>
      </c>
      <c r="K214" s="3" t="s">
        <v>1858</v>
      </c>
      <c r="L214" s="3" t="s">
        <v>196</v>
      </c>
      <c r="M214" s="4" t="s">
        <v>1859</v>
      </c>
      <c r="N214" s="3" t="s">
        <v>25</v>
      </c>
      <c r="O214" s="3"/>
      <c r="Q214" s="3"/>
      <c r="R214" s="3"/>
      <c r="Y214" s="4" t="s">
        <v>1309</v>
      </c>
      <c r="Z214" s="4" t="s">
        <v>1309</v>
      </c>
      <c r="AB214" s="3"/>
      <c r="AC214" s="3"/>
      <c r="AD214" s="3" t="s">
        <v>1088</v>
      </c>
      <c r="AE214" s="3">
        <v>1000</v>
      </c>
      <c r="AI214" s="4" t="s">
        <v>1313</v>
      </c>
      <c r="AJ214" s="4" t="s">
        <v>1313</v>
      </c>
      <c r="AK214" s="3"/>
      <c r="AL214" s="4">
        <v>141435</v>
      </c>
      <c r="AM214" s="5">
        <v>47520</v>
      </c>
      <c r="AN214" s="4" t="s">
        <v>124</v>
      </c>
      <c r="AO214" s="4">
        <v>99</v>
      </c>
      <c r="AP214" s="4">
        <v>80101507</v>
      </c>
    </row>
    <row r="215" spans="1:42" s="4" customFormat="1" x14ac:dyDescent="0.25">
      <c r="A215" s="3">
        <v>4604911</v>
      </c>
      <c r="B215" s="28">
        <v>42102</v>
      </c>
      <c r="C215" s="3" t="s">
        <v>1278</v>
      </c>
      <c r="D215" s="3">
        <v>10004726</v>
      </c>
      <c r="E215" s="4">
        <v>4534262</v>
      </c>
      <c r="F215" s="3" t="s">
        <v>49</v>
      </c>
      <c r="G215" s="4" t="s">
        <v>1471</v>
      </c>
      <c r="H215" s="4" t="s">
        <v>1899</v>
      </c>
      <c r="I215" s="5">
        <v>47762</v>
      </c>
      <c r="J215" s="3" t="s">
        <v>497</v>
      </c>
      <c r="K215" s="3" t="s">
        <v>422</v>
      </c>
      <c r="L215" s="3" t="s">
        <v>119</v>
      </c>
      <c r="M215" s="4" t="s">
        <v>1900</v>
      </c>
      <c r="N215" s="3" t="s">
        <v>56</v>
      </c>
      <c r="O215" s="3"/>
      <c r="Q215" s="3"/>
      <c r="R215" s="3"/>
      <c r="Y215" s="4" t="s">
        <v>1056</v>
      </c>
      <c r="Z215" s="4" t="s">
        <v>1056</v>
      </c>
      <c r="AA215" s="4" t="s">
        <v>1474</v>
      </c>
      <c r="AB215" s="3" t="s">
        <v>1475</v>
      </c>
      <c r="AC215" s="3" t="s">
        <v>1476</v>
      </c>
      <c r="AD215" s="3" t="s">
        <v>492</v>
      </c>
      <c r="AE215" s="3">
        <v>1000</v>
      </c>
      <c r="AI215" s="4" t="s">
        <v>1058</v>
      </c>
      <c r="AJ215" s="4" t="s">
        <v>1058</v>
      </c>
      <c r="AK215" s="3"/>
      <c r="AL215" s="4">
        <v>48891</v>
      </c>
      <c r="AM215" s="5">
        <v>47762</v>
      </c>
      <c r="AN215" s="4" t="s">
        <v>124</v>
      </c>
      <c r="AO215" s="4">
        <v>99</v>
      </c>
      <c r="AP215" s="4">
        <v>43211503</v>
      </c>
    </row>
    <row r="216" spans="1:42" s="4" customFormat="1" x14ac:dyDescent="0.25">
      <c r="A216" s="3">
        <v>4603855</v>
      </c>
      <c r="B216" s="28">
        <v>41452</v>
      </c>
      <c r="C216" s="3" t="s">
        <v>1042</v>
      </c>
      <c r="D216" s="3">
        <v>10003664</v>
      </c>
      <c r="E216" s="4">
        <v>4533206</v>
      </c>
      <c r="F216" s="3" t="s">
        <v>49</v>
      </c>
      <c r="G216" s="4" t="s">
        <v>1197</v>
      </c>
      <c r="H216" s="4" t="s">
        <v>1198</v>
      </c>
      <c r="I216" s="5">
        <v>48682.7</v>
      </c>
      <c r="J216" s="3" t="s">
        <v>631</v>
      </c>
      <c r="K216" s="3" t="s">
        <v>575</v>
      </c>
      <c r="L216" s="3" t="s">
        <v>196</v>
      </c>
      <c r="M216" s="4" t="s">
        <v>1199</v>
      </c>
      <c r="N216" s="3" t="s">
        <v>25</v>
      </c>
      <c r="O216" s="3" t="s">
        <v>139</v>
      </c>
      <c r="P216" s="4" t="s">
        <v>282</v>
      </c>
      <c r="Q216" s="3"/>
      <c r="R216" s="3"/>
      <c r="Y216" s="4" t="s">
        <v>1200</v>
      </c>
      <c r="Z216" s="4" t="s">
        <v>1200</v>
      </c>
      <c r="AA216" s="4" t="s">
        <v>1201</v>
      </c>
      <c r="AB216" s="3"/>
      <c r="AC216" s="3"/>
      <c r="AD216" s="3" t="s">
        <v>634</v>
      </c>
      <c r="AE216" s="3">
        <v>1000</v>
      </c>
      <c r="AI216" s="4" t="s">
        <v>1202</v>
      </c>
      <c r="AJ216" s="4" t="s">
        <v>1202</v>
      </c>
      <c r="AK216" s="3" t="s">
        <v>286</v>
      </c>
      <c r="AL216" s="4">
        <v>140121</v>
      </c>
      <c r="AM216" s="5">
        <v>48682.7</v>
      </c>
      <c r="AN216" s="4" t="s">
        <v>124</v>
      </c>
      <c r="AO216" s="4">
        <v>99</v>
      </c>
      <c r="AP216" s="4">
        <v>84111600</v>
      </c>
    </row>
    <row r="217" spans="1:42" s="4" customFormat="1" x14ac:dyDescent="0.25">
      <c r="A217" s="3">
        <v>4604521</v>
      </c>
      <c r="B217" s="28">
        <v>41803</v>
      </c>
      <c r="C217" s="3" t="s">
        <v>1278</v>
      </c>
      <c r="D217" s="3">
        <v>10004314</v>
      </c>
      <c r="E217" s="4">
        <v>4533872</v>
      </c>
      <c r="F217" s="3" t="s">
        <v>49</v>
      </c>
      <c r="G217" s="4" t="s">
        <v>1353</v>
      </c>
      <c r="H217" s="4" t="s">
        <v>1354</v>
      </c>
      <c r="I217" s="5">
        <v>49106</v>
      </c>
      <c r="J217" s="3" t="s">
        <v>76</v>
      </c>
      <c r="K217" s="3" t="s">
        <v>77</v>
      </c>
      <c r="L217" s="3" t="s">
        <v>119</v>
      </c>
      <c r="M217" s="4" t="s">
        <v>1354</v>
      </c>
      <c r="N217" s="3" t="s">
        <v>56</v>
      </c>
      <c r="O217" s="3"/>
      <c r="Q217" s="3"/>
      <c r="R217" s="3"/>
      <c r="Y217" s="4" t="s">
        <v>466</v>
      </c>
      <c r="Z217" s="4" t="s">
        <v>466</v>
      </c>
      <c r="AA217" s="4" t="s">
        <v>1324</v>
      </c>
      <c r="AB217" s="3" t="s">
        <v>1355</v>
      </c>
      <c r="AC217" s="3" t="s">
        <v>1326</v>
      </c>
      <c r="AD217" s="3" t="s">
        <v>1356</v>
      </c>
      <c r="AE217" s="3">
        <v>1000</v>
      </c>
      <c r="AI217" s="4" t="s">
        <v>468</v>
      </c>
      <c r="AJ217" s="4" t="s">
        <v>468</v>
      </c>
      <c r="AK217" s="3"/>
      <c r="AL217" s="4">
        <v>140449</v>
      </c>
      <c r="AM217" s="5">
        <v>49106</v>
      </c>
      <c r="AN217" s="4" t="s">
        <v>124</v>
      </c>
      <c r="AO217" s="4">
        <v>99</v>
      </c>
      <c r="AP217" s="4">
        <v>43230000</v>
      </c>
    </row>
    <row r="218" spans="1:42" s="4" customFormat="1" x14ac:dyDescent="0.25">
      <c r="A218" s="3">
        <v>4604634</v>
      </c>
      <c r="B218" s="28">
        <v>41830</v>
      </c>
      <c r="C218" s="3" t="s">
        <v>107</v>
      </c>
      <c r="D218" s="3">
        <v>10004430</v>
      </c>
      <c r="E218" s="4">
        <v>4533985</v>
      </c>
      <c r="F218" s="3" t="s">
        <v>49</v>
      </c>
      <c r="G218" s="4" t="s">
        <v>212</v>
      </c>
      <c r="H218" s="4" t="s">
        <v>213</v>
      </c>
      <c r="I218" s="5">
        <v>49390</v>
      </c>
      <c r="J218" s="3" t="s">
        <v>211</v>
      </c>
      <c r="K218" s="3" t="s">
        <v>214</v>
      </c>
      <c r="L218" s="3" t="s">
        <v>119</v>
      </c>
      <c r="M218" s="4" t="s">
        <v>213</v>
      </c>
      <c r="N218" s="3" t="s">
        <v>56</v>
      </c>
      <c r="O218" s="3"/>
      <c r="Q218" s="3" t="s">
        <v>139</v>
      </c>
      <c r="R218" s="3" t="s">
        <v>215</v>
      </c>
      <c r="S218" s="4" t="s">
        <v>216</v>
      </c>
      <c r="U218" s="4" t="s">
        <v>139</v>
      </c>
      <c r="V218" s="4" t="s">
        <v>119</v>
      </c>
      <c r="W218" s="4" t="s">
        <v>217</v>
      </c>
      <c r="X218" s="4" t="s">
        <v>218</v>
      </c>
      <c r="Y218" s="4" t="s">
        <v>219</v>
      </c>
      <c r="Z218" s="4" t="s">
        <v>220</v>
      </c>
      <c r="AA218" s="4">
        <v>20000211</v>
      </c>
      <c r="AB218" s="3" t="s">
        <v>221</v>
      </c>
      <c r="AC218" s="3" t="s">
        <v>222</v>
      </c>
      <c r="AD218" s="3" t="s">
        <v>223</v>
      </c>
      <c r="AE218" s="3">
        <v>1000</v>
      </c>
      <c r="AI218" s="4" t="s">
        <v>224</v>
      </c>
      <c r="AJ218" s="4" t="s">
        <v>225</v>
      </c>
      <c r="AK218" s="3"/>
      <c r="AL218" s="4">
        <v>141651</v>
      </c>
      <c r="AM218" s="5">
        <v>49390</v>
      </c>
      <c r="AN218" s="4" t="s">
        <v>124</v>
      </c>
      <c r="AO218" s="4">
        <v>99</v>
      </c>
      <c r="AP218" s="4">
        <v>80101504</v>
      </c>
    </row>
    <row r="219" spans="1:42" s="4" customFormat="1" x14ac:dyDescent="0.25">
      <c r="A219" s="3">
        <v>4604709</v>
      </c>
      <c r="B219" s="28">
        <v>41886</v>
      </c>
      <c r="C219" s="3" t="s">
        <v>1278</v>
      </c>
      <c r="D219" s="3">
        <v>10004508</v>
      </c>
      <c r="E219" s="4">
        <v>4534060</v>
      </c>
      <c r="F219" s="3" t="s">
        <v>49</v>
      </c>
      <c r="G219" s="4" t="s">
        <v>1579</v>
      </c>
      <c r="H219" s="4" t="s">
        <v>1580</v>
      </c>
      <c r="I219" s="5">
        <v>49500</v>
      </c>
      <c r="J219" s="3" t="s">
        <v>1623</v>
      </c>
      <c r="K219" s="3" t="s">
        <v>395</v>
      </c>
      <c r="L219" s="3" t="s">
        <v>196</v>
      </c>
      <c r="M219" s="4" t="s">
        <v>1580</v>
      </c>
      <c r="N219" s="3" t="s">
        <v>25</v>
      </c>
      <c r="O219" s="3"/>
      <c r="Q219" s="3"/>
      <c r="R219" s="3"/>
      <c r="Y219" s="4" t="s">
        <v>1309</v>
      </c>
      <c r="Z219" s="4" t="s">
        <v>1309</v>
      </c>
      <c r="AB219" s="3"/>
      <c r="AC219" s="3"/>
      <c r="AD219" s="3" t="s">
        <v>1538</v>
      </c>
      <c r="AE219" s="3">
        <v>1000</v>
      </c>
      <c r="AI219" s="4" t="s">
        <v>1313</v>
      </c>
      <c r="AJ219" s="4" t="s">
        <v>1313</v>
      </c>
      <c r="AK219" s="3"/>
      <c r="AL219" s="4">
        <v>141755</v>
      </c>
      <c r="AM219" s="5">
        <v>49500</v>
      </c>
      <c r="AN219" s="4" t="s">
        <v>124</v>
      </c>
      <c r="AO219" s="4">
        <v>99</v>
      </c>
      <c r="AP219" s="4">
        <v>80101507</v>
      </c>
    </row>
    <row r="220" spans="1:42" s="4" customFormat="1" x14ac:dyDescent="0.25">
      <c r="A220" s="3">
        <v>4604979</v>
      </c>
      <c r="B220" s="28">
        <v>42149</v>
      </c>
      <c r="C220" s="3" t="s">
        <v>288</v>
      </c>
      <c r="D220" s="3">
        <v>10004793</v>
      </c>
      <c r="E220" s="4">
        <v>4534330</v>
      </c>
      <c r="F220" s="3" t="s">
        <v>49</v>
      </c>
      <c r="G220" s="4" t="s">
        <v>361</v>
      </c>
      <c r="H220" s="4" t="s">
        <v>362</v>
      </c>
      <c r="I220" s="5">
        <v>49500</v>
      </c>
      <c r="J220" s="3" t="s">
        <v>360</v>
      </c>
      <c r="K220" s="3" t="s">
        <v>363</v>
      </c>
      <c r="L220" s="3" t="s">
        <v>119</v>
      </c>
      <c r="M220" s="4" t="s">
        <v>362</v>
      </c>
      <c r="N220" s="3" t="s">
        <v>56</v>
      </c>
      <c r="O220" s="3"/>
      <c r="Q220" s="3"/>
      <c r="R220" s="3"/>
      <c r="Y220" s="4" t="s">
        <v>344</v>
      </c>
      <c r="Z220" s="4" t="s">
        <v>344</v>
      </c>
      <c r="AA220" s="4" t="s">
        <v>356</v>
      </c>
      <c r="AB220" s="3" t="s">
        <v>364</v>
      </c>
      <c r="AC220" s="3" t="s">
        <v>358</v>
      </c>
      <c r="AD220" s="3" t="s">
        <v>351</v>
      </c>
      <c r="AE220" s="3">
        <v>5000</v>
      </c>
      <c r="AI220" s="4" t="s">
        <v>345</v>
      </c>
      <c r="AJ220" s="4" t="s">
        <v>345</v>
      </c>
      <c r="AK220" s="3"/>
      <c r="AL220" s="4">
        <v>141903</v>
      </c>
      <c r="AM220" s="5">
        <v>49500</v>
      </c>
      <c r="AN220" s="4" t="s">
        <v>31</v>
      </c>
      <c r="AO220" s="4">
        <v>99</v>
      </c>
      <c r="AP220" s="4">
        <v>80141500</v>
      </c>
    </row>
    <row r="221" spans="1:42" s="4" customFormat="1" x14ac:dyDescent="0.25">
      <c r="A221" s="3">
        <v>4604247</v>
      </c>
      <c r="B221" s="28">
        <v>41548</v>
      </c>
      <c r="C221" s="3" t="s">
        <v>2273</v>
      </c>
      <c r="D221" s="3">
        <v>10004001</v>
      </c>
      <c r="E221" s="4">
        <v>4533598</v>
      </c>
      <c r="F221" s="3" t="s">
        <v>49</v>
      </c>
      <c r="G221" s="4" t="s">
        <v>2300</v>
      </c>
      <c r="H221" s="4" t="s">
        <v>2301</v>
      </c>
      <c r="I221" s="5">
        <v>49800</v>
      </c>
      <c r="J221" s="3" t="s">
        <v>1247</v>
      </c>
      <c r="K221" s="3" t="s">
        <v>77</v>
      </c>
      <c r="L221" s="3" t="s">
        <v>1046</v>
      </c>
      <c r="M221" s="4" t="s">
        <v>2335</v>
      </c>
      <c r="N221" s="3" t="s">
        <v>25</v>
      </c>
      <c r="O221" s="3" t="s">
        <v>139</v>
      </c>
      <c r="P221" s="4" t="s">
        <v>282</v>
      </c>
      <c r="Q221" s="3"/>
      <c r="R221" s="3"/>
      <c r="U221" s="4" t="s">
        <v>139</v>
      </c>
      <c r="V221" s="4" t="s">
        <v>427</v>
      </c>
      <c r="W221" s="4" t="s">
        <v>428</v>
      </c>
      <c r="Y221" s="4" t="s">
        <v>2277</v>
      </c>
      <c r="Z221" s="4" t="s">
        <v>2293</v>
      </c>
      <c r="AB221" s="3"/>
      <c r="AC221" s="3"/>
      <c r="AD221" s="3" t="s">
        <v>535</v>
      </c>
      <c r="AE221" s="3">
        <v>1000</v>
      </c>
      <c r="AI221" s="4" t="s">
        <v>2281</v>
      </c>
      <c r="AJ221" s="4" t="s">
        <v>2298</v>
      </c>
      <c r="AK221" s="3" t="s">
        <v>286</v>
      </c>
      <c r="AL221" s="4">
        <v>30080</v>
      </c>
      <c r="AM221" s="5">
        <v>49800</v>
      </c>
      <c r="AN221" s="4" t="s">
        <v>2282</v>
      </c>
      <c r="AO221" s="4">
        <v>97</v>
      </c>
      <c r="AP221" s="4">
        <v>80120000</v>
      </c>
    </row>
    <row r="222" spans="1:42" s="4" customFormat="1" x14ac:dyDescent="0.25">
      <c r="A222" s="3">
        <v>4605068</v>
      </c>
      <c r="B222" s="28">
        <v>42184</v>
      </c>
      <c r="C222" s="3" t="s">
        <v>288</v>
      </c>
      <c r="D222" s="3">
        <v>10004924</v>
      </c>
      <c r="E222" s="4">
        <v>4534419</v>
      </c>
      <c r="F222" s="3" t="s">
        <v>49</v>
      </c>
      <c r="G222" s="4" t="s">
        <v>388</v>
      </c>
      <c r="H222" s="4" t="s">
        <v>389</v>
      </c>
      <c r="I222" s="5">
        <v>49898.75</v>
      </c>
      <c r="J222" s="3" t="s">
        <v>287</v>
      </c>
      <c r="K222" s="3" t="s">
        <v>77</v>
      </c>
      <c r="L222" s="3" t="s">
        <v>196</v>
      </c>
      <c r="M222" s="4" t="s">
        <v>390</v>
      </c>
      <c r="N222" s="3" t="s">
        <v>25</v>
      </c>
      <c r="O222" s="3"/>
      <c r="Q222" s="3"/>
      <c r="R222" s="3"/>
      <c r="Y222" s="4" t="s">
        <v>368</v>
      </c>
      <c r="Z222" s="4" t="s">
        <v>368</v>
      </c>
      <c r="AB222" s="3"/>
      <c r="AC222" s="3"/>
      <c r="AD222" s="3" t="s">
        <v>77</v>
      </c>
      <c r="AE222" s="3">
        <v>5000</v>
      </c>
      <c r="AI222" s="4" t="s">
        <v>370</v>
      </c>
      <c r="AJ222" s="4" t="s">
        <v>370</v>
      </c>
      <c r="AK222" s="3"/>
      <c r="AL222" s="4">
        <v>141826</v>
      </c>
      <c r="AM222" s="5">
        <v>49898.75</v>
      </c>
      <c r="AN222" s="4" t="s">
        <v>31</v>
      </c>
      <c r="AO222" s="4">
        <v>99</v>
      </c>
      <c r="AP222" s="4">
        <v>82111900</v>
      </c>
    </row>
    <row r="223" spans="1:42" s="4" customFormat="1" x14ac:dyDescent="0.25">
      <c r="A223" s="3">
        <v>4604652</v>
      </c>
      <c r="B223" s="28">
        <v>41852</v>
      </c>
      <c r="C223" s="3" t="s">
        <v>255</v>
      </c>
      <c r="D223" s="3">
        <v>10004434</v>
      </c>
      <c r="E223" s="4">
        <v>4534003</v>
      </c>
      <c r="F223" s="3" t="s">
        <v>49</v>
      </c>
      <c r="G223" s="4" t="s">
        <v>279</v>
      </c>
      <c r="H223" s="4" t="s">
        <v>280</v>
      </c>
      <c r="I223" s="5">
        <v>50000</v>
      </c>
      <c r="J223" s="3" t="s">
        <v>214</v>
      </c>
      <c r="K223" s="3" t="s">
        <v>187</v>
      </c>
      <c r="L223" s="3" t="s">
        <v>196</v>
      </c>
      <c r="M223" s="4" t="s">
        <v>281</v>
      </c>
      <c r="N223" s="3" t="s">
        <v>25</v>
      </c>
      <c r="O223" s="3" t="s">
        <v>139</v>
      </c>
      <c r="P223" s="4" t="s">
        <v>282</v>
      </c>
      <c r="Q223" s="3"/>
      <c r="R223" s="3"/>
      <c r="Y223" s="4" t="s">
        <v>283</v>
      </c>
      <c r="Z223" s="4" t="s">
        <v>283</v>
      </c>
      <c r="AB223" s="3"/>
      <c r="AC223" s="3"/>
      <c r="AD223" s="3" t="s">
        <v>284</v>
      </c>
      <c r="AE223" s="3">
        <v>1000</v>
      </c>
      <c r="AI223" s="4" t="s">
        <v>285</v>
      </c>
      <c r="AJ223" s="4" t="s">
        <v>285</v>
      </c>
      <c r="AK223" s="3" t="s">
        <v>286</v>
      </c>
      <c r="AL223" s="4">
        <v>141759</v>
      </c>
      <c r="AM223" s="5">
        <v>50000</v>
      </c>
      <c r="AN223" s="4" t="s">
        <v>124</v>
      </c>
      <c r="AO223" s="4">
        <v>98</v>
      </c>
      <c r="AP223" s="4">
        <v>80101504</v>
      </c>
    </row>
    <row r="224" spans="1:42" s="4" customFormat="1" x14ac:dyDescent="0.25">
      <c r="A224" s="3">
        <v>4604625</v>
      </c>
      <c r="B224" s="28">
        <v>41984</v>
      </c>
      <c r="C224" s="3" t="s">
        <v>1278</v>
      </c>
      <c r="D224" s="3">
        <v>10004406</v>
      </c>
      <c r="E224" s="4">
        <v>4533976</v>
      </c>
      <c r="F224" s="3" t="s">
        <v>49</v>
      </c>
      <c r="G224" s="4" t="s">
        <v>1529</v>
      </c>
      <c r="H224" s="4" t="s">
        <v>1530</v>
      </c>
      <c r="I224" s="5">
        <v>50000</v>
      </c>
      <c r="J224" s="3" t="s">
        <v>76</v>
      </c>
      <c r="K224" s="3" t="s">
        <v>77</v>
      </c>
      <c r="L224" s="3" t="s">
        <v>119</v>
      </c>
      <c r="M224" s="4" t="s">
        <v>1530</v>
      </c>
      <c r="N224" s="3" t="s">
        <v>56</v>
      </c>
      <c r="O224" s="3"/>
      <c r="Q224" s="3"/>
      <c r="R224" s="3"/>
      <c r="Y224" s="4" t="s">
        <v>540</v>
      </c>
      <c r="Z224" s="4" t="s">
        <v>1090</v>
      </c>
      <c r="AA224" s="4" t="s">
        <v>1531</v>
      </c>
      <c r="AB224" s="3" t="s">
        <v>1531</v>
      </c>
      <c r="AC224" s="3" t="s">
        <v>1532</v>
      </c>
      <c r="AD224" s="3" t="s">
        <v>436</v>
      </c>
      <c r="AE224" s="3">
        <v>1000</v>
      </c>
      <c r="AI224" s="4" t="s">
        <v>542</v>
      </c>
      <c r="AJ224" s="4" t="s">
        <v>1091</v>
      </c>
      <c r="AK224" s="3"/>
      <c r="AL224" s="4">
        <v>49058</v>
      </c>
      <c r="AM224" s="5">
        <v>50000</v>
      </c>
      <c r="AN224" s="4" t="s">
        <v>124</v>
      </c>
      <c r="AO224" s="4">
        <v>98</v>
      </c>
      <c r="AP224" s="4">
        <v>72102200</v>
      </c>
    </row>
    <row r="225" spans="1:42" s="4" customFormat="1" x14ac:dyDescent="0.25">
      <c r="A225" s="3">
        <v>4604589</v>
      </c>
      <c r="B225" s="28">
        <v>41821</v>
      </c>
      <c r="C225" s="3" t="s">
        <v>2073</v>
      </c>
      <c r="D225" s="3">
        <v>10004369</v>
      </c>
      <c r="E225" s="4">
        <v>4533940</v>
      </c>
      <c r="F225" s="3" t="s">
        <v>49</v>
      </c>
      <c r="G225" s="4" t="s">
        <v>1353</v>
      </c>
      <c r="H225" s="4" t="s">
        <v>2078</v>
      </c>
      <c r="I225" s="5">
        <v>50073.5</v>
      </c>
      <c r="J225" s="3" t="s">
        <v>76</v>
      </c>
      <c r="K225" s="3" t="s">
        <v>77</v>
      </c>
      <c r="L225" s="3" t="s">
        <v>119</v>
      </c>
      <c r="M225" s="4" t="s">
        <v>2078</v>
      </c>
      <c r="N225" s="3" t="s">
        <v>56</v>
      </c>
      <c r="O225" s="3"/>
      <c r="Q225" s="3"/>
      <c r="R225" s="3"/>
      <c r="Y225" s="4" t="s">
        <v>368</v>
      </c>
      <c r="Z225" s="4" t="s">
        <v>368</v>
      </c>
      <c r="AA225" s="4" t="s">
        <v>1324</v>
      </c>
      <c r="AB225" s="3" t="s">
        <v>1355</v>
      </c>
      <c r="AC225" s="3" t="s">
        <v>1326</v>
      </c>
      <c r="AD225" s="3" t="s">
        <v>1452</v>
      </c>
      <c r="AE225" s="3">
        <v>1000</v>
      </c>
      <c r="AI225" s="4" t="s">
        <v>370</v>
      </c>
      <c r="AJ225" s="4" t="s">
        <v>370</v>
      </c>
      <c r="AK225" s="3"/>
      <c r="AL225" s="4">
        <v>140449</v>
      </c>
      <c r="AM225" s="5">
        <v>50073.5</v>
      </c>
      <c r="AN225" s="4" t="s">
        <v>124</v>
      </c>
      <c r="AO225" s="4">
        <v>99</v>
      </c>
      <c r="AP225" s="4">
        <v>81112100</v>
      </c>
    </row>
    <row r="226" spans="1:42" s="4" customFormat="1" x14ac:dyDescent="0.25">
      <c r="A226" s="3">
        <v>4604665</v>
      </c>
      <c r="B226" s="28">
        <v>41863</v>
      </c>
      <c r="C226" s="3" t="s">
        <v>1278</v>
      </c>
      <c r="D226" s="3">
        <v>10004447</v>
      </c>
      <c r="E226" s="4">
        <v>4534016</v>
      </c>
      <c r="F226" s="3" t="s">
        <v>49</v>
      </c>
      <c r="G226" s="4" t="s">
        <v>1594</v>
      </c>
      <c r="H226" s="4" t="s">
        <v>1595</v>
      </c>
      <c r="I226" s="5">
        <v>51315</v>
      </c>
      <c r="J226" s="3" t="s">
        <v>768</v>
      </c>
      <c r="K226" s="3" t="s">
        <v>807</v>
      </c>
      <c r="L226" s="3" t="s">
        <v>196</v>
      </c>
      <c r="M226" s="4" t="s">
        <v>1595</v>
      </c>
      <c r="N226" s="3" t="s">
        <v>25</v>
      </c>
      <c r="O226" s="3"/>
      <c r="Q226" s="3"/>
      <c r="R226" s="3"/>
      <c r="Y226" s="4" t="s">
        <v>1309</v>
      </c>
      <c r="Z226" s="4" t="s">
        <v>1309</v>
      </c>
      <c r="AB226" s="3"/>
      <c r="AC226" s="3"/>
      <c r="AD226" s="3" t="s">
        <v>292</v>
      </c>
      <c r="AE226" s="3">
        <v>1000</v>
      </c>
      <c r="AI226" s="4" t="s">
        <v>1313</v>
      </c>
      <c r="AJ226" s="4" t="s">
        <v>1313</v>
      </c>
      <c r="AK226" s="3"/>
      <c r="AL226" s="4">
        <v>49706</v>
      </c>
      <c r="AM226" s="5">
        <v>51315</v>
      </c>
      <c r="AN226" s="4" t="s">
        <v>124</v>
      </c>
      <c r="AO226" s="4">
        <v>99</v>
      </c>
      <c r="AP226" s="4">
        <v>80101507</v>
      </c>
    </row>
    <row r="227" spans="1:42" s="4" customFormat="1" x14ac:dyDescent="0.25">
      <c r="A227" s="3">
        <v>4604681</v>
      </c>
      <c r="B227" s="28">
        <v>41883</v>
      </c>
      <c r="C227" s="3" t="s">
        <v>1278</v>
      </c>
      <c r="D227" s="3">
        <v>10004477</v>
      </c>
      <c r="E227" s="4">
        <v>4534032</v>
      </c>
      <c r="F227" s="3" t="s">
        <v>49</v>
      </c>
      <c r="G227" s="4" t="s">
        <v>1618</v>
      </c>
      <c r="H227" s="4" t="s">
        <v>1619</v>
      </c>
      <c r="I227" s="5">
        <v>51480</v>
      </c>
      <c r="J227" s="3" t="s">
        <v>1039</v>
      </c>
      <c r="K227" s="3" t="s">
        <v>77</v>
      </c>
      <c r="L227" s="3" t="s">
        <v>196</v>
      </c>
      <c r="M227" s="4" t="s">
        <v>1619</v>
      </c>
      <c r="N227" s="3" t="s">
        <v>25</v>
      </c>
      <c r="O227" s="3"/>
      <c r="Q227" s="3"/>
      <c r="R227" s="3"/>
      <c r="Y227" s="4" t="s">
        <v>1336</v>
      </c>
      <c r="Z227" s="4" t="s">
        <v>1336</v>
      </c>
      <c r="AB227" s="3"/>
      <c r="AC227" s="3"/>
      <c r="AD227" s="3" t="s">
        <v>787</v>
      </c>
      <c r="AE227" s="3">
        <v>1000</v>
      </c>
      <c r="AI227" s="4" t="s">
        <v>1337</v>
      </c>
      <c r="AJ227" s="4" t="s">
        <v>1337</v>
      </c>
      <c r="AK227" s="3"/>
      <c r="AL227" s="4">
        <v>40656</v>
      </c>
      <c r="AM227" s="5">
        <v>51480</v>
      </c>
      <c r="AN227" s="4" t="s">
        <v>124</v>
      </c>
      <c r="AO227" s="4">
        <v>99</v>
      </c>
      <c r="AP227" s="4">
        <v>86000000</v>
      </c>
    </row>
    <row r="228" spans="1:42" s="4" customFormat="1" x14ac:dyDescent="0.25">
      <c r="A228" s="3">
        <v>4604752</v>
      </c>
      <c r="B228" s="28">
        <v>41878</v>
      </c>
      <c r="C228" s="3" t="s">
        <v>2073</v>
      </c>
      <c r="D228" s="3">
        <v>10004476</v>
      </c>
      <c r="E228" s="4">
        <v>4534103</v>
      </c>
      <c r="F228" s="3" t="s">
        <v>49</v>
      </c>
      <c r="G228" s="4" t="s">
        <v>1353</v>
      </c>
      <c r="H228" s="4" t="s">
        <v>2082</v>
      </c>
      <c r="I228" s="5">
        <v>51590</v>
      </c>
      <c r="J228" s="3" t="s">
        <v>1039</v>
      </c>
      <c r="K228" s="3" t="s">
        <v>77</v>
      </c>
      <c r="L228" s="3" t="s">
        <v>196</v>
      </c>
      <c r="M228" s="4" t="s">
        <v>2082</v>
      </c>
      <c r="N228" s="3" t="s">
        <v>25</v>
      </c>
      <c r="O228" s="3"/>
      <c r="Q228" s="3"/>
      <c r="R228" s="3"/>
      <c r="Y228" s="4" t="s">
        <v>688</v>
      </c>
      <c r="Z228" s="4" t="s">
        <v>688</v>
      </c>
      <c r="AB228" s="3"/>
      <c r="AC228" s="3"/>
      <c r="AD228" s="3" t="s">
        <v>910</v>
      </c>
      <c r="AE228" s="3">
        <v>1000</v>
      </c>
      <c r="AI228" s="4" t="s">
        <v>689</v>
      </c>
      <c r="AJ228" s="4" t="s">
        <v>689</v>
      </c>
      <c r="AK228" s="3"/>
      <c r="AL228" s="4">
        <v>140449</v>
      </c>
      <c r="AM228" s="5">
        <v>51590</v>
      </c>
      <c r="AN228" s="4" t="s">
        <v>124</v>
      </c>
      <c r="AO228" s="4">
        <v>99</v>
      </c>
    </row>
    <row r="229" spans="1:42" s="4" customFormat="1" x14ac:dyDescent="0.25">
      <c r="A229" s="3">
        <v>4604980</v>
      </c>
      <c r="B229" s="28">
        <v>42150</v>
      </c>
      <c r="C229" s="3" t="s">
        <v>392</v>
      </c>
      <c r="D229" s="3">
        <v>10004799</v>
      </c>
      <c r="E229" s="4">
        <v>4534331</v>
      </c>
      <c r="F229" s="3" t="s">
        <v>49</v>
      </c>
      <c r="G229" s="4" t="s">
        <v>519</v>
      </c>
      <c r="H229" s="4" t="s">
        <v>528</v>
      </c>
      <c r="I229" s="5">
        <v>52299.5</v>
      </c>
      <c r="J229" s="3" t="s">
        <v>360</v>
      </c>
      <c r="K229" s="3" t="s">
        <v>77</v>
      </c>
      <c r="L229" s="3" t="s">
        <v>119</v>
      </c>
      <c r="M229" s="4" t="s">
        <v>528</v>
      </c>
      <c r="N229" s="3" t="s">
        <v>56</v>
      </c>
      <c r="O229" s="3"/>
      <c r="Q229" s="3"/>
      <c r="R229" s="3"/>
      <c r="Y229" s="4" t="s">
        <v>466</v>
      </c>
      <c r="Z229" s="4" t="s">
        <v>466</v>
      </c>
      <c r="AA229" s="4" t="s">
        <v>521</v>
      </c>
      <c r="AB229" s="3" t="s">
        <v>522</v>
      </c>
      <c r="AC229" s="3" t="s">
        <v>523</v>
      </c>
      <c r="AD229" s="3" t="s">
        <v>474</v>
      </c>
      <c r="AE229" s="3">
        <v>1000</v>
      </c>
      <c r="AI229" s="4" t="s">
        <v>468</v>
      </c>
      <c r="AJ229" s="4" t="s">
        <v>468</v>
      </c>
      <c r="AK229" s="3"/>
      <c r="AL229" s="4">
        <v>141888</v>
      </c>
      <c r="AM229" s="5">
        <v>52299.5</v>
      </c>
      <c r="AN229" s="4" t="s">
        <v>124</v>
      </c>
      <c r="AO229" s="4">
        <v>99</v>
      </c>
      <c r="AP229" s="4">
        <v>43230000</v>
      </c>
    </row>
    <row r="230" spans="1:42" s="4" customFormat="1" x14ac:dyDescent="0.25">
      <c r="A230" s="3">
        <v>4604788</v>
      </c>
      <c r="B230" s="28">
        <v>42024</v>
      </c>
      <c r="C230" s="3" t="s">
        <v>392</v>
      </c>
      <c r="D230" s="3">
        <v>10004546</v>
      </c>
      <c r="E230" s="4">
        <v>4534139</v>
      </c>
      <c r="F230" s="3" t="s">
        <v>49</v>
      </c>
      <c r="G230" s="4" t="s">
        <v>410</v>
      </c>
      <c r="H230" s="4" t="s">
        <v>403</v>
      </c>
      <c r="I230" s="5">
        <v>52536</v>
      </c>
      <c r="J230" s="3" t="s">
        <v>320</v>
      </c>
      <c r="K230" s="3" t="s">
        <v>321</v>
      </c>
      <c r="L230" s="3" t="s">
        <v>119</v>
      </c>
      <c r="M230" s="4" t="s">
        <v>403</v>
      </c>
      <c r="N230" s="3" t="s">
        <v>56</v>
      </c>
      <c r="O230" s="3"/>
      <c r="Q230" s="3"/>
      <c r="R230" s="3"/>
      <c r="Y230" s="4" t="s">
        <v>411</v>
      </c>
      <c r="Z230" s="4" t="s">
        <v>411</v>
      </c>
      <c r="AA230" s="4" t="s">
        <v>412</v>
      </c>
      <c r="AB230" s="3" t="s">
        <v>413</v>
      </c>
      <c r="AC230" s="3" t="s">
        <v>414</v>
      </c>
      <c r="AD230" s="3" t="s">
        <v>402</v>
      </c>
      <c r="AE230" s="3">
        <v>1000</v>
      </c>
      <c r="AI230" s="4" t="s">
        <v>415</v>
      </c>
      <c r="AJ230" s="4" t="s">
        <v>415</v>
      </c>
      <c r="AK230" s="3"/>
      <c r="AL230" s="4">
        <v>141810</v>
      </c>
      <c r="AM230" s="5">
        <v>52536</v>
      </c>
      <c r="AN230" s="4" t="s">
        <v>124</v>
      </c>
      <c r="AO230" s="4">
        <v>98</v>
      </c>
      <c r="AP230" s="4">
        <v>80101706</v>
      </c>
    </row>
    <row r="231" spans="1:42" s="4" customFormat="1" x14ac:dyDescent="0.25">
      <c r="A231" s="3">
        <v>4605017</v>
      </c>
      <c r="B231" s="28">
        <v>42167</v>
      </c>
      <c r="C231" s="3" t="s">
        <v>2158</v>
      </c>
      <c r="D231" s="3">
        <v>10004834</v>
      </c>
      <c r="E231" s="4">
        <v>4534368</v>
      </c>
      <c r="F231" s="3" t="s">
        <v>49</v>
      </c>
      <c r="G231" s="4" t="s">
        <v>2268</v>
      </c>
      <c r="H231" s="4" t="s">
        <v>2269</v>
      </c>
      <c r="I231" s="5">
        <v>52800</v>
      </c>
      <c r="J231" s="3" t="s">
        <v>377</v>
      </c>
      <c r="K231" s="3" t="s">
        <v>77</v>
      </c>
      <c r="L231" s="3" t="s">
        <v>196</v>
      </c>
      <c r="M231" s="4" t="s">
        <v>2270</v>
      </c>
      <c r="N231" s="3" t="s">
        <v>25</v>
      </c>
      <c r="O231" s="3" t="s">
        <v>139</v>
      </c>
      <c r="P231" s="4" t="s">
        <v>282</v>
      </c>
      <c r="Q231" s="3"/>
      <c r="R231" s="3"/>
      <c r="Y231" s="4" t="s">
        <v>767</v>
      </c>
      <c r="Z231" s="4" t="s">
        <v>767</v>
      </c>
      <c r="AB231" s="3"/>
      <c r="AC231" s="3"/>
      <c r="AD231" s="3" t="s">
        <v>380</v>
      </c>
      <c r="AE231" s="3">
        <v>1000</v>
      </c>
      <c r="AI231" s="4" t="s">
        <v>769</v>
      </c>
      <c r="AJ231" s="4" t="s">
        <v>769</v>
      </c>
      <c r="AK231" s="3" t="s">
        <v>286</v>
      </c>
      <c r="AL231" s="4">
        <v>140501</v>
      </c>
      <c r="AM231" s="5">
        <v>52800</v>
      </c>
      <c r="AN231" s="4" t="s">
        <v>124</v>
      </c>
      <c r="AO231" s="4">
        <v>99</v>
      </c>
      <c r="AP231" s="4">
        <v>80101507</v>
      </c>
    </row>
    <row r="232" spans="1:42" s="4" customFormat="1" x14ac:dyDescent="0.25">
      <c r="A232" s="3">
        <v>4604639</v>
      </c>
      <c r="B232" s="28">
        <v>41850</v>
      </c>
      <c r="C232" s="3" t="s">
        <v>1278</v>
      </c>
      <c r="D232" s="3">
        <v>10004427</v>
      </c>
      <c r="E232" s="4">
        <v>4533990</v>
      </c>
      <c r="F232" s="3" t="s">
        <v>49</v>
      </c>
      <c r="G232" s="4" t="s">
        <v>1555</v>
      </c>
      <c r="H232" s="4" t="s">
        <v>1556</v>
      </c>
      <c r="I232" s="5">
        <v>52800.05</v>
      </c>
      <c r="J232" s="3" t="s">
        <v>259</v>
      </c>
      <c r="K232" s="3" t="s">
        <v>997</v>
      </c>
      <c r="L232" s="3" t="s">
        <v>119</v>
      </c>
      <c r="M232" s="4" t="s">
        <v>1557</v>
      </c>
      <c r="N232" s="3" t="s">
        <v>56</v>
      </c>
      <c r="O232" s="3"/>
      <c r="Q232" s="3"/>
      <c r="R232" s="3"/>
      <c r="Y232" s="4" t="s">
        <v>1056</v>
      </c>
      <c r="Z232" s="4" t="s">
        <v>1090</v>
      </c>
      <c r="AA232" s="4" t="s">
        <v>1558</v>
      </c>
      <c r="AB232" s="3" t="s">
        <v>1559</v>
      </c>
      <c r="AC232" s="3" t="s">
        <v>1560</v>
      </c>
      <c r="AD232" s="3" t="s">
        <v>223</v>
      </c>
      <c r="AE232" s="3">
        <v>1000</v>
      </c>
      <c r="AI232" s="4" t="s">
        <v>1058</v>
      </c>
      <c r="AJ232" s="4" t="s">
        <v>1091</v>
      </c>
      <c r="AK232" s="3"/>
      <c r="AL232" s="4">
        <v>41579</v>
      </c>
      <c r="AM232" s="5">
        <v>52800.05</v>
      </c>
      <c r="AN232" s="4" t="s">
        <v>124</v>
      </c>
      <c r="AO232" s="4">
        <v>99</v>
      </c>
      <c r="AP232" s="4">
        <v>43220000</v>
      </c>
    </row>
    <row r="233" spans="1:42" s="4" customFormat="1" x14ac:dyDescent="0.25">
      <c r="A233" s="3">
        <v>4604492</v>
      </c>
      <c r="B233" s="28">
        <v>41782</v>
      </c>
      <c r="C233" s="3" t="s">
        <v>2342</v>
      </c>
      <c r="D233" s="3">
        <v>10004279</v>
      </c>
      <c r="E233" s="4">
        <v>4533843</v>
      </c>
      <c r="F233" s="3" t="s">
        <v>49</v>
      </c>
      <c r="G233" s="4" t="s">
        <v>2300</v>
      </c>
      <c r="H233" s="4" t="s">
        <v>2301</v>
      </c>
      <c r="I233" s="5">
        <v>53000</v>
      </c>
      <c r="J233" s="3" t="s">
        <v>1110</v>
      </c>
      <c r="K233" s="3" t="s">
        <v>214</v>
      </c>
      <c r="L233" s="3" t="s">
        <v>1046</v>
      </c>
      <c r="M233" s="4" t="s">
        <v>2363</v>
      </c>
      <c r="N233" s="3" t="s">
        <v>25</v>
      </c>
      <c r="O233" s="3"/>
      <c r="Q233" s="3" t="s">
        <v>139</v>
      </c>
      <c r="R233" s="3" t="s">
        <v>215</v>
      </c>
      <c r="S233" s="4" t="s">
        <v>216</v>
      </c>
      <c r="U233" s="4" t="s">
        <v>139</v>
      </c>
      <c r="V233" s="4" t="s">
        <v>427</v>
      </c>
      <c r="W233" s="4" t="s">
        <v>428</v>
      </c>
      <c r="Y233" s="4" t="s">
        <v>2277</v>
      </c>
      <c r="Z233" s="4" t="s">
        <v>2293</v>
      </c>
      <c r="AB233" s="3"/>
      <c r="AC233" s="3"/>
      <c r="AD233" s="3" t="s">
        <v>774</v>
      </c>
      <c r="AE233" s="3">
        <v>1000</v>
      </c>
      <c r="AI233" s="4" t="s">
        <v>2281</v>
      </c>
      <c r="AJ233" s="4" t="s">
        <v>2298</v>
      </c>
      <c r="AK233" s="3"/>
      <c r="AL233" s="4">
        <v>30080</v>
      </c>
      <c r="AM233" s="5">
        <v>53000</v>
      </c>
      <c r="AN233" s="4" t="s">
        <v>2282</v>
      </c>
      <c r="AO233" s="4">
        <v>99</v>
      </c>
      <c r="AP233" s="4">
        <v>80120000</v>
      </c>
    </row>
    <row r="234" spans="1:42" s="4" customFormat="1" x14ac:dyDescent="0.25">
      <c r="A234" s="3">
        <v>4604873</v>
      </c>
      <c r="B234" s="28">
        <v>42185</v>
      </c>
      <c r="C234" s="3" t="s">
        <v>1278</v>
      </c>
      <c r="D234" s="3">
        <v>10004687</v>
      </c>
      <c r="E234" s="4">
        <v>4534224</v>
      </c>
      <c r="F234" s="3" t="s">
        <v>49</v>
      </c>
      <c r="G234" s="4" t="s">
        <v>1454</v>
      </c>
      <c r="H234" s="4" t="s">
        <v>1843</v>
      </c>
      <c r="I234" s="5">
        <v>53181.59</v>
      </c>
      <c r="J234" s="3" t="s">
        <v>486</v>
      </c>
      <c r="K234" s="3" t="s">
        <v>77</v>
      </c>
      <c r="L234" s="3" t="s">
        <v>119</v>
      </c>
      <c r="M234" s="4" t="s">
        <v>1843</v>
      </c>
      <c r="N234" s="3" t="s">
        <v>25</v>
      </c>
      <c r="O234" s="3"/>
      <c r="Q234" s="3"/>
      <c r="R234" s="3"/>
      <c r="Y234" s="4" t="s">
        <v>1141</v>
      </c>
      <c r="Z234" s="4" t="s">
        <v>1141</v>
      </c>
      <c r="AA234" s="4" t="s">
        <v>1645</v>
      </c>
      <c r="AB234" s="3"/>
      <c r="AC234" s="3"/>
      <c r="AD234" s="3" t="s">
        <v>77</v>
      </c>
      <c r="AE234" s="3">
        <v>1000</v>
      </c>
      <c r="AI234" s="4" t="s">
        <v>1144</v>
      </c>
      <c r="AJ234" s="4" t="s">
        <v>1144</v>
      </c>
      <c r="AK234" s="3"/>
      <c r="AL234" s="4">
        <v>141769</v>
      </c>
      <c r="AM234" s="5">
        <v>53181.59</v>
      </c>
      <c r="AN234" s="4" t="s">
        <v>124</v>
      </c>
      <c r="AO234" s="4">
        <v>99</v>
      </c>
      <c r="AP234" s="4">
        <v>72101500</v>
      </c>
    </row>
    <row r="235" spans="1:42" s="4" customFormat="1" x14ac:dyDescent="0.25">
      <c r="A235" s="3">
        <v>4604920</v>
      </c>
      <c r="B235" s="28">
        <v>41736</v>
      </c>
      <c r="C235" s="3" t="s">
        <v>288</v>
      </c>
      <c r="D235" s="3">
        <v>10004659</v>
      </c>
      <c r="E235" s="4">
        <v>4534271</v>
      </c>
      <c r="F235" s="3" t="s">
        <v>49</v>
      </c>
      <c r="G235" s="4" t="s">
        <v>347</v>
      </c>
      <c r="H235" s="4" t="s">
        <v>348</v>
      </c>
      <c r="I235" s="5">
        <v>53262</v>
      </c>
      <c r="J235" s="3" t="s">
        <v>349</v>
      </c>
      <c r="K235" s="3" t="s">
        <v>77</v>
      </c>
      <c r="L235" s="3" t="s">
        <v>196</v>
      </c>
      <c r="M235" s="4" t="s">
        <v>348</v>
      </c>
      <c r="N235" s="3" t="s">
        <v>25</v>
      </c>
      <c r="O235" s="3"/>
      <c r="Q235" s="3"/>
      <c r="R235" s="3"/>
      <c r="Y235" s="4" t="s">
        <v>350</v>
      </c>
      <c r="Z235" s="4" t="s">
        <v>344</v>
      </c>
      <c r="AB235" s="3"/>
      <c r="AC235" s="3"/>
      <c r="AD235" s="3" t="s">
        <v>351</v>
      </c>
      <c r="AE235" s="3">
        <v>5000</v>
      </c>
      <c r="AI235" s="4" t="s">
        <v>352</v>
      </c>
      <c r="AJ235" s="4" t="s">
        <v>345</v>
      </c>
      <c r="AK235" s="3"/>
      <c r="AL235" s="4">
        <v>40471</v>
      </c>
      <c r="AM235" s="5">
        <v>53262</v>
      </c>
      <c r="AN235" s="4" t="s">
        <v>31</v>
      </c>
      <c r="AO235" s="4">
        <v>99</v>
      </c>
      <c r="AP235" s="4">
        <v>80141602</v>
      </c>
    </row>
    <row r="236" spans="1:42" s="4" customFormat="1" x14ac:dyDescent="0.25">
      <c r="A236" s="3">
        <v>4603050</v>
      </c>
      <c r="B236" s="28">
        <v>41137</v>
      </c>
      <c r="C236" s="3" t="s">
        <v>2273</v>
      </c>
      <c r="D236" s="3">
        <v>10002887</v>
      </c>
      <c r="E236" s="4">
        <v>4532401</v>
      </c>
      <c r="F236" s="3" t="s">
        <v>49</v>
      </c>
      <c r="G236" s="4" t="s">
        <v>2310</v>
      </c>
      <c r="H236" s="4" t="s">
        <v>2311</v>
      </c>
      <c r="I236" s="5">
        <v>54105</v>
      </c>
      <c r="J236" s="3" t="s">
        <v>2309</v>
      </c>
      <c r="K236" s="3" t="s">
        <v>832</v>
      </c>
      <c r="L236" s="3" t="s">
        <v>119</v>
      </c>
      <c r="M236" s="4" t="s">
        <v>2312</v>
      </c>
      <c r="N236" s="3" t="s">
        <v>56</v>
      </c>
      <c r="O236" s="3" t="s">
        <v>139</v>
      </c>
      <c r="P236" s="4" t="s">
        <v>2207</v>
      </c>
      <c r="Q236" s="3"/>
      <c r="R236" s="3"/>
      <c r="U236" s="4" t="s">
        <v>139</v>
      </c>
      <c r="V236" s="4" t="s">
        <v>427</v>
      </c>
      <c r="W236" s="4" t="s">
        <v>428</v>
      </c>
      <c r="Y236" s="4" t="s">
        <v>2277</v>
      </c>
      <c r="Z236" s="4" t="s">
        <v>2293</v>
      </c>
      <c r="AA236" s="4" t="s">
        <v>2294</v>
      </c>
      <c r="AB236" s="3" t="s">
        <v>2313</v>
      </c>
      <c r="AC236" s="3" t="s">
        <v>2296</v>
      </c>
      <c r="AD236" s="3" t="s">
        <v>2228</v>
      </c>
      <c r="AE236" s="3">
        <v>1000</v>
      </c>
      <c r="AI236" s="4" t="s">
        <v>2281</v>
      </c>
      <c r="AJ236" s="4" t="s">
        <v>2298</v>
      </c>
      <c r="AK236" s="3" t="s">
        <v>2210</v>
      </c>
      <c r="AL236" s="4">
        <v>47820</v>
      </c>
      <c r="AM236" s="5">
        <v>54105</v>
      </c>
      <c r="AN236" s="4" t="s">
        <v>2282</v>
      </c>
      <c r="AO236" s="4">
        <v>96</v>
      </c>
      <c r="AP236" s="4">
        <v>80120000</v>
      </c>
    </row>
    <row r="237" spans="1:42" s="4" customFormat="1" x14ac:dyDescent="0.25">
      <c r="A237" s="3">
        <v>4604787</v>
      </c>
      <c r="B237" s="28">
        <v>41968</v>
      </c>
      <c r="C237" s="3" t="s">
        <v>1278</v>
      </c>
      <c r="D237" s="3">
        <v>10004585</v>
      </c>
      <c r="E237" s="4">
        <v>4534138</v>
      </c>
      <c r="F237" s="3" t="s">
        <v>49</v>
      </c>
      <c r="G237" s="4" t="s">
        <v>393</v>
      </c>
      <c r="H237" s="4" t="s">
        <v>1736</v>
      </c>
      <c r="I237" s="5">
        <v>54740.07</v>
      </c>
      <c r="J237" s="3" t="s">
        <v>1728</v>
      </c>
      <c r="K237" s="3" t="s">
        <v>480</v>
      </c>
      <c r="L237" s="3" t="s">
        <v>196</v>
      </c>
      <c r="M237" s="4" t="s">
        <v>1736</v>
      </c>
      <c r="N237" s="3" t="s">
        <v>25</v>
      </c>
      <c r="O237" s="3"/>
      <c r="Q237" s="3"/>
      <c r="R237" s="3"/>
      <c r="Y237" s="4" t="s">
        <v>179</v>
      </c>
      <c r="Z237" s="4" t="s">
        <v>179</v>
      </c>
      <c r="AB237" s="3"/>
      <c r="AC237" s="3"/>
      <c r="AD237" s="3" t="s">
        <v>1040</v>
      </c>
      <c r="AE237" s="3">
        <v>1000</v>
      </c>
      <c r="AI237" s="4" t="s">
        <v>182</v>
      </c>
      <c r="AJ237" s="4" t="s">
        <v>182</v>
      </c>
      <c r="AK237" s="3"/>
      <c r="AL237" s="4">
        <v>51455</v>
      </c>
      <c r="AM237" s="5">
        <v>54740.07</v>
      </c>
      <c r="AN237" s="4" t="s">
        <v>124</v>
      </c>
      <c r="AO237" s="4">
        <v>99</v>
      </c>
      <c r="AP237" s="4">
        <v>86000000</v>
      </c>
    </row>
    <row r="238" spans="1:42" s="4" customFormat="1" x14ac:dyDescent="0.25">
      <c r="A238" s="3">
        <v>4604528</v>
      </c>
      <c r="B238" s="28">
        <v>41803</v>
      </c>
      <c r="C238" s="3" t="s">
        <v>1278</v>
      </c>
      <c r="D238" s="3">
        <v>10004314</v>
      </c>
      <c r="E238" s="4">
        <v>4533879</v>
      </c>
      <c r="F238" s="3" t="s">
        <v>49</v>
      </c>
      <c r="G238" s="4" t="s">
        <v>1374</v>
      </c>
      <c r="H238" s="4" t="s">
        <v>1375</v>
      </c>
      <c r="I238" s="5">
        <v>55000</v>
      </c>
      <c r="J238" s="3" t="s">
        <v>76</v>
      </c>
      <c r="K238" s="3" t="s">
        <v>77</v>
      </c>
      <c r="L238" s="3" t="s">
        <v>119</v>
      </c>
      <c r="M238" s="4" t="s">
        <v>1376</v>
      </c>
      <c r="N238" s="3" t="s">
        <v>56</v>
      </c>
      <c r="O238" s="3"/>
      <c r="Q238" s="3"/>
      <c r="R238" s="3"/>
      <c r="Y238" s="4" t="s">
        <v>466</v>
      </c>
      <c r="Z238" s="4" t="s">
        <v>466</v>
      </c>
      <c r="AA238" s="4" t="s">
        <v>412</v>
      </c>
      <c r="AB238" s="3" t="s">
        <v>1377</v>
      </c>
      <c r="AC238" s="3" t="s">
        <v>414</v>
      </c>
      <c r="AD238" s="3" t="s">
        <v>1373</v>
      </c>
      <c r="AE238" s="3">
        <v>1000</v>
      </c>
      <c r="AI238" s="4" t="s">
        <v>468</v>
      </c>
      <c r="AJ238" s="4" t="s">
        <v>468</v>
      </c>
      <c r="AK238" s="3"/>
      <c r="AL238" s="4">
        <v>141749</v>
      </c>
      <c r="AM238" s="5">
        <v>55000</v>
      </c>
      <c r="AN238" s="4" t="s">
        <v>124</v>
      </c>
      <c r="AO238" s="4">
        <v>99</v>
      </c>
      <c r="AP238" s="4">
        <v>43230000</v>
      </c>
    </row>
    <row r="239" spans="1:42" s="4" customFormat="1" x14ac:dyDescent="0.25">
      <c r="A239" s="3">
        <v>4604880</v>
      </c>
      <c r="B239" s="28">
        <v>42076</v>
      </c>
      <c r="C239" s="3" t="s">
        <v>1278</v>
      </c>
      <c r="D239" s="3">
        <v>10004674</v>
      </c>
      <c r="E239" s="4">
        <v>4534231</v>
      </c>
      <c r="F239" s="3" t="s">
        <v>49</v>
      </c>
      <c r="G239" s="4" t="s">
        <v>1853</v>
      </c>
      <c r="H239" s="4" t="s">
        <v>1854</v>
      </c>
      <c r="I239" s="5">
        <v>55000</v>
      </c>
      <c r="J239" s="3" t="s">
        <v>1635</v>
      </c>
      <c r="K239" s="3" t="s">
        <v>77</v>
      </c>
      <c r="L239" s="3" t="s">
        <v>119</v>
      </c>
      <c r="M239" s="4" t="s">
        <v>1854</v>
      </c>
      <c r="N239" s="3" t="s">
        <v>56</v>
      </c>
      <c r="O239" s="3"/>
      <c r="Q239" s="3"/>
      <c r="R239" s="3"/>
      <c r="Y239" s="4" t="s">
        <v>267</v>
      </c>
      <c r="Z239" s="4" t="s">
        <v>267</v>
      </c>
      <c r="AA239" s="4" t="s">
        <v>188</v>
      </c>
      <c r="AB239" s="3" t="s">
        <v>1855</v>
      </c>
      <c r="AC239" s="3" t="s">
        <v>190</v>
      </c>
      <c r="AD239" s="3" t="s">
        <v>287</v>
      </c>
      <c r="AE239" s="3">
        <v>1000</v>
      </c>
      <c r="AI239" s="4" t="s">
        <v>270</v>
      </c>
      <c r="AJ239" s="4" t="s">
        <v>270</v>
      </c>
      <c r="AK239" s="3"/>
      <c r="AL239" s="4">
        <v>49845</v>
      </c>
      <c r="AM239" s="5">
        <v>55000</v>
      </c>
      <c r="AN239" s="4" t="s">
        <v>124</v>
      </c>
      <c r="AO239" s="4">
        <v>98</v>
      </c>
      <c r="AP239" s="4">
        <v>80111600</v>
      </c>
    </row>
    <row r="240" spans="1:42" s="4" customFormat="1" x14ac:dyDescent="0.25">
      <c r="A240" s="3">
        <v>4604413</v>
      </c>
      <c r="B240" s="28">
        <v>41725</v>
      </c>
      <c r="C240" s="3" t="s">
        <v>2342</v>
      </c>
      <c r="D240" s="3">
        <v>10004199</v>
      </c>
      <c r="E240" s="4">
        <v>4533764</v>
      </c>
      <c r="F240" s="3" t="s">
        <v>49</v>
      </c>
      <c r="G240" s="4" t="s">
        <v>2352</v>
      </c>
      <c r="H240" s="4" t="s">
        <v>2353</v>
      </c>
      <c r="I240" s="5">
        <v>55000</v>
      </c>
      <c r="J240" s="3" t="s">
        <v>2351</v>
      </c>
      <c r="K240" s="3" t="s">
        <v>832</v>
      </c>
      <c r="L240" s="3" t="s">
        <v>1046</v>
      </c>
      <c r="M240" s="4" t="s">
        <v>2354</v>
      </c>
      <c r="N240" s="3" t="s">
        <v>25</v>
      </c>
      <c r="O240" s="3" t="s">
        <v>139</v>
      </c>
      <c r="P240" s="4" t="s">
        <v>282</v>
      </c>
      <c r="Q240" s="3" t="s">
        <v>139</v>
      </c>
      <c r="R240" s="3" t="s">
        <v>427</v>
      </c>
      <c r="S240" s="4" t="s">
        <v>428</v>
      </c>
      <c r="U240" s="4" t="s">
        <v>139</v>
      </c>
      <c r="V240" s="4" t="s">
        <v>427</v>
      </c>
      <c r="W240" s="4" t="s">
        <v>428</v>
      </c>
      <c r="Y240" s="4" t="s">
        <v>2286</v>
      </c>
      <c r="Z240" s="4" t="s">
        <v>2293</v>
      </c>
      <c r="AB240" s="3"/>
      <c r="AC240" s="3"/>
      <c r="AD240" s="3" t="s">
        <v>2228</v>
      </c>
      <c r="AE240" s="3">
        <v>1000</v>
      </c>
      <c r="AI240" s="4" t="s">
        <v>2288</v>
      </c>
      <c r="AJ240" s="4" t="s">
        <v>2298</v>
      </c>
      <c r="AK240" s="3" t="s">
        <v>286</v>
      </c>
      <c r="AL240" s="4">
        <v>44024</v>
      </c>
      <c r="AM240" s="5">
        <v>55000</v>
      </c>
      <c r="AN240" s="4" t="s">
        <v>2282</v>
      </c>
      <c r="AO240" s="4">
        <v>99</v>
      </c>
      <c r="AP240" s="4">
        <v>80120000</v>
      </c>
    </row>
    <row r="241" spans="1:42" s="4" customFormat="1" x14ac:dyDescent="0.25">
      <c r="A241" s="3">
        <v>4605074</v>
      </c>
      <c r="B241" s="28">
        <v>42185</v>
      </c>
      <c r="C241" s="3" t="s">
        <v>1278</v>
      </c>
      <c r="D241" s="3">
        <v>10004913</v>
      </c>
      <c r="E241" s="4">
        <v>4534425</v>
      </c>
      <c r="F241" s="3" t="s">
        <v>49</v>
      </c>
      <c r="G241" s="4" t="s">
        <v>1471</v>
      </c>
      <c r="H241" s="4" t="s">
        <v>1899</v>
      </c>
      <c r="I241" s="5">
        <v>55927.3</v>
      </c>
      <c r="J241" s="3" t="s">
        <v>287</v>
      </c>
      <c r="K241" s="3" t="s">
        <v>1775</v>
      </c>
      <c r="L241" s="3" t="s">
        <v>119</v>
      </c>
      <c r="M241" s="4" t="s">
        <v>2071</v>
      </c>
      <c r="N241" s="3" t="s">
        <v>56</v>
      </c>
      <c r="O241" s="3"/>
      <c r="Q241" s="3"/>
      <c r="R241" s="3"/>
      <c r="Y241" s="4" t="s">
        <v>1056</v>
      </c>
      <c r="Z241" s="4" t="s">
        <v>1056</v>
      </c>
      <c r="AA241" s="4" t="s">
        <v>1474</v>
      </c>
      <c r="AB241" s="3" t="s">
        <v>1475</v>
      </c>
      <c r="AC241" s="3" t="s">
        <v>1476</v>
      </c>
      <c r="AD241" s="3" t="s">
        <v>2072</v>
      </c>
      <c r="AE241" s="3">
        <v>1000</v>
      </c>
      <c r="AI241" s="4" t="s">
        <v>1058</v>
      </c>
      <c r="AJ241" s="4" t="s">
        <v>1058</v>
      </c>
      <c r="AK241" s="3"/>
      <c r="AL241" s="4">
        <v>48891</v>
      </c>
      <c r="AM241" s="5">
        <v>55927.3</v>
      </c>
      <c r="AN241" s="4" t="s">
        <v>124</v>
      </c>
      <c r="AO241" s="4">
        <v>99</v>
      </c>
      <c r="AP241" s="4">
        <v>43210000</v>
      </c>
    </row>
    <row r="242" spans="1:42" s="4" customFormat="1" x14ac:dyDescent="0.25">
      <c r="A242" s="3">
        <v>4604721</v>
      </c>
      <c r="B242" s="28">
        <v>41913</v>
      </c>
      <c r="C242" s="3" t="s">
        <v>288</v>
      </c>
      <c r="D242" s="3">
        <v>10004522</v>
      </c>
      <c r="E242" s="4">
        <v>4534072</v>
      </c>
      <c r="F242" s="3" t="s">
        <v>49</v>
      </c>
      <c r="G242" s="4" t="s">
        <v>305</v>
      </c>
      <c r="H242" s="4" t="s">
        <v>306</v>
      </c>
      <c r="I242" s="5">
        <v>56000</v>
      </c>
      <c r="J242" s="3" t="s">
        <v>173</v>
      </c>
      <c r="K242" s="3" t="s">
        <v>77</v>
      </c>
      <c r="L242" s="3" t="s">
        <v>196</v>
      </c>
      <c r="M242" s="4" t="s">
        <v>306</v>
      </c>
      <c r="N242" s="3" t="s">
        <v>25</v>
      </c>
      <c r="O242" s="3"/>
      <c r="Q242" s="3"/>
      <c r="R242" s="3"/>
      <c r="Y242" s="4" t="s">
        <v>307</v>
      </c>
      <c r="Z242" s="4" t="s">
        <v>307</v>
      </c>
      <c r="AA242" s="4" t="s">
        <v>308</v>
      </c>
      <c r="AB242" s="3"/>
      <c r="AC242" s="3"/>
      <c r="AD242" s="3" t="s">
        <v>284</v>
      </c>
      <c r="AE242" s="3">
        <v>1000</v>
      </c>
      <c r="AI242" s="4" t="s">
        <v>309</v>
      </c>
      <c r="AJ242" s="4" t="s">
        <v>309</v>
      </c>
      <c r="AK242" s="3"/>
      <c r="AL242" s="4">
        <v>141704</v>
      </c>
      <c r="AM242" s="5">
        <v>56000</v>
      </c>
      <c r="AN242" s="4" t="s">
        <v>124</v>
      </c>
      <c r="AO242" s="4">
        <v>99</v>
      </c>
      <c r="AP242" s="4">
        <v>80100000</v>
      </c>
    </row>
    <row r="243" spans="1:42" s="4" customFormat="1" x14ac:dyDescent="0.25">
      <c r="A243" s="3">
        <v>4604768</v>
      </c>
      <c r="B243" s="28">
        <v>41821</v>
      </c>
      <c r="C243" s="3" t="s">
        <v>288</v>
      </c>
      <c r="D243" s="3">
        <v>10004558</v>
      </c>
      <c r="E243" s="4">
        <v>4534119</v>
      </c>
      <c r="F243" s="3" t="s">
        <v>49</v>
      </c>
      <c r="G243" s="4" t="s">
        <v>203</v>
      </c>
      <c r="H243" s="4" t="s">
        <v>314</v>
      </c>
      <c r="I243" s="5">
        <v>56555</v>
      </c>
      <c r="J243" s="3" t="s">
        <v>76</v>
      </c>
      <c r="K243" s="3" t="s">
        <v>77</v>
      </c>
      <c r="L243" s="3" t="s">
        <v>196</v>
      </c>
      <c r="M243" s="4" t="s">
        <v>314</v>
      </c>
      <c r="N243" s="3" t="s">
        <v>25</v>
      </c>
      <c r="O243" s="3"/>
      <c r="Q243" s="3"/>
      <c r="R243" s="3"/>
      <c r="Y243" s="4" t="s">
        <v>111</v>
      </c>
      <c r="Z243" s="4" t="s">
        <v>111</v>
      </c>
      <c r="AB243" s="3"/>
      <c r="AC243" s="3"/>
      <c r="AD243" s="3" t="s">
        <v>315</v>
      </c>
      <c r="AE243" s="3">
        <v>1000</v>
      </c>
      <c r="AI243" s="4" t="s">
        <v>114</v>
      </c>
      <c r="AJ243" s="4" t="s">
        <v>114</v>
      </c>
      <c r="AK243" s="3"/>
      <c r="AL243" s="4">
        <v>140367</v>
      </c>
      <c r="AM243" s="5">
        <v>56555</v>
      </c>
      <c r="AN243" s="4" t="s">
        <v>124</v>
      </c>
      <c r="AO243" s="4">
        <v>99</v>
      </c>
      <c r="AP243" s="4">
        <v>43211501</v>
      </c>
    </row>
    <row r="244" spans="1:42" s="4" customFormat="1" x14ac:dyDescent="0.25">
      <c r="A244" s="3">
        <v>4604965</v>
      </c>
      <c r="B244" s="28">
        <v>42138</v>
      </c>
      <c r="C244" s="3" t="s">
        <v>1278</v>
      </c>
      <c r="D244" s="3">
        <v>10004661</v>
      </c>
      <c r="E244" s="4">
        <v>4534316</v>
      </c>
      <c r="F244" s="3" t="s">
        <v>49</v>
      </c>
      <c r="G244" s="4" t="s">
        <v>1818</v>
      </c>
      <c r="H244" s="4" t="s">
        <v>1961</v>
      </c>
      <c r="I244" s="5">
        <v>56595</v>
      </c>
      <c r="J244" s="3" t="s">
        <v>1269</v>
      </c>
      <c r="K244" s="3" t="s">
        <v>422</v>
      </c>
      <c r="L244" s="3" t="s">
        <v>119</v>
      </c>
      <c r="M244" s="4" t="s">
        <v>1962</v>
      </c>
      <c r="N244" s="3" t="s">
        <v>56</v>
      </c>
      <c r="O244" s="3"/>
      <c r="Q244" s="3"/>
      <c r="R244" s="3"/>
      <c r="Y244" s="4" t="s">
        <v>1056</v>
      </c>
      <c r="Z244" s="4" t="s">
        <v>1056</v>
      </c>
      <c r="AA244" s="4">
        <v>20000194</v>
      </c>
      <c r="AB244" s="3" t="s">
        <v>1821</v>
      </c>
      <c r="AC244" s="3" t="s">
        <v>1719</v>
      </c>
      <c r="AD244" s="3" t="s">
        <v>1117</v>
      </c>
      <c r="AE244" s="3">
        <v>1000</v>
      </c>
      <c r="AI244" s="4" t="s">
        <v>1058</v>
      </c>
      <c r="AJ244" s="4" t="s">
        <v>1058</v>
      </c>
      <c r="AK244" s="3"/>
      <c r="AL244" s="4">
        <v>44100</v>
      </c>
      <c r="AM244" s="5">
        <v>56595</v>
      </c>
      <c r="AN244" s="4" t="s">
        <v>124</v>
      </c>
      <c r="AO244" s="4">
        <v>99</v>
      </c>
      <c r="AP244" s="4">
        <v>81111900</v>
      </c>
    </row>
    <row r="245" spans="1:42" s="4" customFormat="1" x14ac:dyDescent="0.25">
      <c r="A245" s="3">
        <v>4604437</v>
      </c>
      <c r="B245" s="28">
        <v>41710</v>
      </c>
      <c r="C245" s="3" t="s">
        <v>2158</v>
      </c>
      <c r="D245" s="3">
        <v>10004226</v>
      </c>
      <c r="E245" s="4">
        <v>4533788</v>
      </c>
      <c r="F245" s="3" t="s">
        <v>49</v>
      </c>
      <c r="G245" s="4" t="s">
        <v>2199</v>
      </c>
      <c r="H245" s="4" t="s">
        <v>2200</v>
      </c>
      <c r="I245" s="5">
        <v>57250</v>
      </c>
      <c r="J245" s="3" t="s">
        <v>2198</v>
      </c>
      <c r="K245" s="3" t="s">
        <v>223</v>
      </c>
      <c r="L245" s="3" t="s">
        <v>196</v>
      </c>
      <c r="M245" s="4" t="s">
        <v>2201</v>
      </c>
      <c r="N245" s="3" t="s">
        <v>25</v>
      </c>
      <c r="O245" s="3" t="s">
        <v>139</v>
      </c>
      <c r="P245" s="4" t="s">
        <v>282</v>
      </c>
      <c r="Q245" s="3" t="s">
        <v>139</v>
      </c>
      <c r="R245" s="3" t="s">
        <v>427</v>
      </c>
      <c r="S245" s="4" t="s">
        <v>428</v>
      </c>
      <c r="U245" s="4" t="s">
        <v>139</v>
      </c>
      <c r="V245" s="4" t="s">
        <v>427</v>
      </c>
      <c r="W245" s="4" t="s">
        <v>428</v>
      </c>
      <c r="Y245" s="4" t="s">
        <v>307</v>
      </c>
      <c r="Z245" s="4" t="s">
        <v>307</v>
      </c>
      <c r="AB245" s="3"/>
      <c r="AC245" s="3"/>
      <c r="AD245" s="3" t="s">
        <v>1543</v>
      </c>
      <c r="AE245" s="3">
        <v>1000</v>
      </c>
      <c r="AI245" s="4" t="s">
        <v>309</v>
      </c>
      <c r="AJ245" s="4" t="s">
        <v>309</v>
      </c>
      <c r="AK245" s="3" t="s">
        <v>286</v>
      </c>
      <c r="AL245" s="4">
        <v>141720</v>
      </c>
      <c r="AM245" s="5">
        <v>57250</v>
      </c>
      <c r="AN245" s="4" t="s">
        <v>124</v>
      </c>
      <c r="AO245" s="4">
        <v>99</v>
      </c>
      <c r="AP245" s="4">
        <v>80100000</v>
      </c>
    </row>
    <row r="246" spans="1:42" s="4" customFormat="1" x14ac:dyDescent="0.25">
      <c r="A246" s="3">
        <v>4605043</v>
      </c>
      <c r="B246" s="28">
        <v>42179</v>
      </c>
      <c r="C246" s="3" t="s">
        <v>1278</v>
      </c>
      <c r="D246" s="3">
        <v>10004865</v>
      </c>
      <c r="E246" s="4">
        <v>4534394</v>
      </c>
      <c r="F246" s="3" t="s">
        <v>49</v>
      </c>
      <c r="G246" s="4" t="s">
        <v>1968</v>
      </c>
      <c r="H246" s="4" t="s">
        <v>2052</v>
      </c>
      <c r="I246" s="5">
        <v>57464</v>
      </c>
      <c r="J246" s="3" t="s">
        <v>317</v>
      </c>
      <c r="K246" s="3" t="s">
        <v>77</v>
      </c>
      <c r="L246" s="3" t="s">
        <v>196</v>
      </c>
      <c r="M246" s="4" t="s">
        <v>2052</v>
      </c>
      <c r="N246" s="3" t="s">
        <v>25</v>
      </c>
      <c r="O246" s="3"/>
      <c r="Q246" s="3"/>
      <c r="R246" s="3"/>
      <c r="Y246" s="4" t="s">
        <v>1959</v>
      </c>
      <c r="Z246" s="4" t="s">
        <v>1959</v>
      </c>
      <c r="AB246" s="3"/>
      <c r="AC246" s="3"/>
      <c r="AD246" s="3" t="s">
        <v>369</v>
      </c>
      <c r="AE246" s="3">
        <v>1000</v>
      </c>
      <c r="AI246" s="4" t="s">
        <v>1960</v>
      </c>
      <c r="AJ246" s="4" t="s">
        <v>1960</v>
      </c>
      <c r="AK246" s="3"/>
      <c r="AL246" s="4">
        <v>141901</v>
      </c>
      <c r="AM246" s="5">
        <v>57464</v>
      </c>
      <c r="AN246" s="4" t="s">
        <v>124</v>
      </c>
      <c r="AO246" s="4">
        <v>99</v>
      </c>
      <c r="AP246" s="4">
        <v>80101504</v>
      </c>
    </row>
    <row r="247" spans="1:42" s="4" customFormat="1" x14ac:dyDescent="0.25">
      <c r="A247" s="3">
        <v>4604508</v>
      </c>
      <c r="B247" s="28">
        <v>41835</v>
      </c>
      <c r="C247" s="3" t="s">
        <v>1278</v>
      </c>
      <c r="D247" s="3">
        <v>10004293</v>
      </c>
      <c r="E247" s="4">
        <v>4533859</v>
      </c>
      <c r="F247" s="3" t="s">
        <v>49</v>
      </c>
      <c r="G247" s="4" t="s">
        <v>1347</v>
      </c>
      <c r="H247" s="4" t="s">
        <v>1348</v>
      </c>
      <c r="I247" s="5">
        <v>57800</v>
      </c>
      <c r="J247" s="3" t="s">
        <v>598</v>
      </c>
      <c r="K247" s="3" t="s">
        <v>832</v>
      </c>
      <c r="L247" s="3" t="s">
        <v>196</v>
      </c>
      <c r="M247" s="4" t="s">
        <v>1349</v>
      </c>
      <c r="N247" s="3" t="s">
        <v>25</v>
      </c>
      <c r="O247" s="3"/>
      <c r="Q247" s="3"/>
      <c r="R247" s="3"/>
      <c r="Y247" s="4" t="s">
        <v>1350</v>
      </c>
      <c r="Z247" s="4" t="s">
        <v>1090</v>
      </c>
      <c r="AB247" s="3"/>
      <c r="AC247" s="3"/>
      <c r="AD247" s="3" t="s">
        <v>1351</v>
      </c>
      <c r="AE247" s="3">
        <v>1000</v>
      </c>
      <c r="AI247" s="4" t="s">
        <v>1352</v>
      </c>
      <c r="AJ247" s="4" t="s">
        <v>1091</v>
      </c>
      <c r="AK247" s="3"/>
      <c r="AL247" s="4">
        <v>141643</v>
      </c>
      <c r="AM247" s="5">
        <v>57800</v>
      </c>
      <c r="AN247" s="4" t="s">
        <v>124</v>
      </c>
      <c r="AO247" s="4">
        <v>98</v>
      </c>
      <c r="AP247" s="4">
        <v>80101504</v>
      </c>
    </row>
    <row r="248" spans="1:42" s="4" customFormat="1" x14ac:dyDescent="0.25">
      <c r="A248" s="3">
        <v>4604638</v>
      </c>
      <c r="B248" s="28">
        <v>41851</v>
      </c>
      <c r="C248" s="3" t="s">
        <v>1278</v>
      </c>
      <c r="D248" s="3">
        <v>10004425</v>
      </c>
      <c r="E248" s="4">
        <v>4533989</v>
      </c>
      <c r="F248" s="3" t="s">
        <v>49</v>
      </c>
      <c r="G248" s="4" t="s">
        <v>1053</v>
      </c>
      <c r="H248" s="4" t="s">
        <v>1294</v>
      </c>
      <c r="I248" s="5">
        <v>58231.1</v>
      </c>
      <c r="J248" s="3" t="s">
        <v>1039</v>
      </c>
      <c r="K248" s="3" t="s">
        <v>832</v>
      </c>
      <c r="L248" s="3" t="s">
        <v>119</v>
      </c>
      <c r="M248" s="4" t="s">
        <v>1553</v>
      </c>
      <c r="N248" s="3" t="s">
        <v>56</v>
      </c>
      <c r="O248" s="3"/>
      <c r="Q248" s="3"/>
      <c r="R248" s="3"/>
      <c r="Y248" s="4" t="s">
        <v>1056</v>
      </c>
      <c r="Z248" s="4" t="s">
        <v>1090</v>
      </c>
      <c r="AA248" s="4" t="s">
        <v>1057</v>
      </c>
      <c r="AB248" s="3" t="s">
        <v>1057</v>
      </c>
      <c r="AC248" s="3" t="s">
        <v>1340</v>
      </c>
      <c r="AD248" s="3" t="s">
        <v>223</v>
      </c>
      <c r="AE248" s="3">
        <v>1000</v>
      </c>
      <c r="AI248" s="4" t="s">
        <v>1058</v>
      </c>
      <c r="AJ248" s="4" t="s">
        <v>1091</v>
      </c>
      <c r="AK248" s="3"/>
      <c r="AL248" s="4">
        <v>140248</v>
      </c>
      <c r="AM248" s="5">
        <v>58231.1</v>
      </c>
      <c r="AN248" s="4" t="s">
        <v>124</v>
      </c>
      <c r="AO248" s="4">
        <v>99</v>
      </c>
      <c r="AP248" s="4">
        <v>43230000</v>
      </c>
    </row>
    <row r="249" spans="1:42" s="4" customFormat="1" x14ac:dyDescent="0.25">
      <c r="A249" s="3">
        <v>4604977</v>
      </c>
      <c r="B249" s="28">
        <v>42156</v>
      </c>
      <c r="C249" s="3" t="s">
        <v>1278</v>
      </c>
      <c r="D249" s="3">
        <v>10004769</v>
      </c>
      <c r="E249" s="4">
        <v>4534328</v>
      </c>
      <c r="F249" s="3" t="s">
        <v>49</v>
      </c>
      <c r="G249" s="4" t="s">
        <v>1085</v>
      </c>
      <c r="H249" s="4" t="s">
        <v>1979</v>
      </c>
      <c r="I249" s="5">
        <v>58500</v>
      </c>
      <c r="J249" s="3" t="s">
        <v>53</v>
      </c>
      <c r="K249" s="3" t="s">
        <v>77</v>
      </c>
      <c r="L249" s="3" t="s">
        <v>196</v>
      </c>
      <c r="M249" s="4" t="s">
        <v>1979</v>
      </c>
      <c r="N249" s="3" t="s">
        <v>56</v>
      </c>
      <c r="O249" s="3"/>
      <c r="Q249" s="3"/>
      <c r="R249" s="3"/>
      <c r="Y249" s="4" t="s">
        <v>1959</v>
      </c>
      <c r="Z249" s="4" t="s">
        <v>1959</v>
      </c>
      <c r="AA249" s="4" t="s">
        <v>1474</v>
      </c>
      <c r="AB249" s="3" t="s">
        <v>1474</v>
      </c>
      <c r="AC249" s="3" t="s">
        <v>1476</v>
      </c>
      <c r="AD249" s="3" t="s">
        <v>382</v>
      </c>
      <c r="AE249" s="3">
        <v>1000</v>
      </c>
      <c r="AI249" s="4" t="s">
        <v>1960</v>
      </c>
      <c r="AJ249" s="4" t="s">
        <v>1960</v>
      </c>
      <c r="AK249" s="3"/>
      <c r="AL249" s="4">
        <v>30502</v>
      </c>
      <c r="AM249" s="5">
        <v>58500</v>
      </c>
      <c r="AN249" s="4" t="s">
        <v>124</v>
      </c>
      <c r="AO249" s="4">
        <v>99</v>
      </c>
      <c r="AP249" s="4">
        <v>80101507</v>
      </c>
    </row>
    <row r="250" spans="1:42" s="4" customFormat="1" x14ac:dyDescent="0.25">
      <c r="A250" s="3">
        <v>4604572</v>
      </c>
      <c r="B250" s="28">
        <v>41820</v>
      </c>
      <c r="C250" s="3" t="s">
        <v>2073</v>
      </c>
      <c r="D250" s="3">
        <v>10004353</v>
      </c>
      <c r="E250" s="4">
        <v>4533923</v>
      </c>
      <c r="F250" s="3" t="s">
        <v>49</v>
      </c>
      <c r="G250" s="4" t="s">
        <v>1353</v>
      </c>
      <c r="H250" s="4" t="s">
        <v>2076</v>
      </c>
      <c r="I250" s="5">
        <v>58873.72</v>
      </c>
      <c r="J250" s="3" t="s">
        <v>76</v>
      </c>
      <c r="K250" s="3" t="s">
        <v>77</v>
      </c>
      <c r="L250" s="3" t="s">
        <v>119</v>
      </c>
      <c r="M250" s="4" t="s">
        <v>2076</v>
      </c>
      <c r="N250" s="3" t="s">
        <v>56</v>
      </c>
      <c r="O250" s="3"/>
      <c r="Q250" s="3"/>
      <c r="R250" s="3"/>
      <c r="Y250" s="4" t="s">
        <v>368</v>
      </c>
      <c r="Z250" s="4" t="s">
        <v>368</v>
      </c>
      <c r="AA250" s="4" t="s">
        <v>1324</v>
      </c>
      <c r="AB250" s="3" t="s">
        <v>1355</v>
      </c>
      <c r="AC250" s="3" t="s">
        <v>1326</v>
      </c>
      <c r="AD250" s="3" t="s">
        <v>1098</v>
      </c>
      <c r="AE250" s="3">
        <v>1000</v>
      </c>
      <c r="AI250" s="4" t="s">
        <v>370</v>
      </c>
      <c r="AJ250" s="4" t="s">
        <v>370</v>
      </c>
      <c r="AK250" s="3"/>
      <c r="AL250" s="4">
        <v>140449</v>
      </c>
      <c r="AM250" s="5">
        <v>58873.72</v>
      </c>
      <c r="AN250" s="4" t="s">
        <v>124</v>
      </c>
      <c r="AO250" s="4">
        <v>99</v>
      </c>
      <c r="AP250" s="4">
        <v>81112100</v>
      </c>
    </row>
    <row r="251" spans="1:42" s="4" customFormat="1" x14ac:dyDescent="0.25">
      <c r="A251" s="3">
        <v>4604853</v>
      </c>
      <c r="B251" s="28">
        <v>42058</v>
      </c>
      <c r="C251" s="3" t="s">
        <v>392</v>
      </c>
      <c r="D251" s="3">
        <v>10004658</v>
      </c>
      <c r="E251" s="4">
        <v>4534204</v>
      </c>
      <c r="F251" s="3" t="s">
        <v>49</v>
      </c>
      <c r="G251" s="4" t="s">
        <v>470</v>
      </c>
      <c r="H251" s="4" t="s">
        <v>471</v>
      </c>
      <c r="I251" s="5">
        <v>59200</v>
      </c>
      <c r="J251" s="3" t="s">
        <v>469</v>
      </c>
      <c r="K251" s="3" t="s">
        <v>472</v>
      </c>
      <c r="L251" s="3" t="s">
        <v>119</v>
      </c>
      <c r="M251" s="4" t="s">
        <v>471</v>
      </c>
      <c r="N251" s="3" t="s">
        <v>56</v>
      </c>
      <c r="O251" s="3" t="s">
        <v>139</v>
      </c>
      <c r="P251" s="4" t="s">
        <v>282</v>
      </c>
      <c r="Q251" s="3"/>
      <c r="R251" s="3"/>
      <c r="Y251" s="4" t="s">
        <v>466</v>
      </c>
      <c r="Z251" s="4" t="s">
        <v>406</v>
      </c>
      <c r="AA251" s="4" t="s">
        <v>356</v>
      </c>
      <c r="AB251" s="3" t="s">
        <v>473</v>
      </c>
      <c r="AC251" s="3" t="s">
        <v>358</v>
      </c>
      <c r="AD251" s="3" t="s">
        <v>474</v>
      </c>
      <c r="AE251" s="3">
        <v>1000</v>
      </c>
      <c r="AI251" s="4" t="s">
        <v>468</v>
      </c>
      <c r="AJ251" s="4" t="s">
        <v>409</v>
      </c>
      <c r="AK251" s="3" t="s">
        <v>286</v>
      </c>
      <c r="AL251" s="4">
        <v>41344</v>
      </c>
      <c r="AM251" s="5">
        <v>59200</v>
      </c>
      <c r="AN251" s="4" t="s">
        <v>124</v>
      </c>
      <c r="AO251" s="4">
        <v>99</v>
      </c>
      <c r="AP251" s="4">
        <v>80141500</v>
      </c>
    </row>
    <row r="252" spans="1:42" s="4" customFormat="1" x14ac:dyDescent="0.25">
      <c r="A252" s="3">
        <v>4604594</v>
      </c>
      <c r="B252" s="28">
        <v>41824</v>
      </c>
      <c r="C252" s="3" t="s">
        <v>1278</v>
      </c>
      <c r="D252" s="3">
        <v>10004376</v>
      </c>
      <c r="E252" s="4">
        <v>4533945</v>
      </c>
      <c r="F252" s="3" t="s">
        <v>49</v>
      </c>
      <c r="G252" s="4" t="s">
        <v>1365</v>
      </c>
      <c r="H252" s="4" t="s">
        <v>1453</v>
      </c>
      <c r="I252" s="5">
        <v>59730</v>
      </c>
      <c r="J252" s="3" t="s">
        <v>1452</v>
      </c>
      <c r="K252" s="3" t="s">
        <v>77</v>
      </c>
      <c r="L252" s="3" t="s">
        <v>119</v>
      </c>
      <c r="M252" s="4" t="s">
        <v>1453</v>
      </c>
      <c r="N252" s="3" t="s">
        <v>56</v>
      </c>
      <c r="O252" s="3"/>
      <c r="Q252" s="3"/>
      <c r="R252" s="3"/>
      <c r="Y252" s="4" t="s">
        <v>466</v>
      </c>
      <c r="Z252" s="4" t="s">
        <v>466</v>
      </c>
      <c r="AA252" s="4" t="s">
        <v>1367</v>
      </c>
      <c r="AB252" s="3" t="s">
        <v>1367</v>
      </c>
      <c r="AC252" s="3" t="s">
        <v>1368</v>
      </c>
      <c r="AD252" s="3" t="s">
        <v>1452</v>
      </c>
      <c r="AE252" s="3">
        <v>1000</v>
      </c>
      <c r="AI252" s="4" t="s">
        <v>468</v>
      </c>
      <c r="AJ252" s="4" t="s">
        <v>468</v>
      </c>
      <c r="AK252" s="3"/>
      <c r="AL252" s="4">
        <v>140286</v>
      </c>
      <c r="AM252" s="5">
        <v>59730</v>
      </c>
      <c r="AN252" s="4" t="s">
        <v>124</v>
      </c>
      <c r="AO252" s="4">
        <v>99</v>
      </c>
      <c r="AP252" s="4">
        <v>43230000</v>
      </c>
    </row>
    <row r="253" spans="1:42" s="4" customFormat="1" x14ac:dyDescent="0.25">
      <c r="A253" s="3">
        <v>4604865</v>
      </c>
      <c r="B253" s="28">
        <v>42065</v>
      </c>
      <c r="C253" s="3" t="s">
        <v>1278</v>
      </c>
      <c r="D253" s="3">
        <v>10004665</v>
      </c>
      <c r="E253" s="4">
        <v>4534216</v>
      </c>
      <c r="F253" s="3" t="s">
        <v>49</v>
      </c>
      <c r="G253" s="4" t="s">
        <v>1471</v>
      </c>
      <c r="H253" s="4" t="s">
        <v>1836</v>
      </c>
      <c r="I253" s="5">
        <v>59735.5</v>
      </c>
      <c r="J253" s="3" t="s">
        <v>480</v>
      </c>
      <c r="K253" s="3" t="s">
        <v>472</v>
      </c>
      <c r="L253" s="3" t="s">
        <v>119</v>
      </c>
      <c r="M253" s="4" t="s">
        <v>1837</v>
      </c>
      <c r="N253" s="3" t="s">
        <v>56</v>
      </c>
      <c r="O253" s="3"/>
      <c r="Q253" s="3"/>
      <c r="R253" s="3"/>
      <c r="Y253" s="4" t="s">
        <v>1056</v>
      </c>
      <c r="Z253" s="4" t="s">
        <v>1056</v>
      </c>
      <c r="AA253" s="4" t="s">
        <v>1474</v>
      </c>
      <c r="AB253" s="3" t="s">
        <v>1475</v>
      </c>
      <c r="AC253" s="3" t="s">
        <v>1476</v>
      </c>
      <c r="AD253" s="3" t="s">
        <v>472</v>
      </c>
      <c r="AE253" s="3">
        <v>1000</v>
      </c>
      <c r="AI253" s="4" t="s">
        <v>1058</v>
      </c>
      <c r="AJ253" s="4" t="s">
        <v>1058</v>
      </c>
      <c r="AK253" s="3"/>
      <c r="AL253" s="4">
        <v>48891</v>
      </c>
      <c r="AM253" s="5">
        <v>59735.5</v>
      </c>
      <c r="AN253" s="4" t="s">
        <v>124</v>
      </c>
      <c r="AO253" s="4">
        <v>99</v>
      </c>
      <c r="AP253" s="4">
        <v>43211503</v>
      </c>
    </row>
    <row r="254" spans="1:42" s="4" customFormat="1" x14ac:dyDescent="0.25">
      <c r="A254" s="3">
        <v>4604903</v>
      </c>
      <c r="B254" s="28">
        <v>42095</v>
      </c>
      <c r="C254" s="3" t="s">
        <v>1278</v>
      </c>
      <c r="D254" s="3">
        <v>10004721</v>
      </c>
      <c r="E254" s="4">
        <v>4534254</v>
      </c>
      <c r="F254" s="3" t="s">
        <v>49</v>
      </c>
      <c r="G254" s="4" t="s">
        <v>1053</v>
      </c>
      <c r="H254" s="4" t="s">
        <v>1891</v>
      </c>
      <c r="I254" s="5">
        <v>59866.080000000002</v>
      </c>
      <c r="J254" s="3" t="s">
        <v>502</v>
      </c>
      <c r="K254" s="3" t="s">
        <v>1892</v>
      </c>
      <c r="L254" s="3" t="s">
        <v>119</v>
      </c>
      <c r="M254" s="4" t="s">
        <v>1893</v>
      </c>
      <c r="N254" s="3" t="s">
        <v>56</v>
      </c>
      <c r="O254" s="3"/>
      <c r="Q254" s="3"/>
      <c r="R254" s="3"/>
      <c r="Y254" s="4" t="s">
        <v>1056</v>
      </c>
      <c r="Z254" s="4" t="s">
        <v>1056</v>
      </c>
      <c r="AA254" s="4" t="s">
        <v>1057</v>
      </c>
      <c r="AB254" s="3" t="s">
        <v>1057</v>
      </c>
      <c r="AC254" s="3" t="s">
        <v>1340</v>
      </c>
      <c r="AD254" s="3" t="s">
        <v>492</v>
      </c>
      <c r="AE254" s="3">
        <v>1000</v>
      </c>
      <c r="AI254" s="4" t="s">
        <v>1058</v>
      </c>
      <c r="AJ254" s="4" t="s">
        <v>1058</v>
      </c>
      <c r="AK254" s="3"/>
      <c r="AL254" s="4">
        <v>140248</v>
      </c>
      <c r="AM254" s="5">
        <v>59866.080000000002</v>
      </c>
      <c r="AN254" s="4" t="s">
        <v>124</v>
      </c>
      <c r="AO254" s="4">
        <v>99</v>
      </c>
      <c r="AP254" s="4">
        <v>43230000</v>
      </c>
    </row>
    <row r="255" spans="1:42" s="4" customFormat="1" x14ac:dyDescent="0.25">
      <c r="A255" s="3">
        <v>4604563</v>
      </c>
      <c r="B255" s="28">
        <v>41815</v>
      </c>
      <c r="C255" s="3" t="s">
        <v>1278</v>
      </c>
      <c r="D255" s="3">
        <v>10004347</v>
      </c>
      <c r="E255" s="4">
        <v>4533914</v>
      </c>
      <c r="F255" s="3" t="s">
        <v>49</v>
      </c>
      <c r="G255" s="4" t="s">
        <v>1408</v>
      </c>
      <c r="H255" s="4" t="s">
        <v>1409</v>
      </c>
      <c r="I255" s="5">
        <v>60000</v>
      </c>
      <c r="J255" s="3" t="s">
        <v>776</v>
      </c>
      <c r="K255" s="3" t="s">
        <v>223</v>
      </c>
      <c r="L255" s="3" t="s">
        <v>196</v>
      </c>
      <c r="M255" s="4" t="s">
        <v>1409</v>
      </c>
      <c r="N255" s="3" t="s">
        <v>25</v>
      </c>
      <c r="O255" s="3"/>
      <c r="Q255" s="3"/>
      <c r="R255" s="3"/>
      <c r="Y255" s="4" t="s">
        <v>396</v>
      </c>
      <c r="Z255" s="4" t="s">
        <v>396</v>
      </c>
      <c r="AB255" s="3"/>
      <c r="AC255" s="3"/>
      <c r="AD255" s="3" t="s">
        <v>776</v>
      </c>
      <c r="AE255" s="3">
        <v>1000</v>
      </c>
      <c r="AI255" s="4" t="s">
        <v>397</v>
      </c>
      <c r="AJ255" s="4" t="s">
        <v>397</v>
      </c>
      <c r="AK255" s="3"/>
      <c r="AL255" s="4">
        <v>141697</v>
      </c>
      <c r="AM255" s="5">
        <v>60000</v>
      </c>
      <c r="AN255" s="4" t="s">
        <v>124</v>
      </c>
      <c r="AO255" s="4">
        <v>99</v>
      </c>
      <c r="AP255" s="4">
        <v>80101505</v>
      </c>
    </row>
    <row r="256" spans="1:42" s="4" customFormat="1" x14ac:dyDescent="0.25">
      <c r="A256" s="3">
        <v>4604864</v>
      </c>
      <c r="B256" s="28">
        <v>42069</v>
      </c>
      <c r="C256" s="3" t="s">
        <v>1278</v>
      </c>
      <c r="D256" s="3">
        <v>10004679</v>
      </c>
      <c r="E256" s="4">
        <v>4534215</v>
      </c>
      <c r="F256" s="3" t="s">
        <v>49</v>
      </c>
      <c r="G256" s="4" t="s">
        <v>1321</v>
      </c>
      <c r="H256" s="4" t="s">
        <v>1760</v>
      </c>
      <c r="I256" s="5">
        <v>60000</v>
      </c>
      <c r="J256" s="3" t="s">
        <v>1591</v>
      </c>
      <c r="K256" s="3" t="s">
        <v>1037</v>
      </c>
      <c r="L256" s="3" t="s">
        <v>119</v>
      </c>
      <c r="M256" s="4" t="s">
        <v>1760</v>
      </c>
      <c r="N256" s="3" t="s">
        <v>56</v>
      </c>
      <c r="O256" s="3"/>
      <c r="Q256" s="3"/>
      <c r="R256" s="3"/>
      <c r="Y256" s="4" t="s">
        <v>1309</v>
      </c>
      <c r="Z256" s="4" t="s">
        <v>1309</v>
      </c>
      <c r="AA256" s="4" t="s">
        <v>1324</v>
      </c>
      <c r="AB256" s="3" t="s">
        <v>1325</v>
      </c>
      <c r="AC256" s="3" t="s">
        <v>1326</v>
      </c>
      <c r="AD256" s="3" t="s">
        <v>483</v>
      </c>
      <c r="AE256" s="3">
        <v>1000</v>
      </c>
      <c r="AI256" s="4" t="s">
        <v>1313</v>
      </c>
      <c r="AJ256" s="4" t="s">
        <v>1313</v>
      </c>
      <c r="AK256" s="3"/>
      <c r="AL256" s="4">
        <v>140474</v>
      </c>
      <c r="AM256" s="5">
        <v>60000</v>
      </c>
      <c r="AN256" s="4" t="s">
        <v>124</v>
      </c>
      <c r="AO256" s="4">
        <v>99</v>
      </c>
      <c r="AP256" s="4">
        <v>80101507</v>
      </c>
    </row>
    <row r="257" spans="1:42" s="4" customFormat="1" x14ac:dyDescent="0.25">
      <c r="A257" s="3">
        <v>4603022</v>
      </c>
      <c r="B257" s="28">
        <v>41132</v>
      </c>
      <c r="C257" s="3" t="s">
        <v>2273</v>
      </c>
      <c r="D257" s="3">
        <v>10002854</v>
      </c>
      <c r="E257" s="4">
        <v>4532373</v>
      </c>
      <c r="F257" s="3" t="s">
        <v>49</v>
      </c>
      <c r="G257" s="4" t="s">
        <v>2300</v>
      </c>
      <c r="H257" s="4" t="s">
        <v>2305</v>
      </c>
      <c r="I257" s="5">
        <v>60258</v>
      </c>
      <c r="J257" s="3" t="s">
        <v>2304</v>
      </c>
      <c r="K257" s="3" t="s">
        <v>807</v>
      </c>
      <c r="L257" s="3" t="s">
        <v>196</v>
      </c>
      <c r="M257" s="4" t="s">
        <v>2306</v>
      </c>
      <c r="N257" s="3" t="s">
        <v>56</v>
      </c>
      <c r="O257" s="3" t="s">
        <v>139</v>
      </c>
      <c r="P257" s="4" t="s">
        <v>282</v>
      </c>
      <c r="Q257" s="3"/>
      <c r="R257" s="3"/>
      <c r="U257" s="4" t="s">
        <v>139</v>
      </c>
      <c r="V257" s="4" t="s">
        <v>427</v>
      </c>
      <c r="W257" s="4" t="s">
        <v>428</v>
      </c>
      <c r="Y257" s="4" t="s">
        <v>2277</v>
      </c>
      <c r="Z257" s="4" t="s">
        <v>2293</v>
      </c>
      <c r="AA257" s="4" t="s">
        <v>2294</v>
      </c>
      <c r="AB257" s="3" t="s">
        <v>2303</v>
      </c>
      <c r="AC257" s="3" t="s">
        <v>2296</v>
      </c>
      <c r="AD257" s="3" t="s">
        <v>376</v>
      </c>
      <c r="AE257" s="3">
        <v>1000</v>
      </c>
      <c r="AI257" s="4" t="s">
        <v>2281</v>
      </c>
      <c r="AJ257" s="4" t="s">
        <v>2298</v>
      </c>
      <c r="AK257" s="3" t="s">
        <v>286</v>
      </c>
      <c r="AL257" s="4">
        <v>30080</v>
      </c>
      <c r="AM257" s="5">
        <v>60258</v>
      </c>
      <c r="AN257" s="4" t="s">
        <v>2282</v>
      </c>
      <c r="AO257" s="4">
        <v>96</v>
      </c>
      <c r="AP257" s="4">
        <v>80120000</v>
      </c>
    </row>
    <row r="258" spans="1:42" s="4" customFormat="1" x14ac:dyDescent="0.25">
      <c r="A258" s="3">
        <v>4604575</v>
      </c>
      <c r="B258" s="28">
        <v>41876</v>
      </c>
      <c r="C258" s="3" t="s">
        <v>1278</v>
      </c>
      <c r="D258" s="3">
        <v>10004356</v>
      </c>
      <c r="E258" s="4">
        <v>4533926</v>
      </c>
      <c r="F258" s="3" t="s">
        <v>49</v>
      </c>
      <c r="G258" s="4" t="s">
        <v>1357</v>
      </c>
      <c r="H258" s="4" t="s">
        <v>1426</v>
      </c>
      <c r="I258" s="5">
        <v>60335</v>
      </c>
      <c r="J258" s="3" t="s">
        <v>1052</v>
      </c>
      <c r="K258" s="3" t="s">
        <v>77</v>
      </c>
      <c r="L258" s="3" t="s">
        <v>196</v>
      </c>
      <c r="M258" s="4" t="s">
        <v>1426</v>
      </c>
      <c r="N258" s="3" t="s">
        <v>25</v>
      </c>
      <c r="O258" s="3"/>
      <c r="Q258" s="3"/>
      <c r="R258" s="3"/>
      <c r="Y258" s="4" t="s">
        <v>466</v>
      </c>
      <c r="Z258" s="4" t="s">
        <v>466</v>
      </c>
      <c r="AB258" s="3"/>
      <c r="AC258" s="3"/>
      <c r="AD258" s="3" t="s">
        <v>1425</v>
      </c>
      <c r="AE258" s="3">
        <v>1000</v>
      </c>
      <c r="AI258" s="4" t="s">
        <v>468</v>
      </c>
      <c r="AJ258" s="4" t="s">
        <v>468</v>
      </c>
      <c r="AK258" s="3"/>
      <c r="AL258" s="4">
        <v>49941</v>
      </c>
      <c r="AM258" s="5">
        <v>60335</v>
      </c>
      <c r="AN258" s="4" t="s">
        <v>124</v>
      </c>
      <c r="AO258" s="4">
        <v>99</v>
      </c>
      <c r="AP258" s="4">
        <v>43230000</v>
      </c>
    </row>
    <row r="259" spans="1:42" s="4" customFormat="1" x14ac:dyDescent="0.25">
      <c r="A259" s="3">
        <v>4604668</v>
      </c>
      <c r="B259" s="28">
        <v>41815</v>
      </c>
      <c r="C259" s="3" t="s">
        <v>560</v>
      </c>
      <c r="D259" s="3">
        <v>10004348</v>
      </c>
      <c r="E259" s="4">
        <v>4534019</v>
      </c>
      <c r="F259" s="3" t="s">
        <v>49</v>
      </c>
      <c r="G259" s="4" t="s">
        <v>336</v>
      </c>
      <c r="H259" s="4" t="s">
        <v>777</v>
      </c>
      <c r="I259" s="5">
        <v>60493.95</v>
      </c>
      <c r="J259" s="3" t="s">
        <v>577</v>
      </c>
      <c r="K259" s="3" t="s">
        <v>778</v>
      </c>
      <c r="L259" s="3" t="s">
        <v>196</v>
      </c>
      <c r="M259" s="4" t="s">
        <v>777</v>
      </c>
      <c r="N259" s="3" t="s">
        <v>25</v>
      </c>
      <c r="O259" s="3"/>
      <c r="Q259" s="3"/>
      <c r="R259" s="3"/>
      <c r="Y259" s="4" t="s">
        <v>779</v>
      </c>
      <c r="Z259" s="4" t="s">
        <v>779</v>
      </c>
      <c r="AB259" s="3"/>
      <c r="AC259" s="3"/>
      <c r="AD259" s="3" t="s">
        <v>183</v>
      </c>
      <c r="AE259" s="3">
        <v>1000</v>
      </c>
      <c r="AI259" s="4" t="s">
        <v>780</v>
      </c>
      <c r="AJ259" s="4" t="s">
        <v>780</v>
      </c>
      <c r="AK259" s="3"/>
      <c r="AL259" s="4">
        <v>141787</v>
      </c>
      <c r="AM259" s="5">
        <v>60493.95</v>
      </c>
      <c r="AN259" s="4" t="s">
        <v>124</v>
      </c>
      <c r="AO259" s="4">
        <v>99</v>
      </c>
      <c r="AP259" s="4">
        <v>82121506</v>
      </c>
    </row>
    <row r="260" spans="1:42" s="4" customFormat="1" x14ac:dyDescent="0.25">
      <c r="A260" s="3">
        <v>4604703</v>
      </c>
      <c r="B260" s="28">
        <v>41883</v>
      </c>
      <c r="C260" s="3" t="s">
        <v>2093</v>
      </c>
      <c r="D260" s="3">
        <v>10004493</v>
      </c>
      <c r="E260" s="4">
        <v>4534054</v>
      </c>
      <c r="F260" s="3" t="s">
        <v>49</v>
      </c>
      <c r="G260" s="4" t="s">
        <v>1884</v>
      </c>
      <c r="H260" s="4" t="s">
        <v>2094</v>
      </c>
      <c r="I260" s="5">
        <v>61600</v>
      </c>
      <c r="J260" s="3" t="s">
        <v>1039</v>
      </c>
      <c r="K260" s="3" t="s">
        <v>494</v>
      </c>
      <c r="L260" s="3" t="s">
        <v>119</v>
      </c>
      <c r="M260" s="4" t="s">
        <v>2094</v>
      </c>
      <c r="N260" s="3" t="s">
        <v>56</v>
      </c>
      <c r="O260" s="3"/>
      <c r="Q260" s="3"/>
      <c r="R260" s="3"/>
      <c r="Y260" s="4" t="s">
        <v>1616</v>
      </c>
      <c r="Z260" s="4" t="s">
        <v>1616</v>
      </c>
      <c r="AA260" s="4" t="s">
        <v>412</v>
      </c>
      <c r="AB260" s="3" t="s">
        <v>412</v>
      </c>
      <c r="AC260" s="3" t="s">
        <v>414</v>
      </c>
      <c r="AD260" s="3" t="s">
        <v>452</v>
      </c>
      <c r="AE260" s="3">
        <v>1000</v>
      </c>
      <c r="AI260" s="4" t="s">
        <v>1617</v>
      </c>
      <c r="AJ260" s="4" t="s">
        <v>1617</v>
      </c>
      <c r="AK260" s="3"/>
      <c r="AL260" s="4">
        <v>141801</v>
      </c>
      <c r="AM260" s="5">
        <v>61600</v>
      </c>
      <c r="AN260" s="4" t="s">
        <v>124</v>
      </c>
      <c r="AO260" s="4">
        <v>99</v>
      </c>
      <c r="AP260" s="4">
        <v>80101706</v>
      </c>
    </row>
    <row r="261" spans="1:42" s="4" customFormat="1" x14ac:dyDescent="0.25">
      <c r="A261" s="3">
        <v>4604758</v>
      </c>
      <c r="B261" s="28">
        <v>42107</v>
      </c>
      <c r="C261" s="3" t="s">
        <v>1278</v>
      </c>
      <c r="D261" s="3">
        <v>10004519</v>
      </c>
      <c r="E261" s="4">
        <v>4534109</v>
      </c>
      <c r="F261" s="3" t="s">
        <v>49</v>
      </c>
      <c r="G261" s="4" t="s">
        <v>1551</v>
      </c>
      <c r="H261" s="4" t="s">
        <v>1705</v>
      </c>
      <c r="I261" s="5">
        <v>61640.2</v>
      </c>
      <c r="J261" s="3" t="s">
        <v>1650</v>
      </c>
      <c r="K261" s="3" t="s">
        <v>436</v>
      </c>
      <c r="L261" s="3" t="s">
        <v>196</v>
      </c>
      <c r="M261" s="4" t="s">
        <v>1705</v>
      </c>
      <c r="N261" s="3" t="s">
        <v>25</v>
      </c>
      <c r="O261" s="3" t="s">
        <v>139</v>
      </c>
      <c r="P261" s="4" t="s">
        <v>140</v>
      </c>
      <c r="Q261" s="3"/>
      <c r="R261" s="3"/>
      <c r="Y261" s="4" t="s">
        <v>540</v>
      </c>
      <c r="Z261" s="4" t="s">
        <v>540</v>
      </c>
      <c r="AB261" s="3"/>
      <c r="AC261" s="3"/>
      <c r="AD261" s="3" t="s">
        <v>500</v>
      </c>
      <c r="AE261" s="3">
        <v>1000</v>
      </c>
      <c r="AI261" s="4" t="s">
        <v>542</v>
      </c>
      <c r="AJ261" s="4" t="s">
        <v>542</v>
      </c>
      <c r="AK261" s="3" t="s">
        <v>143</v>
      </c>
      <c r="AL261" s="4">
        <v>141105</v>
      </c>
      <c r="AM261" s="5">
        <v>61640.2</v>
      </c>
      <c r="AN261" s="4" t="s">
        <v>124</v>
      </c>
      <c r="AO261" s="4">
        <v>99</v>
      </c>
      <c r="AP261" s="4">
        <v>80101505</v>
      </c>
    </row>
    <row r="262" spans="1:42" s="4" customFormat="1" x14ac:dyDescent="0.25">
      <c r="A262" s="3">
        <v>4604923</v>
      </c>
      <c r="B262" s="28">
        <v>42094</v>
      </c>
      <c r="C262" s="3" t="s">
        <v>1278</v>
      </c>
      <c r="D262" s="3">
        <v>10004732</v>
      </c>
      <c r="E262" s="4">
        <v>4534274</v>
      </c>
      <c r="F262" s="3" t="s">
        <v>49</v>
      </c>
      <c r="G262" s="4" t="s">
        <v>1909</v>
      </c>
      <c r="H262" s="4" t="s">
        <v>1910</v>
      </c>
      <c r="I262" s="5">
        <v>62696.7</v>
      </c>
      <c r="J262" s="3" t="s">
        <v>492</v>
      </c>
      <c r="K262" s="3" t="s">
        <v>77</v>
      </c>
      <c r="L262" s="3" t="s">
        <v>196</v>
      </c>
      <c r="M262" s="4" t="s">
        <v>1910</v>
      </c>
      <c r="N262" s="3" t="s">
        <v>25</v>
      </c>
      <c r="O262" s="3"/>
      <c r="Q262" s="3"/>
      <c r="R262" s="3"/>
      <c r="Y262" s="4" t="s">
        <v>1911</v>
      </c>
      <c r="Z262" s="4" t="s">
        <v>1911</v>
      </c>
      <c r="AB262" s="3"/>
      <c r="AC262" s="3"/>
      <c r="AD262" s="3" t="s">
        <v>500</v>
      </c>
      <c r="AE262" s="3">
        <v>1000</v>
      </c>
      <c r="AI262" s="4" t="s">
        <v>1912</v>
      </c>
      <c r="AJ262" s="4" t="s">
        <v>1912</v>
      </c>
      <c r="AK262" s="3"/>
      <c r="AL262" s="4">
        <v>141880</v>
      </c>
      <c r="AM262" s="5">
        <v>62696.7</v>
      </c>
      <c r="AN262" s="4" t="s">
        <v>124</v>
      </c>
      <c r="AO262" s="4">
        <v>99</v>
      </c>
      <c r="AP262" s="4">
        <v>80101504</v>
      </c>
    </row>
    <row r="263" spans="1:42" s="4" customFormat="1" x14ac:dyDescent="0.25">
      <c r="A263" s="3">
        <v>4604434</v>
      </c>
      <c r="B263" s="28">
        <v>41831</v>
      </c>
      <c r="C263" s="3" t="s">
        <v>1278</v>
      </c>
      <c r="D263" s="3">
        <v>10004180</v>
      </c>
      <c r="E263" s="4">
        <v>4533785</v>
      </c>
      <c r="F263" s="3" t="s">
        <v>49</v>
      </c>
      <c r="G263" s="4" t="s">
        <v>1321</v>
      </c>
      <c r="H263" s="4" t="s">
        <v>1322</v>
      </c>
      <c r="I263" s="5">
        <v>62700</v>
      </c>
      <c r="J263" s="3" t="s">
        <v>1323</v>
      </c>
      <c r="K263" s="3" t="s">
        <v>1052</v>
      </c>
      <c r="L263" s="3" t="s">
        <v>119</v>
      </c>
      <c r="M263" s="4" t="s">
        <v>1322</v>
      </c>
      <c r="N263" s="3" t="s">
        <v>56</v>
      </c>
      <c r="O263" s="3"/>
      <c r="Q263" s="3"/>
      <c r="R263" s="3"/>
      <c r="Y263" s="4" t="s">
        <v>1309</v>
      </c>
      <c r="Z263" s="4" t="s">
        <v>1309</v>
      </c>
      <c r="AA263" s="4" t="s">
        <v>1324</v>
      </c>
      <c r="AB263" s="3" t="s">
        <v>1325</v>
      </c>
      <c r="AC263" s="3" t="s">
        <v>1326</v>
      </c>
      <c r="AD263" s="3" t="s">
        <v>577</v>
      </c>
      <c r="AE263" s="3">
        <v>1000</v>
      </c>
      <c r="AI263" s="4" t="s">
        <v>1313</v>
      </c>
      <c r="AJ263" s="4" t="s">
        <v>1313</v>
      </c>
      <c r="AK263" s="3"/>
      <c r="AL263" s="4">
        <v>140474</v>
      </c>
      <c r="AM263" s="5">
        <v>62700</v>
      </c>
      <c r="AN263" s="4" t="s">
        <v>124</v>
      </c>
      <c r="AO263" s="4">
        <v>99</v>
      </c>
      <c r="AP263" s="4">
        <v>83110000</v>
      </c>
    </row>
    <row r="264" spans="1:42" s="4" customFormat="1" x14ac:dyDescent="0.25">
      <c r="A264" s="3">
        <v>4605026</v>
      </c>
      <c r="B264" s="28">
        <v>42170</v>
      </c>
      <c r="C264" s="3" t="s">
        <v>1278</v>
      </c>
      <c r="D264" s="3">
        <v>10004826</v>
      </c>
      <c r="E264" s="4">
        <v>4534377</v>
      </c>
      <c r="F264" s="3" t="s">
        <v>49</v>
      </c>
      <c r="G264" s="4" t="s">
        <v>1053</v>
      </c>
      <c r="H264" s="4" t="s">
        <v>2032</v>
      </c>
      <c r="I264" s="5">
        <v>63171.9</v>
      </c>
      <c r="J264" s="3" t="s">
        <v>371</v>
      </c>
      <c r="K264" s="3" t="s">
        <v>374</v>
      </c>
      <c r="L264" s="3" t="s">
        <v>119</v>
      </c>
      <c r="M264" s="4" t="s">
        <v>2033</v>
      </c>
      <c r="N264" s="3" t="s">
        <v>56</v>
      </c>
      <c r="O264" s="3"/>
      <c r="Q264" s="3"/>
      <c r="R264" s="3"/>
      <c r="Y264" s="4" t="s">
        <v>1056</v>
      </c>
      <c r="Z264" s="4" t="s">
        <v>1056</v>
      </c>
      <c r="AA264" s="4" t="s">
        <v>1057</v>
      </c>
      <c r="AB264" s="3" t="s">
        <v>1057</v>
      </c>
      <c r="AC264" s="3" t="s">
        <v>1340</v>
      </c>
      <c r="AD264" s="3" t="s">
        <v>385</v>
      </c>
      <c r="AE264" s="3">
        <v>1000</v>
      </c>
      <c r="AI264" s="4" t="s">
        <v>1058</v>
      </c>
      <c r="AJ264" s="4" t="s">
        <v>1058</v>
      </c>
      <c r="AK264" s="3"/>
      <c r="AL264" s="4">
        <v>140248</v>
      </c>
      <c r="AM264" s="5">
        <v>63171.9</v>
      </c>
      <c r="AN264" s="4" t="s">
        <v>124</v>
      </c>
      <c r="AO264" s="4">
        <v>99</v>
      </c>
      <c r="AP264" s="4">
        <v>43222500</v>
      </c>
    </row>
    <row r="265" spans="1:42" s="4" customFormat="1" x14ac:dyDescent="0.25">
      <c r="A265" s="3">
        <v>4604680</v>
      </c>
      <c r="B265" s="28">
        <v>41887</v>
      </c>
      <c r="C265" s="3" t="s">
        <v>1278</v>
      </c>
      <c r="D265" s="3">
        <v>10004475</v>
      </c>
      <c r="E265" s="4">
        <v>4534031</v>
      </c>
      <c r="F265" s="3" t="s">
        <v>49</v>
      </c>
      <c r="G265" s="4" t="s">
        <v>1614</v>
      </c>
      <c r="H265" s="4" t="s">
        <v>1615</v>
      </c>
      <c r="I265" s="5">
        <v>63620.65</v>
      </c>
      <c r="J265" s="3" t="s">
        <v>1425</v>
      </c>
      <c r="K265" s="3" t="s">
        <v>1613</v>
      </c>
      <c r="L265" s="3" t="s">
        <v>196</v>
      </c>
      <c r="M265" s="4" t="s">
        <v>1615</v>
      </c>
      <c r="N265" s="3" t="s">
        <v>25</v>
      </c>
      <c r="O265" s="3"/>
      <c r="Q265" s="3"/>
      <c r="R265" s="3"/>
      <c r="Y265" s="4" t="s">
        <v>1616</v>
      </c>
      <c r="Z265" s="4" t="s">
        <v>1616</v>
      </c>
      <c r="AB265" s="3"/>
      <c r="AC265" s="3"/>
      <c r="AD265" s="3" t="s">
        <v>1496</v>
      </c>
      <c r="AE265" s="3">
        <v>1000</v>
      </c>
      <c r="AI265" s="4" t="s">
        <v>1617</v>
      </c>
      <c r="AJ265" s="4" t="s">
        <v>1617</v>
      </c>
      <c r="AK265" s="3"/>
      <c r="AL265" s="4">
        <v>30264</v>
      </c>
      <c r="AM265" s="5">
        <v>63620.65</v>
      </c>
      <c r="AN265" s="4" t="s">
        <v>124</v>
      </c>
      <c r="AO265" s="4">
        <v>99</v>
      </c>
    </row>
    <row r="266" spans="1:42" s="4" customFormat="1" x14ac:dyDescent="0.25">
      <c r="A266" s="3">
        <v>4604738</v>
      </c>
      <c r="B266" s="28">
        <v>41925</v>
      </c>
      <c r="C266" s="3" t="s">
        <v>1278</v>
      </c>
      <c r="D266" s="3">
        <v>10004533</v>
      </c>
      <c r="E266" s="4">
        <v>4534089</v>
      </c>
      <c r="F266" s="3" t="s">
        <v>49</v>
      </c>
      <c r="G266" s="4" t="s">
        <v>1686</v>
      </c>
      <c r="H266" s="4" t="s">
        <v>1687</v>
      </c>
      <c r="I266" s="5">
        <v>63800</v>
      </c>
      <c r="J266" s="3" t="s">
        <v>1688</v>
      </c>
      <c r="K266" s="3" t="s">
        <v>77</v>
      </c>
      <c r="L266" s="3" t="s">
        <v>196</v>
      </c>
      <c r="M266" s="4" t="s">
        <v>1687</v>
      </c>
      <c r="N266" s="3" t="s">
        <v>25</v>
      </c>
      <c r="O266" s="3"/>
      <c r="Q266" s="3"/>
      <c r="R266" s="3"/>
      <c r="Y266" s="4" t="s">
        <v>1309</v>
      </c>
      <c r="Z266" s="4" t="s">
        <v>1309</v>
      </c>
      <c r="AB266" s="3"/>
      <c r="AC266" s="3"/>
      <c r="AD266" s="3" t="s">
        <v>351</v>
      </c>
      <c r="AE266" s="3">
        <v>1000</v>
      </c>
      <c r="AI266" s="4" t="s">
        <v>1313</v>
      </c>
      <c r="AJ266" s="4" t="s">
        <v>1313</v>
      </c>
      <c r="AK266" s="3"/>
      <c r="AL266" s="4">
        <v>140652</v>
      </c>
      <c r="AM266" s="5">
        <v>63800</v>
      </c>
      <c r="AN266" s="4" t="s">
        <v>124</v>
      </c>
      <c r="AO266" s="4">
        <v>99</v>
      </c>
      <c r="AP266" s="4">
        <v>80111700</v>
      </c>
    </row>
    <row r="267" spans="1:42" s="4" customFormat="1" x14ac:dyDescent="0.25">
      <c r="A267" s="3">
        <v>4604921</v>
      </c>
      <c r="B267" s="28">
        <v>42095</v>
      </c>
      <c r="C267" s="3" t="s">
        <v>392</v>
      </c>
      <c r="D267" s="3">
        <v>10004708</v>
      </c>
      <c r="E267" s="4">
        <v>4534272</v>
      </c>
      <c r="F267" s="3" t="s">
        <v>49</v>
      </c>
      <c r="G267" s="4" t="s">
        <v>372</v>
      </c>
      <c r="H267" s="4" t="s">
        <v>503</v>
      </c>
      <c r="I267" s="5">
        <v>64500</v>
      </c>
      <c r="J267" s="3" t="s">
        <v>502</v>
      </c>
      <c r="K267" s="3" t="s">
        <v>504</v>
      </c>
      <c r="L267" s="3" t="s">
        <v>119</v>
      </c>
      <c r="M267" s="4" t="s">
        <v>503</v>
      </c>
      <c r="N267" s="3" t="s">
        <v>25</v>
      </c>
      <c r="O267" s="3" t="s">
        <v>139</v>
      </c>
      <c r="P267" s="4" t="s">
        <v>282</v>
      </c>
      <c r="Q267" s="3"/>
      <c r="R267" s="3"/>
      <c r="Y267" s="4" t="s">
        <v>505</v>
      </c>
      <c r="Z267" s="4" t="s">
        <v>505</v>
      </c>
      <c r="AA267" s="4" t="s">
        <v>506</v>
      </c>
      <c r="AB267" s="3"/>
      <c r="AC267" s="3"/>
      <c r="AD267" s="3" t="s">
        <v>500</v>
      </c>
      <c r="AE267" s="3">
        <v>1000</v>
      </c>
      <c r="AI267" s="4" t="s">
        <v>507</v>
      </c>
      <c r="AJ267" s="4" t="s">
        <v>507</v>
      </c>
      <c r="AK267" s="3" t="s">
        <v>286</v>
      </c>
      <c r="AL267" s="4">
        <v>43825</v>
      </c>
      <c r="AM267" s="5">
        <v>64500</v>
      </c>
      <c r="AN267" s="4" t="s">
        <v>124</v>
      </c>
      <c r="AO267" s="4">
        <v>99</v>
      </c>
      <c r="AP267" s="4">
        <v>80101505</v>
      </c>
    </row>
    <row r="268" spans="1:42" s="4" customFormat="1" x14ac:dyDescent="0.25">
      <c r="A268" s="3">
        <v>4605045</v>
      </c>
      <c r="B268" s="28">
        <v>42150</v>
      </c>
      <c r="C268" s="3" t="s">
        <v>392</v>
      </c>
      <c r="D268" s="3">
        <v>10004897</v>
      </c>
      <c r="E268" s="4">
        <v>4534396</v>
      </c>
      <c r="F268" s="3" t="s">
        <v>49</v>
      </c>
      <c r="G268" s="4" t="s">
        <v>546</v>
      </c>
      <c r="H268" s="4" t="s">
        <v>547</v>
      </c>
      <c r="I268" s="5">
        <v>64898</v>
      </c>
      <c r="J268" s="3" t="s">
        <v>382</v>
      </c>
      <c r="K268" s="3" t="s">
        <v>374</v>
      </c>
      <c r="L268" s="3" t="s">
        <v>119</v>
      </c>
      <c r="M268" s="4" t="s">
        <v>547</v>
      </c>
      <c r="N268" s="3" t="s">
        <v>56</v>
      </c>
      <c r="O268" s="3"/>
      <c r="Q268" s="3" t="s">
        <v>139</v>
      </c>
      <c r="R268" s="3" t="s">
        <v>548</v>
      </c>
      <c r="S268" s="4" t="s">
        <v>549</v>
      </c>
      <c r="U268" s="4" t="s">
        <v>139</v>
      </c>
      <c r="V268" s="4" t="s">
        <v>548</v>
      </c>
      <c r="W268" s="4" t="s">
        <v>549</v>
      </c>
      <c r="Y268" s="4" t="s">
        <v>550</v>
      </c>
      <c r="Z268" s="4" t="s">
        <v>550</v>
      </c>
      <c r="AA268" s="4" t="s">
        <v>356</v>
      </c>
      <c r="AB268" s="3" t="s">
        <v>551</v>
      </c>
      <c r="AC268" s="3" t="s">
        <v>358</v>
      </c>
      <c r="AD268" s="3" t="s">
        <v>369</v>
      </c>
      <c r="AE268" s="3">
        <v>1000</v>
      </c>
      <c r="AI268" s="4" t="s">
        <v>552</v>
      </c>
      <c r="AJ268" s="4" t="s">
        <v>552</v>
      </c>
      <c r="AK268" s="3"/>
      <c r="AL268" s="4">
        <v>140499</v>
      </c>
      <c r="AM268" s="5">
        <v>64898</v>
      </c>
      <c r="AN268" s="4" t="s">
        <v>124</v>
      </c>
      <c r="AO268" s="4">
        <v>99</v>
      </c>
      <c r="AP268" s="4">
        <v>80101603</v>
      </c>
    </row>
    <row r="269" spans="1:42" s="4" customFormat="1" x14ac:dyDescent="0.25">
      <c r="A269" s="3">
        <v>4604998</v>
      </c>
      <c r="B269" s="28">
        <v>42160</v>
      </c>
      <c r="C269" s="3" t="s">
        <v>288</v>
      </c>
      <c r="D269" s="3">
        <v>10004851</v>
      </c>
      <c r="E269" s="4">
        <v>4534349</v>
      </c>
      <c r="F269" s="3" t="s">
        <v>49</v>
      </c>
      <c r="G269" s="4" t="s">
        <v>372</v>
      </c>
      <c r="H269" s="4" t="s">
        <v>373</v>
      </c>
      <c r="I269" s="5">
        <v>64900</v>
      </c>
      <c r="J269" s="3" t="s">
        <v>371</v>
      </c>
      <c r="K269" s="3" t="s">
        <v>374</v>
      </c>
      <c r="L269" s="3" t="s">
        <v>119</v>
      </c>
      <c r="M269" s="4" t="s">
        <v>373</v>
      </c>
      <c r="N269" s="3" t="s">
        <v>56</v>
      </c>
      <c r="O269" s="3" t="s">
        <v>139</v>
      </c>
      <c r="P269" s="4" t="s">
        <v>140</v>
      </c>
      <c r="Q269" s="3"/>
      <c r="R269" s="3"/>
      <c r="Y269" s="4" t="s">
        <v>120</v>
      </c>
      <c r="Z269" s="4" t="s">
        <v>332</v>
      </c>
      <c r="AA269" s="4" t="s">
        <v>356</v>
      </c>
      <c r="AB269" s="3" t="s">
        <v>375</v>
      </c>
      <c r="AC269" s="3" t="s">
        <v>358</v>
      </c>
      <c r="AD269" s="3" t="s">
        <v>376</v>
      </c>
      <c r="AE269" s="3">
        <v>1000</v>
      </c>
      <c r="AI269" s="4" t="s">
        <v>123</v>
      </c>
      <c r="AJ269" s="4" t="s">
        <v>334</v>
      </c>
      <c r="AK269" s="3" t="s">
        <v>143</v>
      </c>
      <c r="AL269" s="4">
        <v>43825</v>
      </c>
      <c r="AM269" s="5">
        <v>64900</v>
      </c>
      <c r="AN269" s="4" t="s">
        <v>124</v>
      </c>
      <c r="AO269" s="4">
        <v>99</v>
      </c>
      <c r="AP269" s="4">
        <v>80100000</v>
      </c>
    </row>
    <row r="270" spans="1:42" s="4" customFormat="1" x14ac:dyDescent="0.25">
      <c r="A270" s="3">
        <v>4604698</v>
      </c>
      <c r="B270" s="28">
        <v>41892</v>
      </c>
      <c r="C270" s="3" t="s">
        <v>2342</v>
      </c>
      <c r="D270" s="3">
        <v>10004279</v>
      </c>
      <c r="E270" s="4">
        <v>4534049</v>
      </c>
      <c r="F270" s="3" t="s">
        <v>49</v>
      </c>
      <c r="G270" s="4" t="s">
        <v>2300</v>
      </c>
      <c r="H270" s="4" t="s">
        <v>2301</v>
      </c>
      <c r="I270" s="5">
        <v>65200</v>
      </c>
      <c r="J270" s="3" t="s">
        <v>1587</v>
      </c>
      <c r="K270" s="3" t="s">
        <v>395</v>
      </c>
      <c r="L270" s="3" t="s">
        <v>1046</v>
      </c>
      <c r="M270" s="4" t="s">
        <v>2385</v>
      </c>
      <c r="N270" s="3" t="s">
        <v>25</v>
      </c>
      <c r="O270" s="3"/>
      <c r="Q270" s="3" t="s">
        <v>139</v>
      </c>
      <c r="R270" s="3" t="s">
        <v>215</v>
      </c>
      <c r="S270" s="4" t="s">
        <v>216</v>
      </c>
      <c r="U270" s="4" t="s">
        <v>139</v>
      </c>
      <c r="V270" s="4" t="s">
        <v>427</v>
      </c>
      <c r="W270" s="4" t="s">
        <v>428</v>
      </c>
      <c r="Y270" s="4" t="s">
        <v>2277</v>
      </c>
      <c r="Z270" s="4" t="s">
        <v>2386</v>
      </c>
      <c r="AB270" s="3"/>
      <c r="AC270" s="3"/>
      <c r="AD270" s="3" t="s">
        <v>291</v>
      </c>
      <c r="AE270" s="3">
        <v>1000</v>
      </c>
      <c r="AI270" s="4" t="s">
        <v>2281</v>
      </c>
      <c r="AJ270" s="4" t="s">
        <v>2387</v>
      </c>
      <c r="AK270" s="3"/>
      <c r="AL270" s="4">
        <v>30080</v>
      </c>
      <c r="AM270" s="5">
        <v>65200</v>
      </c>
      <c r="AN270" s="4" t="s">
        <v>2282</v>
      </c>
      <c r="AO270" s="4">
        <v>99</v>
      </c>
      <c r="AP270" s="4">
        <v>80120000</v>
      </c>
    </row>
    <row r="271" spans="1:42" s="4" customFormat="1" x14ac:dyDescent="0.25">
      <c r="A271" s="3">
        <v>4604502</v>
      </c>
      <c r="B271" s="28">
        <v>41792</v>
      </c>
      <c r="C271" s="3" t="s">
        <v>2342</v>
      </c>
      <c r="D271" s="3">
        <v>10004294</v>
      </c>
      <c r="E271" s="4">
        <v>4533853</v>
      </c>
      <c r="F271" s="3" t="s">
        <v>49</v>
      </c>
      <c r="G271" s="4" t="s">
        <v>2367</v>
      </c>
      <c r="H271" s="4" t="s">
        <v>2301</v>
      </c>
      <c r="I271" s="5">
        <v>67648</v>
      </c>
      <c r="J271" s="3" t="s">
        <v>748</v>
      </c>
      <c r="K271" s="3" t="s">
        <v>77</v>
      </c>
      <c r="L271" s="3" t="s">
        <v>1046</v>
      </c>
      <c r="M271" s="4" t="s">
        <v>2368</v>
      </c>
      <c r="N271" s="3" t="s">
        <v>25</v>
      </c>
      <c r="O271" s="3" t="s">
        <v>139</v>
      </c>
      <c r="P271" s="4" t="s">
        <v>282</v>
      </c>
      <c r="Q271" s="3"/>
      <c r="R271" s="3"/>
      <c r="U271" s="4" t="s">
        <v>139</v>
      </c>
      <c r="V271" s="4" t="s">
        <v>427</v>
      </c>
      <c r="W271" s="4" t="s">
        <v>428</v>
      </c>
      <c r="Y271" s="4" t="s">
        <v>2286</v>
      </c>
      <c r="Z271" s="4" t="s">
        <v>2293</v>
      </c>
      <c r="AB271" s="3"/>
      <c r="AC271" s="3"/>
      <c r="AD271" s="3" t="s">
        <v>486</v>
      </c>
      <c r="AE271" s="3">
        <v>1000</v>
      </c>
      <c r="AI271" s="4" t="s">
        <v>2288</v>
      </c>
      <c r="AJ271" s="4" t="s">
        <v>2298</v>
      </c>
      <c r="AK271" s="3" t="s">
        <v>286</v>
      </c>
      <c r="AL271" s="4">
        <v>49623</v>
      </c>
      <c r="AM271" s="5">
        <v>67648</v>
      </c>
      <c r="AN271" s="4" t="s">
        <v>2282</v>
      </c>
      <c r="AO271" s="4">
        <v>98</v>
      </c>
      <c r="AP271" s="4">
        <v>80120000</v>
      </c>
    </row>
    <row r="272" spans="1:42" s="4" customFormat="1" x14ac:dyDescent="0.25">
      <c r="A272" s="3">
        <v>4604769</v>
      </c>
      <c r="B272" s="28">
        <v>41821</v>
      </c>
      <c r="C272" s="3" t="s">
        <v>288</v>
      </c>
      <c r="D272" s="3">
        <v>10004557</v>
      </c>
      <c r="E272" s="4">
        <v>4534120</v>
      </c>
      <c r="F272" s="3" t="s">
        <v>49</v>
      </c>
      <c r="G272" s="4" t="s">
        <v>203</v>
      </c>
      <c r="H272" s="4" t="s">
        <v>316</v>
      </c>
      <c r="I272" s="5">
        <v>68261</v>
      </c>
      <c r="J272" s="3" t="s">
        <v>76</v>
      </c>
      <c r="K272" s="3" t="s">
        <v>77</v>
      </c>
      <c r="L272" s="3" t="s">
        <v>196</v>
      </c>
      <c r="M272" s="4" t="s">
        <v>316</v>
      </c>
      <c r="N272" s="3" t="s">
        <v>25</v>
      </c>
      <c r="O272" s="3"/>
      <c r="Q272" s="3"/>
      <c r="R272" s="3"/>
      <c r="Y272" s="4" t="s">
        <v>111</v>
      </c>
      <c r="Z272" s="4" t="s">
        <v>111</v>
      </c>
      <c r="AB272" s="3"/>
      <c r="AC272" s="3"/>
      <c r="AD272" s="3" t="s">
        <v>317</v>
      </c>
      <c r="AE272" s="3">
        <v>1000</v>
      </c>
      <c r="AI272" s="4" t="s">
        <v>114</v>
      </c>
      <c r="AJ272" s="4" t="s">
        <v>114</v>
      </c>
      <c r="AK272" s="3"/>
      <c r="AL272" s="4">
        <v>140367</v>
      </c>
      <c r="AM272" s="5">
        <v>68261</v>
      </c>
      <c r="AN272" s="4" t="s">
        <v>124</v>
      </c>
      <c r="AO272" s="4">
        <v>99</v>
      </c>
      <c r="AP272" s="4">
        <v>43211501</v>
      </c>
    </row>
    <row r="273" spans="1:42" s="4" customFormat="1" x14ac:dyDescent="0.25">
      <c r="A273" s="3">
        <v>4604871</v>
      </c>
      <c r="B273" s="28">
        <v>42069</v>
      </c>
      <c r="C273" s="3" t="s">
        <v>2093</v>
      </c>
      <c r="D273" s="3">
        <v>10004685</v>
      </c>
      <c r="E273" s="4">
        <v>4534222</v>
      </c>
      <c r="F273" s="3" t="s">
        <v>49</v>
      </c>
      <c r="G273" s="4" t="s">
        <v>2110</v>
      </c>
      <c r="H273" s="4" t="s">
        <v>2111</v>
      </c>
      <c r="I273" s="5">
        <v>68640</v>
      </c>
      <c r="J273" s="3" t="s">
        <v>1835</v>
      </c>
      <c r="K273" s="3" t="s">
        <v>77</v>
      </c>
      <c r="L273" s="3" t="s">
        <v>119</v>
      </c>
      <c r="M273" s="4" t="s">
        <v>2112</v>
      </c>
      <c r="N273" s="3" t="s">
        <v>56</v>
      </c>
      <c r="O273" s="3"/>
      <c r="Q273" s="3"/>
      <c r="R273" s="3"/>
      <c r="Y273" s="4" t="s">
        <v>2113</v>
      </c>
      <c r="Z273" s="4" t="s">
        <v>2114</v>
      </c>
      <c r="AA273" s="4" t="s">
        <v>1740</v>
      </c>
      <c r="AB273" s="3" t="s">
        <v>2115</v>
      </c>
      <c r="AC273" s="3" t="s">
        <v>1742</v>
      </c>
      <c r="AD273" s="3" t="s">
        <v>486</v>
      </c>
      <c r="AE273" s="3">
        <v>1000</v>
      </c>
      <c r="AI273" s="4" t="s">
        <v>2116</v>
      </c>
      <c r="AJ273" s="4" t="s">
        <v>2117</v>
      </c>
      <c r="AK273" s="3"/>
      <c r="AL273" s="4">
        <v>47866</v>
      </c>
      <c r="AM273" s="5">
        <v>68640</v>
      </c>
      <c r="AN273" s="4" t="s">
        <v>124</v>
      </c>
      <c r="AO273" s="4">
        <v>99</v>
      </c>
      <c r="AP273" s="4">
        <v>80101507</v>
      </c>
    </row>
    <row r="274" spans="1:42" s="4" customFormat="1" x14ac:dyDescent="0.25">
      <c r="A274" s="3">
        <v>4604555</v>
      </c>
      <c r="B274" s="28">
        <v>41813</v>
      </c>
      <c r="C274" s="3" t="s">
        <v>255</v>
      </c>
      <c r="D274" s="3">
        <v>10004338</v>
      </c>
      <c r="E274" s="4">
        <v>4533906</v>
      </c>
      <c r="F274" s="3" t="s">
        <v>49</v>
      </c>
      <c r="G274" s="4" t="s">
        <v>276</v>
      </c>
      <c r="H274" s="4" t="s">
        <v>277</v>
      </c>
      <c r="I274" s="5">
        <v>70000</v>
      </c>
      <c r="J274" s="3" t="s">
        <v>195</v>
      </c>
      <c r="K274" s="3" t="s">
        <v>223</v>
      </c>
      <c r="L274" s="3" t="s">
        <v>196</v>
      </c>
      <c r="M274" s="4" t="s">
        <v>277</v>
      </c>
      <c r="N274" s="3" t="s">
        <v>25</v>
      </c>
      <c r="O274" s="3"/>
      <c r="Q274" s="3"/>
      <c r="R274" s="3"/>
      <c r="Y274" s="4" t="s">
        <v>267</v>
      </c>
      <c r="Z274" s="4" t="s">
        <v>267</v>
      </c>
      <c r="AB274" s="3"/>
      <c r="AC274" s="3"/>
      <c r="AD274" s="3" t="s">
        <v>278</v>
      </c>
      <c r="AE274" s="3">
        <v>1000</v>
      </c>
      <c r="AI274" s="4" t="s">
        <v>270</v>
      </c>
      <c r="AJ274" s="4" t="s">
        <v>270</v>
      </c>
      <c r="AK274" s="3"/>
      <c r="AL274" s="4">
        <v>140400</v>
      </c>
      <c r="AM274" s="5">
        <v>70000</v>
      </c>
      <c r="AN274" s="4" t="s">
        <v>124</v>
      </c>
      <c r="AO274" s="4">
        <v>99</v>
      </c>
      <c r="AP274" s="4">
        <v>83100000</v>
      </c>
    </row>
    <row r="275" spans="1:42" s="4" customFormat="1" x14ac:dyDescent="0.25">
      <c r="A275" s="3">
        <v>4604842</v>
      </c>
      <c r="B275" s="28">
        <v>42031</v>
      </c>
      <c r="C275" s="3" t="s">
        <v>392</v>
      </c>
      <c r="D275" s="3">
        <v>10004638</v>
      </c>
      <c r="E275" s="4">
        <v>4534193</v>
      </c>
      <c r="F275" s="3" t="s">
        <v>49</v>
      </c>
      <c r="G275" s="4" t="s">
        <v>289</v>
      </c>
      <c r="H275" s="4" t="s">
        <v>456</v>
      </c>
      <c r="I275" s="5">
        <v>70000</v>
      </c>
      <c r="J275" s="3" t="s">
        <v>452</v>
      </c>
      <c r="K275" s="3" t="s">
        <v>77</v>
      </c>
      <c r="L275" s="3" t="s">
        <v>119</v>
      </c>
      <c r="M275" s="4" t="s">
        <v>456</v>
      </c>
      <c r="N275" s="3" t="s">
        <v>56</v>
      </c>
      <c r="O275" s="3"/>
      <c r="Q275" s="3"/>
      <c r="R275" s="3"/>
      <c r="Y275" s="4" t="s">
        <v>179</v>
      </c>
      <c r="Z275" s="4" t="s">
        <v>179</v>
      </c>
      <c r="AA275" s="4" t="s">
        <v>188</v>
      </c>
      <c r="AB275" s="3" t="s">
        <v>293</v>
      </c>
      <c r="AC275" s="3" t="s">
        <v>190</v>
      </c>
      <c r="AD275" s="3" t="s">
        <v>457</v>
      </c>
      <c r="AE275" s="3">
        <v>1000</v>
      </c>
      <c r="AI275" s="4" t="s">
        <v>182</v>
      </c>
      <c r="AJ275" s="4" t="s">
        <v>182</v>
      </c>
      <c r="AK275" s="3"/>
      <c r="AL275" s="4">
        <v>141467</v>
      </c>
      <c r="AM275" s="5">
        <v>70000</v>
      </c>
      <c r="AN275" s="4" t="s">
        <v>124</v>
      </c>
      <c r="AO275" s="4">
        <v>99</v>
      </c>
      <c r="AP275" s="4">
        <v>80111600</v>
      </c>
    </row>
    <row r="276" spans="1:42" s="4" customFormat="1" x14ac:dyDescent="0.25">
      <c r="A276" s="3">
        <v>4604657</v>
      </c>
      <c r="B276" s="28">
        <v>41859</v>
      </c>
      <c r="C276" s="3" t="s">
        <v>1278</v>
      </c>
      <c r="D276" s="3">
        <v>10004452</v>
      </c>
      <c r="E276" s="4">
        <v>4534008</v>
      </c>
      <c r="F276" s="3" t="s">
        <v>49</v>
      </c>
      <c r="G276" s="4" t="s">
        <v>318</v>
      </c>
      <c r="H276" s="4" t="s">
        <v>1581</v>
      </c>
      <c r="I276" s="5">
        <v>70000</v>
      </c>
      <c r="J276" s="3" t="s">
        <v>1194</v>
      </c>
      <c r="K276" s="3" t="s">
        <v>829</v>
      </c>
      <c r="L276" s="3" t="s">
        <v>119</v>
      </c>
      <c r="M276" s="4" t="s">
        <v>1581</v>
      </c>
      <c r="N276" s="3" t="s">
        <v>56</v>
      </c>
      <c r="O276" s="3"/>
      <c r="Q276" s="3"/>
      <c r="R276" s="3"/>
      <c r="Y276" s="4" t="s">
        <v>179</v>
      </c>
      <c r="Z276" s="4" t="s">
        <v>179</v>
      </c>
      <c r="AA276" s="4" t="s">
        <v>188</v>
      </c>
      <c r="AB276" s="3" t="s">
        <v>1320</v>
      </c>
      <c r="AC276" s="3" t="s">
        <v>190</v>
      </c>
      <c r="AD276" s="3" t="s">
        <v>768</v>
      </c>
      <c r="AE276" s="3">
        <v>1000</v>
      </c>
      <c r="AI276" s="4" t="s">
        <v>182</v>
      </c>
      <c r="AJ276" s="4" t="s">
        <v>182</v>
      </c>
      <c r="AK276" s="3"/>
      <c r="AL276" s="4">
        <v>141551</v>
      </c>
      <c r="AM276" s="5">
        <v>70000</v>
      </c>
      <c r="AN276" s="4" t="s">
        <v>124</v>
      </c>
      <c r="AO276" s="4">
        <v>99</v>
      </c>
      <c r="AP276" s="4">
        <v>80111600</v>
      </c>
    </row>
    <row r="277" spans="1:42" s="4" customFormat="1" x14ac:dyDescent="0.25">
      <c r="A277" s="3">
        <v>4604783</v>
      </c>
      <c r="B277" s="28">
        <v>41968</v>
      </c>
      <c r="C277" s="3" t="s">
        <v>1278</v>
      </c>
      <c r="D277" s="3">
        <v>10004582</v>
      </c>
      <c r="E277" s="4">
        <v>4534134</v>
      </c>
      <c r="F277" s="3" t="s">
        <v>49</v>
      </c>
      <c r="G277" s="4" t="s">
        <v>311</v>
      </c>
      <c r="H277" s="4" t="s">
        <v>1729</v>
      </c>
      <c r="I277" s="5">
        <v>71000</v>
      </c>
      <c r="J277" s="3" t="s">
        <v>1040</v>
      </c>
      <c r="K277" s="3" t="s">
        <v>77</v>
      </c>
      <c r="L277" s="3" t="s">
        <v>119</v>
      </c>
      <c r="M277" s="4" t="s">
        <v>1729</v>
      </c>
      <c r="N277" s="3" t="s">
        <v>56</v>
      </c>
      <c r="O277" s="3"/>
      <c r="Q277" s="3"/>
      <c r="R277" s="3"/>
      <c r="Y277" s="4" t="s">
        <v>178</v>
      </c>
      <c r="Z277" s="4" t="s">
        <v>178</v>
      </c>
      <c r="AA277" s="4" t="s">
        <v>188</v>
      </c>
      <c r="AB277" s="3" t="s">
        <v>1730</v>
      </c>
      <c r="AC277" s="3" t="s">
        <v>190</v>
      </c>
      <c r="AD277" s="3" t="s">
        <v>444</v>
      </c>
      <c r="AE277" s="3">
        <v>1000</v>
      </c>
      <c r="AI277" s="4" t="s">
        <v>181</v>
      </c>
      <c r="AJ277" s="4" t="s">
        <v>181</v>
      </c>
      <c r="AK277" s="3"/>
      <c r="AL277" s="4">
        <v>141807</v>
      </c>
      <c r="AM277" s="5">
        <v>71000</v>
      </c>
      <c r="AN277" s="4" t="s">
        <v>124</v>
      </c>
      <c r="AO277" s="4">
        <v>98</v>
      </c>
      <c r="AP277" s="4">
        <v>80111600</v>
      </c>
    </row>
    <row r="278" spans="1:42" s="4" customFormat="1" x14ac:dyDescent="0.25">
      <c r="A278" s="3">
        <v>4604591</v>
      </c>
      <c r="B278" s="28">
        <v>42185</v>
      </c>
      <c r="C278" s="3" t="s">
        <v>1278</v>
      </c>
      <c r="D278" s="3">
        <v>10004372</v>
      </c>
      <c r="E278" s="4">
        <v>4533942</v>
      </c>
      <c r="F278" s="3" t="s">
        <v>49</v>
      </c>
      <c r="G278" s="4" t="s">
        <v>1447</v>
      </c>
      <c r="H278" s="4" t="s">
        <v>1448</v>
      </c>
      <c r="I278" s="5">
        <v>71726.44</v>
      </c>
      <c r="J278" s="3" t="s">
        <v>76</v>
      </c>
      <c r="K278" s="3" t="s">
        <v>77</v>
      </c>
      <c r="L278" s="3" t="s">
        <v>196</v>
      </c>
      <c r="M278" s="4" t="s">
        <v>1449</v>
      </c>
      <c r="N278" s="3" t="s">
        <v>25</v>
      </c>
      <c r="O278" s="3"/>
      <c r="Q278" s="3"/>
      <c r="R278" s="3"/>
      <c r="Y278" s="4" t="s">
        <v>1068</v>
      </c>
      <c r="Z278" s="4" t="s">
        <v>1090</v>
      </c>
      <c r="AB278" s="3"/>
      <c r="AC278" s="3"/>
      <c r="AD278" s="3" t="s">
        <v>77</v>
      </c>
      <c r="AE278" s="3">
        <v>1000</v>
      </c>
      <c r="AI278" s="4" t="s">
        <v>1071</v>
      </c>
      <c r="AJ278" s="4" t="s">
        <v>1091</v>
      </c>
      <c r="AK278" s="3"/>
      <c r="AL278" s="4">
        <v>41276</v>
      </c>
      <c r="AM278" s="5">
        <v>71726.44</v>
      </c>
      <c r="AN278" s="4" t="s">
        <v>124</v>
      </c>
      <c r="AO278" s="4">
        <v>97</v>
      </c>
      <c r="AP278" s="4">
        <v>78101804</v>
      </c>
    </row>
    <row r="279" spans="1:42" s="4" customFormat="1" x14ac:dyDescent="0.25">
      <c r="A279" s="3">
        <v>4605012</v>
      </c>
      <c r="B279" s="28">
        <v>42152</v>
      </c>
      <c r="C279" s="3" t="s">
        <v>1278</v>
      </c>
      <c r="D279" s="3">
        <v>10004823</v>
      </c>
      <c r="E279" s="4">
        <v>4534363</v>
      </c>
      <c r="F279" s="3" t="s">
        <v>49</v>
      </c>
      <c r="G279" s="4" t="s">
        <v>1427</v>
      </c>
      <c r="H279" s="4" t="s">
        <v>2014</v>
      </c>
      <c r="I279" s="5">
        <v>71900</v>
      </c>
      <c r="J279" s="3" t="s">
        <v>377</v>
      </c>
      <c r="K279" s="3" t="s">
        <v>2015</v>
      </c>
      <c r="L279" s="3" t="s">
        <v>196</v>
      </c>
      <c r="M279" s="4" t="s">
        <v>2016</v>
      </c>
      <c r="N279" s="3" t="s">
        <v>25</v>
      </c>
      <c r="O279" s="3"/>
      <c r="Q279" s="3"/>
      <c r="R279" s="3"/>
      <c r="Y279" s="4" t="s">
        <v>1510</v>
      </c>
      <c r="Z279" s="4" t="s">
        <v>1995</v>
      </c>
      <c r="AB279" s="3"/>
      <c r="AC279" s="3"/>
      <c r="AD279" s="3" t="s">
        <v>317</v>
      </c>
      <c r="AE279" s="3">
        <v>1000</v>
      </c>
      <c r="AI279" s="4" t="s">
        <v>1512</v>
      </c>
      <c r="AJ279" s="4" t="s">
        <v>1999</v>
      </c>
      <c r="AK279" s="3"/>
      <c r="AL279" s="4">
        <v>141764</v>
      </c>
      <c r="AM279" s="5">
        <v>71900</v>
      </c>
      <c r="AN279" s="4" t="s">
        <v>124</v>
      </c>
      <c r="AO279" s="4">
        <v>99</v>
      </c>
      <c r="AP279" s="4">
        <v>80141500</v>
      </c>
    </row>
    <row r="280" spans="1:42" s="4" customFormat="1" x14ac:dyDescent="0.25">
      <c r="A280" s="3">
        <v>4604618</v>
      </c>
      <c r="B280" s="28">
        <v>41876</v>
      </c>
      <c r="C280" s="3" t="s">
        <v>1278</v>
      </c>
      <c r="D280" s="3">
        <v>10004402</v>
      </c>
      <c r="E280" s="4">
        <v>4533969</v>
      </c>
      <c r="F280" s="3" t="s">
        <v>49</v>
      </c>
      <c r="G280" s="4" t="s">
        <v>1517</v>
      </c>
      <c r="H280" s="4" t="s">
        <v>1518</v>
      </c>
      <c r="I280" s="5">
        <v>72000</v>
      </c>
      <c r="J280" s="3" t="s">
        <v>1121</v>
      </c>
      <c r="K280" s="3" t="s">
        <v>832</v>
      </c>
      <c r="L280" s="3" t="s">
        <v>196</v>
      </c>
      <c r="M280" s="4" t="s">
        <v>1518</v>
      </c>
      <c r="N280" s="3" t="s">
        <v>25</v>
      </c>
      <c r="O280" s="3"/>
      <c r="Q280" s="3"/>
      <c r="R280" s="3"/>
      <c r="Y280" s="4" t="s">
        <v>405</v>
      </c>
      <c r="Z280" s="4" t="s">
        <v>1090</v>
      </c>
      <c r="AB280" s="3"/>
      <c r="AC280" s="3"/>
      <c r="AD280" s="3" t="s">
        <v>407</v>
      </c>
      <c r="AE280" s="3">
        <v>1000</v>
      </c>
      <c r="AI280" s="4" t="s">
        <v>408</v>
      </c>
      <c r="AJ280" s="4" t="s">
        <v>1091</v>
      </c>
      <c r="AK280" s="3"/>
      <c r="AL280" s="4">
        <v>49903</v>
      </c>
      <c r="AM280" s="5">
        <v>72000</v>
      </c>
      <c r="AN280" s="4" t="s">
        <v>124</v>
      </c>
      <c r="AO280" s="4">
        <v>98</v>
      </c>
      <c r="AP280" s="4">
        <v>81112200</v>
      </c>
    </row>
    <row r="281" spans="1:42" s="4" customFormat="1" x14ac:dyDescent="0.25">
      <c r="A281" s="3">
        <v>4604948</v>
      </c>
      <c r="B281" s="28">
        <v>42122</v>
      </c>
      <c r="C281" s="3" t="s">
        <v>1278</v>
      </c>
      <c r="D281" s="3">
        <v>10004767</v>
      </c>
      <c r="E281" s="4">
        <v>4534299</v>
      </c>
      <c r="F281" s="3" t="s">
        <v>49</v>
      </c>
      <c r="G281" s="4" t="s">
        <v>1174</v>
      </c>
      <c r="H281" s="4" t="s">
        <v>1933</v>
      </c>
      <c r="I281" s="5">
        <v>72380</v>
      </c>
      <c r="J281" s="3" t="s">
        <v>1924</v>
      </c>
      <c r="K281" s="3" t="s">
        <v>374</v>
      </c>
      <c r="L281" s="3" t="s">
        <v>196</v>
      </c>
      <c r="M281" s="4" t="s">
        <v>1933</v>
      </c>
      <c r="N281" s="3" t="s">
        <v>25</v>
      </c>
      <c r="O281" s="3"/>
      <c r="Q281" s="3"/>
      <c r="R281" s="3"/>
      <c r="Y281" s="4" t="s">
        <v>1934</v>
      </c>
      <c r="Z281" s="4" t="s">
        <v>1934</v>
      </c>
      <c r="AB281" s="3"/>
      <c r="AC281" s="3"/>
      <c r="AD281" s="3" t="s">
        <v>1924</v>
      </c>
      <c r="AE281" s="3">
        <v>1000</v>
      </c>
      <c r="AI281" s="4" t="s">
        <v>1935</v>
      </c>
      <c r="AJ281" s="4" t="s">
        <v>1935</v>
      </c>
      <c r="AK281" s="3"/>
      <c r="AL281" s="4">
        <v>42811</v>
      </c>
      <c r="AM281" s="5">
        <v>72380</v>
      </c>
      <c r="AN281" s="4" t="s">
        <v>124</v>
      </c>
      <c r="AO281" s="4">
        <v>99</v>
      </c>
      <c r="AP281" s="4">
        <v>80100000</v>
      </c>
    </row>
    <row r="282" spans="1:42" s="4" customFormat="1" x14ac:dyDescent="0.25">
      <c r="A282" s="3">
        <v>4604902</v>
      </c>
      <c r="B282" s="28">
        <v>42090</v>
      </c>
      <c r="C282" s="3" t="s">
        <v>2158</v>
      </c>
      <c r="D282" s="3">
        <v>10004710</v>
      </c>
      <c r="E282" s="4">
        <v>4534253</v>
      </c>
      <c r="F282" s="3" t="s">
        <v>49</v>
      </c>
      <c r="G282" s="4" t="s">
        <v>117</v>
      </c>
      <c r="H282" s="4" t="s">
        <v>2248</v>
      </c>
      <c r="I282" s="5">
        <v>72500</v>
      </c>
      <c r="J282" s="3" t="s">
        <v>496</v>
      </c>
      <c r="K282" s="3" t="s">
        <v>77</v>
      </c>
      <c r="L282" s="3" t="s">
        <v>119</v>
      </c>
      <c r="M282" s="4" t="s">
        <v>2249</v>
      </c>
      <c r="N282" s="3" t="s">
        <v>56</v>
      </c>
      <c r="O282" s="3" t="s">
        <v>139</v>
      </c>
      <c r="P282" s="4" t="s">
        <v>282</v>
      </c>
      <c r="Q282" s="3" t="s">
        <v>139</v>
      </c>
      <c r="R282" s="3" t="s">
        <v>427</v>
      </c>
      <c r="S282" s="4" t="s">
        <v>428</v>
      </c>
      <c r="U282" s="4" t="s">
        <v>139</v>
      </c>
      <c r="V282" s="4" t="s">
        <v>427</v>
      </c>
      <c r="W282" s="4" t="s">
        <v>428</v>
      </c>
      <c r="Y282" s="4" t="s">
        <v>738</v>
      </c>
      <c r="Z282" s="4" t="s">
        <v>738</v>
      </c>
      <c r="AA282" s="4" t="s">
        <v>1850</v>
      </c>
      <c r="AB282" s="3" t="s">
        <v>2250</v>
      </c>
      <c r="AC282" s="3" t="s">
        <v>1852</v>
      </c>
      <c r="AD282" s="3" t="s">
        <v>1159</v>
      </c>
      <c r="AE282" s="3">
        <v>1000</v>
      </c>
      <c r="AI282" s="4" t="s">
        <v>741</v>
      </c>
      <c r="AJ282" s="4" t="s">
        <v>741</v>
      </c>
      <c r="AK282" s="3" t="s">
        <v>286</v>
      </c>
      <c r="AL282" s="4">
        <v>44797</v>
      </c>
      <c r="AM282" s="5">
        <v>72500</v>
      </c>
      <c r="AN282" s="4" t="s">
        <v>124</v>
      </c>
      <c r="AO282" s="4">
        <v>98</v>
      </c>
      <c r="AP282" s="4">
        <v>80101603</v>
      </c>
    </row>
    <row r="283" spans="1:42" s="4" customFormat="1" x14ac:dyDescent="0.25">
      <c r="A283" s="3">
        <v>4604570</v>
      </c>
      <c r="B283" s="28">
        <v>41816</v>
      </c>
      <c r="C283" s="3" t="s">
        <v>107</v>
      </c>
      <c r="D283" s="3">
        <v>10004346</v>
      </c>
      <c r="E283" s="4">
        <v>4533921</v>
      </c>
      <c r="F283" s="3" t="s">
        <v>49</v>
      </c>
      <c r="G283" s="4" t="s">
        <v>203</v>
      </c>
      <c r="H283" s="4" t="s">
        <v>204</v>
      </c>
      <c r="I283" s="5">
        <v>72803.5</v>
      </c>
      <c r="J283" s="3" t="s">
        <v>76</v>
      </c>
      <c r="K283" s="3" t="s">
        <v>77</v>
      </c>
      <c r="L283" s="3" t="s">
        <v>196</v>
      </c>
      <c r="M283" s="4" t="s">
        <v>205</v>
      </c>
      <c r="N283" s="3" t="s">
        <v>25</v>
      </c>
      <c r="O283" s="3"/>
      <c r="Q283" s="3"/>
      <c r="R283" s="3"/>
      <c r="Y283" s="4" t="s">
        <v>206</v>
      </c>
      <c r="Z283" s="4" t="s">
        <v>207</v>
      </c>
      <c r="AA283" s="4" t="s">
        <v>199</v>
      </c>
      <c r="AB283" s="3"/>
      <c r="AC283" s="3"/>
      <c r="AD283" s="3" t="s">
        <v>208</v>
      </c>
      <c r="AE283" s="3">
        <v>1000</v>
      </c>
      <c r="AI283" s="4" t="s">
        <v>209</v>
      </c>
      <c r="AJ283" s="4" t="s">
        <v>210</v>
      </c>
      <c r="AK283" s="3"/>
      <c r="AL283" s="4">
        <v>140367</v>
      </c>
      <c r="AM283" s="5">
        <v>72803.5</v>
      </c>
      <c r="AN283" s="4" t="s">
        <v>124</v>
      </c>
      <c r="AO283" s="4">
        <v>98</v>
      </c>
      <c r="AP283" s="4">
        <v>43211501</v>
      </c>
    </row>
    <row r="284" spans="1:42" s="4" customFormat="1" x14ac:dyDescent="0.25">
      <c r="A284" s="3">
        <v>4604473</v>
      </c>
      <c r="B284" s="28">
        <v>41773</v>
      </c>
      <c r="C284" s="3" t="s">
        <v>560</v>
      </c>
      <c r="D284" s="3">
        <v>10004235</v>
      </c>
      <c r="E284" s="4">
        <v>4533824</v>
      </c>
      <c r="F284" s="3" t="s">
        <v>49</v>
      </c>
      <c r="G284" s="4" t="s">
        <v>733</v>
      </c>
      <c r="H284" s="4" t="s">
        <v>734</v>
      </c>
      <c r="I284" s="5">
        <v>73436</v>
      </c>
      <c r="J284" s="3" t="s">
        <v>735</v>
      </c>
      <c r="K284" s="3" t="s">
        <v>736</v>
      </c>
      <c r="L284" s="3" t="s">
        <v>119</v>
      </c>
      <c r="M284" s="4" t="s">
        <v>734</v>
      </c>
      <c r="N284" s="3" t="s">
        <v>56</v>
      </c>
      <c r="O284" s="3" t="s">
        <v>139</v>
      </c>
      <c r="P284" s="4" t="s">
        <v>140</v>
      </c>
      <c r="Q284" s="3"/>
      <c r="R284" s="3"/>
      <c r="Y284" s="4" t="s">
        <v>737</v>
      </c>
      <c r="Z284" s="4" t="s">
        <v>738</v>
      </c>
      <c r="AA284" s="4" t="s">
        <v>356</v>
      </c>
      <c r="AB284" s="3" t="s">
        <v>739</v>
      </c>
      <c r="AC284" s="3" t="s">
        <v>358</v>
      </c>
      <c r="AD284" s="3" t="s">
        <v>265</v>
      </c>
      <c r="AE284" s="3">
        <v>1000</v>
      </c>
      <c r="AI284" s="4" t="s">
        <v>740</v>
      </c>
      <c r="AJ284" s="4" t="s">
        <v>741</v>
      </c>
      <c r="AK284" s="3" t="s">
        <v>143</v>
      </c>
      <c r="AL284" s="4">
        <v>141735</v>
      </c>
      <c r="AM284" s="5">
        <v>73436</v>
      </c>
      <c r="AN284" s="4" t="s">
        <v>124</v>
      </c>
      <c r="AO284" s="4">
        <v>99</v>
      </c>
      <c r="AP284" s="4">
        <v>80141500</v>
      </c>
    </row>
    <row r="285" spans="1:42" s="4" customFormat="1" x14ac:dyDescent="0.25">
      <c r="A285" s="3">
        <v>4605005</v>
      </c>
      <c r="B285" s="28">
        <v>42153</v>
      </c>
      <c r="C285" s="3" t="s">
        <v>1278</v>
      </c>
      <c r="D285" s="3">
        <v>10004820</v>
      </c>
      <c r="E285" s="4">
        <v>4534356</v>
      </c>
      <c r="F285" s="3" t="s">
        <v>49</v>
      </c>
      <c r="G285" s="4" t="s">
        <v>1174</v>
      </c>
      <c r="H285" s="4" t="s">
        <v>2010</v>
      </c>
      <c r="I285" s="5">
        <v>73788</v>
      </c>
      <c r="J285" s="3" t="s">
        <v>1088</v>
      </c>
      <c r="K285" s="3" t="s">
        <v>374</v>
      </c>
      <c r="L285" s="3" t="s">
        <v>196</v>
      </c>
      <c r="M285" s="4" t="s">
        <v>2010</v>
      </c>
      <c r="N285" s="3" t="s">
        <v>25</v>
      </c>
      <c r="O285" s="3"/>
      <c r="Q285" s="3"/>
      <c r="R285" s="3"/>
      <c r="Y285" s="4" t="s">
        <v>1200</v>
      </c>
      <c r="Z285" s="4" t="s">
        <v>1200</v>
      </c>
      <c r="AA285" s="4" t="s">
        <v>2011</v>
      </c>
      <c r="AB285" s="3"/>
      <c r="AC285" s="3"/>
      <c r="AD285" s="3" t="s">
        <v>474</v>
      </c>
      <c r="AE285" s="3">
        <v>1000</v>
      </c>
      <c r="AI285" s="4" t="s">
        <v>1202</v>
      </c>
      <c r="AJ285" s="4" t="s">
        <v>1202</v>
      </c>
      <c r="AK285" s="3"/>
      <c r="AL285" s="4">
        <v>42811</v>
      </c>
      <c r="AM285" s="5">
        <v>73788</v>
      </c>
      <c r="AN285" s="4" t="s">
        <v>124</v>
      </c>
      <c r="AO285" s="4">
        <v>99</v>
      </c>
      <c r="AP285" s="4">
        <v>80160000</v>
      </c>
    </row>
    <row r="286" spans="1:42" s="4" customFormat="1" x14ac:dyDescent="0.25">
      <c r="A286" s="3">
        <v>4604781</v>
      </c>
      <c r="B286" s="28">
        <v>41963</v>
      </c>
      <c r="C286" s="3" t="s">
        <v>2415</v>
      </c>
      <c r="D286" s="3">
        <v>10004576</v>
      </c>
      <c r="E286" s="4">
        <v>4534132</v>
      </c>
      <c r="F286" s="3" t="s">
        <v>49</v>
      </c>
      <c r="G286" s="4" t="s">
        <v>2417</v>
      </c>
      <c r="H286" s="4" t="s">
        <v>2418</v>
      </c>
      <c r="I286" s="5">
        <v>74440</v>
      </c>
      <c r="J286" s="3" t="s">
        <v>416</v>
      </c>
      <c r="K286" s="3" t="s">
        <v>480</v>
      </c>
      <c r="L286" s="3" t="s">
        <v>196</v>
      </c>
      <c r="M286" s="4" t="s">
        <v>2419</v>
      </c>
      <c r="N286" s="3" t="s">
        <v>25</v>
      </c>
      <c r="O286" s="3" t="s">
        <v>139</v>
      </c>
      <c r="P286" s="4" t="s">
        <v>140</v>
      </c>
      <c r="Q286" s="3"/>
      <c r="R286" s="3"/>
      <c r="Y286" s="4" t="s">
        <v>2420</v>
      </c>
      <c r="Z286" s="4" t="s">
        <v>2394</v>
      </c>
      <c r="AB286" s="3"/>
      <c r="AC286" s="3"/>
      <c r="AD286" s="3" t="s">
        <v>424</v>
      </c>
      <c r="AE286" s="3">
        <v>1000</v>
      </c>
      <c r="AI286" s="4" t="s">
        <v>2421</v>
      </c>
      <c r="AJ286" s="4" t="s">
        <v>2395</v>
      </c>
      <c r="AK286" s="3" t="s">
        <v>143</v>
      </c>
      <c r="AL286" s="4">
        <v>141833</v>
      </c>
      <c r="AM286" s="5">
        <v>74440</v>
      </c>
      <c r="AN286" s="4" t="s">
        <v>124</v>
      </c>
      <c r="AO286" s="4">
        <v>99</v>
      </c>
      <c r="AP286" s="4">
        <v>80101600</v>
      </c>
    </row>
    <row r="287" spans="1:42" s="4" customFormat="1" x14ac:dyDescent="0.25">
      <c r="A287" s="3">
        <v>4604531</v>
      </c>
      <c r="B287" s="28">
        <v>41781</v>
      </c>
      <c r="C287" s="3" t="s">
        <v>2342</v>
      </c>
      <c r="D287" s="3">
        <v>10004321</v>
      </c>
      <c r="E287" s="4">
        <v>4533882</v>
      </c>
      <c r="F287" s="3" t="s">
        <v>49</v>
      </c>
      <c r="G287" s="4" t="s">
        <v>2300</v>
      </c>
      <c r="H287" s="4" t="s">
        <v>2369</v>
      </c>
      <c r="I287" s="5">
        <v>75000</v>
      </c>
      <c r="J287" s="3" t="s">
        <v>896</v>
      </c>
      <c r="K287" s="3" t="s">
        <v>807</v>
      </c>
      <c r="L287" s="3" t="s">
        <v>1046</v>
      </c>
      <c r="M287" s="4" t="s">
        <v>2370</v>
      </c>
      <c r="N287" s="3" t="s">
        <v>25</v>
      </c>
      <c r="O287" s="3" t="s">
        <v>139</v>
      </c>
      <c r="P287" s="4" t="s">
        <v>282</v>
      </c>
      <c r="Q287" s="3" t="s">
        <v>139</v>
      </c>
      <c r="R287" s="3" t="s">
        <v>215</v>
      </c>
      <c r="S287" s="4" t="s">
        <v>216</v>
      </c>
      <c r="U287" s="4" t="s">
        <v>139</v>
      </c>
      <c r="V287" s="4" t="s">
        <v>427</v>
      </c>
      <c r="W287" s="4" t="s">
        <v>428</v>
      </c>
      <c r="Y287" s="4" t="s">
        <v>2277</v>
      </c>
      <c r="Z287" s="4" t="s">
        <v>2293</v>
      </c>
      <c r="AB287" s="3"/>
      <c r="AC287" s="3"/>
      <c r="AD287" s="3" t="s">
        <v>774</v>
      </c>
      <c r="AE287" s="3">
        <v>1000</v>
      </c>
      <c r="AI287" s="4" t="s">
        <v>2281</v>
      </c>
      <c r="AJ287" s="4" t="s">
        <v>2298</v>
      </c>
      <c r="AK287" s="3" t="s">
        <v>286</v>
      </c>
      <c r="AL287" s="4">
        <v>30080</v>
      </c>
      <c r="AM287" s="5">
        <v>75000</v>
      </c>
      <c r="AN287" s="4" t="s">
        <v>2282</v>
      </c>
      <c r="AO287" s="4">
        <v>99</v>
      </c>
      <c r="AP287" s="4">
        <v>80120000</v>
      </c>
    </row>
    <row r="288" spans="1:42" s="4" customFormat="1" x14ac:dyDescent="0.25">
      <c r="A288" s="3">
        <v>4604402</v>
      </c>
      <c r="B288" s="28">
        <v>42135</v>
      </c>
      <c r="C288" s="3" t="s">
        <v>1042</v>
      </c>
      <c r="D288" s="3">
        <v>10003682</v>
      </c>
      <c r="E288" s="4">
        <v>4533753</v>
      </c>
      <c r="F288" s="3" t="s">
        <v>49</v>
      </c>
      <c r="G288" s="4" t="s">
        <v>1267</v>
      </c>
      <c r="H288" s="4" t="s">
        <v>1207</v>
      </c>
      <c r="I288" s="5">
        <v>75063.7</v>
      </c>
      <c r="J288" s="3" t="s">
        <v>1268</v>
      </c>
      <c r="K288" s="3" t="s">
        <v>1269</v>
      </c>
      <c r="L288" s="3" t="s">
        <v>196</v>
      </c>
      <c r="M288" s="4" t="s">
        <v>1207</v>
      </c>
      <c r="N288" s="3" t="s">
        <v>25</v>
      </c>
      <c r="O288" s="3"/>
      <c r="Q288" s="3"/>
      <c r="R288" s="3"/>
      <c r="Y288" s="4" t="s">
        <v>540</v>
      </c>
      <c r="Z288" s="4" t="s">
        <v>1090</v>
      </c>
      <c r="AB288" s="3"/>
      <c r="AC288" s="3"/>
      <c r="AD288" s="3" t="s">
        <v>359</v>
      </c>
      <c r="AE288" s="3">
        <v>1000</v>
      </c>
      <c r="AI288" s="4" t="s">
        <v>542</v>
      </c>
      <c r="AJ288" s="4" t="s">
        <v>1091</v>
      </c>
      <c r="AK288" s="3"/>
      <c r="AL288" s="4">
        <v>49881</v>
      </c>
      <c r="AM288" s="5">
        <v>75063.7</v>
      </c>
      <c r="AN288" s="4" t="s">
        <v>124</v>
      </c>
      <c r="AO288" s="4">
        <v>99</v>
      </c>
      <c r="AP288" s="4">
        <v>78111807</v>
      </c>
    </row>
    <row r="289" spans="1:42" s="4" customFormat="1" x14ac:dyDescent="0.25">
      <c r="A289" s="3">
        <v>4604646</v>
      </c>
      <c r="B289" s="28">
        <v>41844</v>
      </c>
      <c r="C289" s="3" t="s">
        <v>2158</v>
      </c>
      <c r="D289" s="3">
        <v>10004433</v>
      </c>
      <c r="E289" s="4">
        <v>4533997</v>
      </c>
      <c r="F289" s="3" t="s">
        <v>49</v>
      </c>
      <c r="G289" s="4" t="s">
        <v>2211</v>
      </c>
      <c r="H289" s="4" t="s">
        <v>2212</v>
      </c>
      <c r="I289" s="5">
        <v>75086.06</v>
      </c>
      <c r="J289" s="3" t="s">
        <v>259</v>
      </c>
      <c r="K289" s="3" t="s">
        <v>832</v>
      </c>
      <c r="L289" s="3" t="s">
        <v>196</v>
      </c>
      <c r="M289" s="4" t="s">
        <v>2213</v>
      </c>
      <c r="N289" s="3" t="s">
        <v>25</v>
      </c>
      <c r="O289" s="3" t="s">
        <v>139</v>
      </c>
      <c r="P289" s="4" t="s">
        <v>282</v>
      </c>
      <c r="Q289" s="3"/>
      <c r="R289" s="3"/>
      <c r="U289" s="4" t="s">
        <v>139</v>
      </c>
      <c r="V289" s="4" t="s">
        <v>119</v>
      </c>
      <c r="W289" s="4" t="s">
        <v>217</v>
      </c>
      <c r="X289" s="4" t="s">
        <v>2214</v>
      </c>
      <c r="Y289" s="4" t="s">
        <v>2215</v>
      </c>
      <c r="Z289" s="4" t="s">
        <v>2215</v>
      </c>
      <c r="AB289" s="3"/>
      <c r="AC289" s="3"/>
      <c r="AD289" s="3" t="s">
        <v>1629</v>
      </c>
      <c r="AE289" s="3">
        <v>1000</v>
      </c>
      <c r="AI289" s="4" t="s">
        <v>2216</v>
      </c>
      <c r="AJ289" s="4" t="s">
        <v>2216</v>
      </c>
      <c r="AK289" s="3" t="s">
        <v>286</v>
      </c>
      <c r="AL289" s="4">
        <v>141778</v>
      </c>
      <c r="AM289" s="5">
        <v>75086.06</v>
      </c>
      <c r="AN289" s="4" t="s">
        <v>124</v>
      </c>
      <c r="AO289" s="4">
        <v>98</v>
      </c>
      <c r="AP289" s="4">
        <v>80100000</v>
      </c>
    </row>
    <row r="290" spans="1:42" s="4" customFormat="1" x14ac:dyDescent="0.25">
      <c r="A290" s="3">
        <v>4605054</v>
      </c>
      <c r="B290" s="28">
        <v>42184</v>
      </c>
      <c r="C290" s="3" t="s">
        <v>392</v>
      </c>
      <c r="D290" s="3">
        <v>10004824</v>
      </c>
      <c r="E290" s="4">
        <v>4534405</v>
      </c>
      <c r="F290" s="3" t="s">
        <v>49</v>
      </c>
      <c r="G290" s="4" t="s">
        <v>553</v>
      </c>
      <c r="H290" s="4" t="s">
        <v>554</v>
      </c>
      <c r="I290" s="5">
        <v>77000</v>
      </c>
      <c r="J290" s="3" t="s">
        <v>535</v>
      </c>
      <c r="K290" s="3" t="s">
        <v>555</v>
      </c>
      <c r="L290" s="3" t="s">
        <v>119</v>
      </c>
      <c r="M290" s="4" t="s">
        <v>554</v>
      </c>
      <c r="N290" s="3" t="s">
        <v>56</v>
      </c>
      <c r="O290" s="3" t="s">
        <v>139</v>
      </c>
      <c r="P290" s="4" t="s">
        <v>140</v>
      </c>
      <c r="Q290" s="3"/>
      <c r="R290" s="3"/>
      <c r="Y290" s="4" t="s">
        <v>556</v>
      </c>
      <c r="Z290" s="4" t="s">
        <v>556</v>
      </c>
      <c r="AA290" s="4" t="s">
        <v>356</v>
      </c>
      <c r="AB290" s="3" t="s">
        <v>557</v>
      </c>
      <c r="AC290" s="3" t="s">
        <v>358</v>
      </c>
      <c r="AD290" s="3" t="s">
        <v>287</v>
      </c>
      <c r="AE290" s="3">
        <v>1000</v>
      </c>
      <c r="AI290" s="4" t="s">
        <v>558</v>
      </c>
      <c r="AJ290" s="4" t="s">
        <v>558</v>
      </c>
      <c r="AK290" s="3" t="s">
        <v>143</v>
      </c>
      <c r="AL290" s="4">
        <v>42555</v>
      </c>
      <c r="AM290" s="5">
        <v>77000</v>
      </c>
      <c r="AN290" s="4" t="s">
        <v>124</v>
      </c>
      <c r="AO290" s="4">
        <v>99</v>
      </c>
      <c r="AP290" s="4">
        <v>80101603</v>
      </c>
    </row>
    <row r="291" spans="1:42" s="4" customFormat="1" x14ac:dyDescent="0.25">
      <c r="A291" s="3">
        <v>4604666</v>
      </c>
      <c r="B291" s="28">
        <v>42185</v>
      </c>
      <c r="C291" s="3" t="s">
        <v>1278</v>
      </c>
      <c r="D291" s="3">
        <v>10004460</v>
      </c>
      <c r="E291" s="4">
        <v>4534017</v>
      </c>
      <c r="F291" s="3" t="s">
        <v>49</v>
      </c>
      <c r="G291" s="4" t="s">
        <v>1454</v>
      </c>
      <c r="H291" s="4" t="s">
        <v>1596</v>
      </c>
      <c r="I291" s="5">
        <v>77388.009999999995</v>
      </c>
      <c r="J291" s="3" t="s">
        <v>1591</v>
      </c>
      <c r="K291" s="3" t="s">
        <v>832</v>
      </c>
      <c r="L291" s="3" t="s">
        <v>196</v>
      </c>
      <c r="M291" s="4" t="s">
        <v>1596</v>
      </c>
      <c r="N291" s="3" t="s">
        <v>25</v>
      </c>
      <c r="O291" s="3"/>
      <c r="Q291" s="3"/>
      <c r="R291" s="3"/>
      <c r="Y291" s="4" t="s">
        <v>1141</v>
      </c>
      <c r="Z291" s="4" t="s">
        <v>1141</v>
      </c>
      <c r="AB291" s="3"/>
      <c r="AC291" s="3"/>
      <c r="AD291" s="3" t="s">
        <v>77</v>
      </c>
      <c r="AE291" s="3">
        <v>1000</v>
      </c>
      <c r="AI291" s="4" t="s">
        <v>1144</v>
      </c>
      <c r="AJ291" s="4" t="s">
        <v>1144</v>
      </c>
      <c r="AK291" s="3"/>
      <c r="AL291" s="4">
        <v>141769</v>
      </c>
      <c r="AM291" s="5">
        <v>77388.009999999995</v>
      </c>
      <c r="AN291" s="4" t="s">
        <v>124</v>
      </c>
      <c r="AO291" s="4">
        <v>99</v>
      </c>
      <c r="AP291" s="4">
        <v>72101500</v>
      </c>
    </row>
    <row r="292" spans="1:42" s="4" customFormat="1" x14ac:dyDescent="0.25">
      <c r="A292" s="3">
        <v>4604704</v>
      </c>
      <c r="B292" s="28">
        <v>41957</v>
      </c>
      <c r="C292" s="3" t="s">
        <v>2093</v>
      </c>
      <c r="D292" s="3">
        <v>10004502</v>
      </c>
      <c r="E292" s="4">
        <v>4534055</v>
      </c>
      <c r="F292" s="3" t="s">
        <v>49</v>
      </c>
      <c r="G292" s="4" t="s">
        <v>2095</v>
      </c>
      <c r="H292" s="4" t="s">
        <v>2096</v>
      </c>
      <c r="I292" s="5">
        <v>78000</v>
      </c>
      <c r="J292" s="3" t="s">
        <v>2097</v>
      </c>
      <c r="K292" s="3" t="s">
        <v>2098</v>
      </c>
      <c r="L292" s="3" t="s">
        <v>196</v>
      </c>
      <c r="M292" s="4" t="s">
        <v>2096</v>
      </c>
      <c r="N292" s="3" t="s">
        <v>25</v>
      </c>
      <c r="O292" s="3"/>
      <c r="Q292" s="3"/>
      <c r="R292" s="3"/>
      <c r="Y292" s="4" t="s">
        <v>1616</v>
      </c>
      <c r="Z292" s="4" t="s">
        <v>1616</v>
      </c>
      <c r="AB292" s="3"/>
      <c r="AC292" s="3"/>
      <c r="AD292" s="3" t="s">
        <v>2099</v>
      </c>
      <c r="AE292" s="3">
        <v>1000</v>
      </c>
      <c r="AI292" s="4" t="s">
        <v>1617</v>
      </c>
      <c r="AJ292" s="4" t="s">
        <v>1617</v>
      </c>
      <c r="AK292" s="3"/>
      <c r="AL292" s="4">
        <v>141800</v>
      </c>
      <c r="AM292" s="5">
        <v>78000</v>
      </c>
      <c r="AN292" s="4" t="s">
        <v>124</v>
      </c>
      <c r="AO292" s="4">
        <v>99</v>
      </c>
      <c r="AP292" s="4">
        <v>80101706</v>
      </c>
    </row>
    <row r="293" spans="1:42" s="4" customFormat="1" x14ac:dyDescent="0.25">
      <c r="A293" s="3">
        <v>4604669</v>
      </c>
      <c r="B293" s="28">
        <v>41869</v>
      </c>
      <c r="C293" s="3" t="s">
        <v>1278</v>
      </c>
      <c r="D293" s="3">
        <v>10004466</v>
      </c>
      <c r="E293" s="4">
        <v>4534020</v>
      </c>
      <c r="F293" s="3" t="s">
        <v>49</v>
      </c>
      <c r="G293" s="4" t="s">
        <v>1599</v>
      </c>
      <c r="H293" s="4" t="s">
        <v>1600</v>
      </c>
      <c r="I293" s="5">
        <v>79200</v>
      </c>
      <c r="J293" s="3" t="s">
        <v>1084</v>
      </c>
      <c r="K293" s="3" t="s">
        <v>77</v>
      </c>
      <c r="L293" s="3" t="s">
        <v>196</v>
      </c>
      <c r="M293" s="4" t="s">
        <v>1600</v>
      </c>
      <c r="N293" s="3" t="s">
        <v>25</v>
      </c>
      <c r="O293" s="3"/>
      <c r="Q293" s="3"/>
      <c r="R293" s="3"/>
      <c r="Y293" s="4" t="s">
        <v>1222</v>
      </c>
      <c r="Z293" s="4" t="s">
        <v>1090</v>
      </c>
      <c r="AB293" s="3"/>
      <c r="AC293" s="3"/>
      <c r="AD293" s="3" t="s">
        <v>183</v>
      </c>
      <c r="AE293" s="3">
        <v>1000</v>
      </c>
      <c r="AI293" s="4" t="s">
        <v>1226</v>
      </c>
      <c r="AJ293" s="4" t="s">
        <v>1091</v>
      </c>
      <c r="AK293" s="3"/>
      <c r="AL293" s="4">
        <v>141435</v>
      </c>
      <c r="AM293" s="5">
        <v>79200</v>
      </c>
      <c r="AN293" s="4" t="s">
        <v>124</v>
      </c>
      <c r="AO293" s="4">
        <v>99</v>
      </c>
      <c r="AP293" s="4">
        <v>81112200</v>
      </c>
    </row>
    <row r="294" spans="1:42" s="4" customFormat="1" x14ac:dyDescent="0.25">
      <c r="A294" s="3">
        <v>4604556</v>
      </c>
      <c r="B294" s="28">
        <v>41775</v>
      </c>
      <c r="C294" s="3" t="s">
        <v>2083</v>
      </c>
      <c r="D294" s="3">
        <v>10004340</v>
      </c>
      <c r="E294" s="4">
        <v>4533907</v>
      </c>
      <c r="F294" s="3" t="s">
        <v>49</v>
      </c>
      <c r="G294" s="4" t="s">
        <v>572</v>
      </c>
      <c r="H294" s="4" t="s">
        <v>2084</v>
      </c>
      <c r="I294" s="5">
        <v>79200</v>
      </c>
      <c r="J294" s="3" t="s">
        <v>1333</v>
      </c>
      <c r="K294" s="3" t="s">
        <v>187</v>
      </c>
      <c r="L294" s="3" t="s">
        <v>196</v>
      </c>
      <c r="M294" s="4" t="s">
        <v>2084</v>
      </c>
      <c r="N294" s="3" t="s">
        <v>25</v>
      </c>
      <c r="O294" s="3"/>
      <c r="Q294" s="3"/>
      <c r="R294" s="3"/>
      <c r="Y294" s="4" t="s">
        <v>1616</v>
      </c>
      <c r="Z294" s="4" t="s">
        <v>1616</v>
      </c>
      <c r="AB294" s="3"/>
      <c r="AC294" s="3"/>
      <c r="AD294" s="3" t="s">
        <v>577</v>
      </c>
      <c r="AE294" s="3">
        <v>1000</v>
      </c>
      <c r="AI294" s="4" t="s">
        <v>1617</v>
      </c>
      <c r="AJ294" s="4" t="s">
        <v>1617</v>
      </c>
      <c r="AK294" s="3"/>
      <c r="AL294" s="4">
        <v>45868</v>
      </c>
      <c r="AM294" s="5">
        <v>79200</v>
      </c>
      <c r="AN294" s="4" t="s">
        <v>124</v>
      </c>
      <c r="AO294" s="4">
        <v>99</v>
      </c>
      <c r="AP294" s="4">
        <v>80101706</v>
      </c>
    </row>
    <row r="295" spans="1:42" s="4" customFormat="1" x14ac:dyDescent="0.25">
      <c r="A295" s="3">
        <v>4604924</v>
      </c>
      <c r="B295" s="28">
        <v>42095</v>
      </c>
      <c r="C295" s="3" t="s">
        <v>392</v>
      </c>
      <c r="D295" s="3">
        <v>10004708</v>
      </c>
      <c r="E295" s="4">
        <v>4534275</v>
      </c>
      <c r="F295" s="3" t="s">
        <v>49</v>
      </c>
      <c r="G295" s="4" t="s">
        <v>508</v>
      </c>
      <c r="H295" s="4" t="s">
        <v>503</v>
      </c>
      <c r="I295" s="5">
        <v>79500</v>
      </c>
      <c r="J295" s="3" t="s">
        <v>502</v>
      </c>
      <c r="K295" s="3" t="s">
        <v>504</v>
      </c>
      <c r="L295" s="3" t="s">
        <v>119</v>
      </c>
      <c r="M295" s="4" t="s">
        <v>503</v>
      </c>
      <c r="N295" s="3" t="s">
        <v>25</v>
      </c>
      <c r="O295" s="3" t="s">
        <v>139</v>
      </c>
      <c r="P295" s="4" t="s">
        <v>282</v>
      </c>
      <c r="Q295" s="3"/>
      <c r="R295" s="3"/>
      <c r="Y295" s="4" t="s">
        <v>505</v>
      </c>
      <c r="Z295" s="4" t="s">
        <v>505</v>
      </c>
      <c r="AA295" s="4" t="s">
        <v>509</v>
      </c>
      <c r="AB295" s="3"/>
      <c r="AC295" s="3"/>
      <c r="AD295" s="3" t="s">
        <v>510</v>
      </c>
      <c r="AE295" s="3">
        <v>1000</v>
      </c>
      <c r="AI295" s="4" t="s">
        <v>507</v>
      </c>
      <c r="AJ295" s="4" t="s">
        <v>507</v>
      </c>
      <c r="AK295" s="3" t="s">
        <v>286</v>
      </c>
      <c r="AL295" s="4">
        <v>140425</v>
      </c>
      <c r="AM295" s="5">
        <v>79500</v>
      </c>
      <c r="AN295" s="4" t="s">
        <v>124</v>
      </c>
      <c r="AO295" s="4">
        <v>99</v>
      </c>
      <c r="AP295" s="4">
        <v>80101505</v>
      </c>
    </row>
    <row r="296" spans="1:42" s="4" customFormat="1" x14ac:dyDescent="0.25">
      <c r="A296" s="3">
        <v>4604717</v>
      </c>
      <c r="B296" s="28">
        <v>42090</v>
      </c>
      <c r="C296" s="3" t="s">
        <v>2093</v>
      </c>
      <c r="D296" s="3">
        <v>10004514</v>
      </c>
      <c r="E296" s="4">
        <v>4534068</v>
      </c>
      <c r="F296" s="3" t="s">
        <v>49</v>
      </c>
      <c r="G296" s="4" t="s">
        <v>648</v>
      </c>
      <c r="H296" s="4" t="s">
        <v>2103</v>
      </c>
      <c r="I296" s="5">
        <v>80000</v>
      </c>
      <c r="J296" s="3" t="s">
        <v>832</v>
      </c>
      <c r="K296" s="3" t="s">
        <v>1704</v>
      </c>
      <c r="L296" s="3" t="s">
        <v>196</v>
      </c>
      <c r="M296" s="4" t="s">
        <v>2103</v>
      </c>
      <c r="N296" s="3" t="s">
        <v>25</v>
      </c>
      <c r="O296" s="3"/>
      <c r="Q296" s="3"/>
      <c r="R296" s="3"/>
      <c r="Y296" s="4" t="s">
        <v>1616</v>
      </c>
      <c r="Z296" s="4" t="s">
        <v>1616</v>
      </c>
      <c r="AB296" s="3"/>
      <c r="AC296" s="3"/>
      <c r="AD296" s="3" t="s">
        <v>2099</v>
      </c>
      <c r="AE296" s="3">
        <v>1000</v>
      </c>
      <c r="AI296" s="4" t="s">
        <v>1617</v>
      </c>
      <c r="AJ296" s="4" t="s">
        <v>1617</v>
      </c>
      <c r="AK296" s="3"/>
      <c r="AL296" s="4">
        <v>45889</v>
      </c>
      <c r="AM296" s="5">
        <v>80000</v>
      </c>
      <c r="AN296" s="4" t="s">
        <v>124</v>
      </c>
      <c r="AO296" s="4">
        <v>99</v>
      </c>
      <c r="AP296" s="4">
        <v>80101706</v>
      </c>
    </row>
    <row r="297" spans="1:42" s="4" customFormat="1" x14ac:dyDescent="0.25">
      <c r="A297" s="3">
        <v>4604537</v>
      </c>
      <c r="B297" s="28">
        <v>41807</v>
      </c>
      <c r="C297" s="3" t="s">
        <v>1278</v>
      </c>
      <c r="D297" s="3">
        <v>10004318</v>
      </c>
      <c r="E297" s="4">
        <v>4533888</v>
      </c>
      <c r="F297" s="3" t="s">
        <v>49</v>
      </c>
      <c r="G297" s="4" t="s">
        <v>1385</v>
      </c>
      <c r="H297" s="4" t="s">
        <v>1386</v>
      </c>
      <c r="I297" s="5">
        <v>80022.8</v>
      </c>
      <c r="J297" s="3" t="s">
        <v>1356</v>
      </c>
      <c r="K297" s="3" t="s">
        <v>474</v>
      </c>
      <c r="L297" s="3" t="s">
        <v>196</v>
      </c>
      <c r="M297" s="4" t="s">
        <v>1387</v>
      </c>
      <c r="N297" s="3" t="s">
        <v>25</v>
      </c>
      <c r="O297" s="3"/>
      <c r="Q297" s="3"/>
      <c r="R297" s="3"/>
      <c r="Y297" s="4" t="s">
        <v>1056</v>
      </c>
      <c r="Z297" s="4" t="s">
        <v>1090</v>
      </c>
      <c r="AB297" s="3"/>
      <c r="AC297" s="3"/>
      <c r="AD297" s="3" t="s">
        <v>1384</v>
      </c>
      <c r="AE297" s="3">
        <v>1000</v>
      </c>
      <c r="AI297" s="4" t="s">
        <v>1058</v>
      </c>
      <c r="AJ297" s="4" t="s">
        <v>1091</v>
      </c>
      <c r="AK297" s="3"/>
      <c r="AL297" s="4">
        <v>49327</v>
      </c>
      <c r="AM297" s="5">
        <v>80022.8</v>
      </c>
      <c r="AN297" s="4" t="s">
        <v>124</v>
      </c>
      <c r="AO297" s="4">
        <v>99</v>
      </c>
      <c r="AP297" s="4">
        <v>43230000</v>
      </c>
    </row>
    <row r="298" spans="1:42" s="4" customFormat="1" x14ac:dyDescent="0.25">
      <c r="A298" s="3">
        <v>4604530</v>
      </c>
      <c r="B298" s="28">
        <v>42104</v>
      </c>
      <c r="C298" s="3" t="s">
        <v>1278</v>
      </c>
      <c r="D298" s="3">
        <v>10004316</v>
      </c>
      <c r="E298" s="4">
        <v>4533881</v>
      </c>
      <c r="F298" s="3" t="s">
        <v>49</v>
      </c>
      <c r="G298" s="4" t="s">
        <v>1380</v>
      </c>
      <c r="H298" s="4" t="s">
        <v>1381</v>
      </c>
      <c r="I298" s="5">
        <v>81134.09</v>
      </c>
      <c r="J298" s="3" t="s">
        <v>76</v>
      </c>
      <c r="K298" s="3" t="s">
        <v>77</v>
      </c>
      <c r="L298" s="3" t="s">
        <v>196</v>
      </c>
      <c r="M298" s="4" t="s">
        <v>1381</v>
      </c>
      <c r="N298" s="3" t="s">
        <v>25</v>
      </c>
      <c r="O298" s="3"/>
      <c r="Q298" s="3"/>
      <c r="R298" s="3"/>
      <c r="Y298" s="4" t="s">
        <v>260</v>
      </c>
      <c r="Z298" s="4" t="s">
        <v>1382</v>
      </c>
      <c r="AB298" s="3"/>
      <c r="AC298" s="3"/>
      <c r="AD298" s="3" t="s">
        <v>492</v>
      </c>
      <c r="AE298" s="3">
        <v>1000</v>
      </c>
      <c r="AI298" s="4" t="s">
        <v>261</v>
      </c>
      <c r="AJ298" s="4" t="s">
        <v>1383</v>
      </c>
      <c r="AK298" s="3"/>
      <c r="AL298" s="4">
        <v>46327</v>
      </c>
      <c r="AM298" s="5">
        <v>81134.09</v>
      </c>
      <c r="AN298" s="4" t="s">
        <v>124</v>
      </c>
      <c r="AO298" s="4">
        <v>99</v>
      </c>
      <c r="AP298" s="4">
        <v>81112200</v>
      </c>
    </row>
    <row r="299" spans="1:42" s="4" customFormat="1" x14ac:dyDescent="0.25">
      <c r="A299" s="3">
        <v>4604860</v>
      </c>
      <c r="B299" s="28">
        <v>42065</v>
      </c>
      <c r="C299" s="3" t="s">
        <v>392</v>
      </c>
      <c r="D299" s="3">
        <v>10004663</v>
      </c>
      <c r="E299" s="4">
        <v>4534211</v>
      </c>
      <c r="F299" s="3" t="s">
        <v>49</v>
      </c>
      <c r="G299" s="4" t="s">
        <v>318</v>
      </c>
      <c r="H299" s="4" t="s">
        <v>476</v>
      </c>
      <c r="I299" s="5">
        <v>82500</v>
      </c>
      <c r="J299" s="3" t="s">
        <v>477</v>
      </c>
      <c r="K299" s="3" t="s">
        <v>77</v>
      </c>
      <c r="L299" s="3" t="s">
        <v>119</v>
      </c>
      <c r="M299" s="4" t="s">
        <v>476</v>
      </c>
      <c r="N299" s="3" t="s">
        <v>56</v>
      </c>
      <c r="O299" s="3"/>
      <c r="Q299" s="3"/>
      <c r="R299" s="3"/>
      <c r="Y299" s="4" t="s">
        <v>466</v>
      </c>
      <c r="Z299" s="4" t="s">
        <v>466</v>
      </c>
      <c r="AA299" s="4" t="s">
        <v>188</v>
      </c>
      <c r="AB299" s="3" t="s">
        <v>478</v>
      </c>
      <c r="AC299" s="3" t="s">
        <v>190</v>
      </c>
      <c r="AD299" s="3" t="s">
        <v>479</v>
      </c>
      <c r="AE299" s="3">
        <v>1000</v>
      </c>
      <c r="AI299" s="4" t="s">
        <v>468</v>
      </c>
      <c r="AJ299" s="4" t="s">
        <v>468</v>
      </c>
      <c r="AK299" s="3"/>
      <c r="AL299" s="4">
        <v>141551</v>
      </c>
      <c r="AM299" s="5">
        <v>82500</v>
      </c>
      <c r="AN299" s="4" t="s">
        <v>124</v>
      </c>
      <c r="AO299" s="4">
        <v>99</v>
      </c>
      <c r="AP299" s="4">
        <v>80111600</v>
      </c>
    </row>
    <row r="300" spans="1:42" s="4" customFormat="1" x14ac:dyDescent="0.25">
      <c r="A300" s="3">
        <v>4604611</v>
      </c>
      <c r="B300" s="28">
        <v>41821</v>
      </c>
      <c r="C300" s="3" t="s">
        <v>2342</v>
      </c>
      <c r="D300" s="3">
        <v>10004391</v>
      </c>
      <c r="E300" s="4">
        <v>4533962</v>
      </c>
      <c r="F300" s="3" t="s">
        <v>49</v>
      </c>
      <c r="G300" s="4" t="s">
        <v>2372</v>
      </c>
      <c r="H300" s="4" t="s">
        <v>2373</v>
      </c>
      <c r="I300" s="5">
        <v>82953</v>
      </c>
      <c r="J300" s="3" t="s">
        <v>76</v>
      </c>
      <c r="K300" s="3" t="s">
        <v>77</v>
      </c>
      <c r="L300" s="3" t="s">
        <v>196</v>
      </c>
      <c r="M300" s="4" t="s">
        <v>2374</v>
      </c>
      <c r="N300" s="3" t="s">
        <v>25</v>
      </c>
      <c r="O300" s="3"/>
      <c r="Q300" s="3"/>
      <c r="R300" s="3"/>
      <c r="Y300" s="4" t="s">
        <v>2293</v>
      </c>
      <c r="Z300" s="4" t="s">
        <v>2293</v>
      </c>
      <c r="AB300" s="3"/>
      <c r="AC300" s="3"/>
      <c r="AD300" s="3" t="s">
        <v>211</v>
      </c>
      <c r="AE300" s="3">
        <v>1000</v>
      </c>
      <c r="AI300" s="4" t="s">
        <v>2298</v>
      </c>
      <c r="AJ300" s="4" t="s">
        <v>2298</v>
      </c>
      <c r="AK300" s="3"/>
      <c r="AL300" s="4">
        <v>30353</v>
      </c>
      <c r="AM300" s="5">
        <v>82953</v>
      </c>
      <c r="AN300" s="4" t="s">
        <v>124</v>
      </c>
      <c r="AO300" s="4">
        <v>99</v>
      </c>
      <c r="AP300" s="4">
        <v>55110000</v>
      </c>
    </row>
    <row r="301" spans="1:42" s="4" customFormat="1" x14ac:dyDescent="0.25">
      <c r="A301" s="3">
        <v>4604051</v>
      </c>
      <c r="B301" s="28">
        <v>41457</v>
      </c>
      <c r="C301" s="3" t="s">
        <v>1042</v>
      </c>
      <c r="D301" s="3">
        <v>10003821</v>
      </c>
      <c r="E301" s="4">
        <v>4533402</v>
      </c>
      <c r="F301" s="3" t="s">
        <v>49</v>
      </c>
      <c r="G301" s="4" t="s">
        <v>1234</v>
      </c>
      <c r="H301" s="4" t="s">
        <v>1235</v>
      </c>
      <c r="I301" s="5">
        <v>84000</v>
      </c>
      <c r="J301" s="3" t="s">
        <v>631</v>
      </c>
      <c r="K301" s="3" t="s">
        <v>1236</v>
      </c>
      <c r="L301" s="3" t="s">
        <v>119</v>
      </c>
      <c r="M301" s="4" t="s">
        <v>1235</v>
      </c>
      <c r="N301" s="3" t="s">
        <v>56</v>
      </c>
      <c r="O301" s="3"/>
      <c r="Q301" s="3"/>
      <c r="R301" s="3"/>
      <c r="Y301" s="4" t="s">
        <v>267</v>
      </c>
      <c r="Z301" s="4" t="s">
        <v>1237</v>
      </c>
      <c r="AA301" s="4" t="s">
        <v>1238</v>
      </c>
      <c r="AB301" s="3" t="s">
        <v>1238</v>
      </c>
      <c r="AC301" s="3" t="s">
        <v>1239</v>
      </c>
      <c r="AD301" s="3" t="s">
        <v>1240</v>
      </c>
      <c r="AE301" s="3">
        <v>1000</v>
      </c>
      <c r="AI301" s="4" t="s">
        <v>270</v>
      </c>
      <c r="AJ301" s="4" t="s">
        <v>1241</v>
      </c>
      <c r="AK301" s="3"/>
      <c r="AL301" s="4">
        <v>43497</v>
      </c>
      <c r="AM301" s="5">
        <v>84000</v>
      </c>
      <c r="AN301" s="4" t="s">
        <v>124</v>
      </c>
      <c r="AO301" s="4">
        <v>98</v>
      </c>
      <c r="AP301" s="4">
        <v>80110000</v>
      </c>
    </row>
    <row r="302" spans="1:42" s="4" customFormat="1" x14ac:dyDescent="0.25">
      <c r="A302" s="3">
        <v>4604795</v>
      </c>
      <c r="B302" s="28">
        <v>41975</v>
      </c>
      <c r="C302" s="3" t="s">
        <v>1278</v>
      </c>
      <c r="D302" s="3">
        <v>10004587</v>
      </c>
      <c r="E302" s="4">
        <v>4534146</v>
      </c>
      <c r="F302" s="3" t="s">
        <v>49</v>
      </c>
      <c r="G302" s="4" t="s">
        <v>410</v>
      </c>
      <c r="H302" s="4" t="s">
        <v>1748</v>
      </c>
      <c r="I302" s="5">
        <v>84128</v>
      </c>
      <c r="J302" s="3" t="s">
        <v>1743</v>
      </c>
      <c r="K302" s="3" t="s">
        <v>321</v>
      </c>
      <c r="L302" s="3" t="s">
        <v>119</v>
      </c>
      <c r="M302" s="4" t="s">
        <v>1748</v>
      </c>
      <c r="N302" s="3" t="s">
        <v>56</v>
      </c>
      <c r="O302" s="3"/>
      <c r="Q302" s="3"/>
      <c r="R302" s="3"/>
      <c r="Y302" s="4" t="s">
        <v>1700</v>
      </c>
      <c r="Z302" s="4" t="s">
        <v>1700</v>
      </c>
      <c r="AA302" s="4" t="s">
        <v>1284</v>
      </c>
      <c r="AB302" s="3" t="s">
        <v>1749</v>
      </c>
      <c r="AC302" s="3" t="s">
        <v>1286</v>
      </c>
      <c r="AD302" s="3" t="s">
        <v>486</v>
      </c>
      <c r="AE302" s="3">
        <v>1000</v>
      </c>
      <c r="AI302" s="4" t="s">
        <v>1701</v>
      </c>
      <c r="AJ302" s="4" t="s">
        <v>1701</v>
      </c>
      <c r="AK302" s="3"/>
      <c r="AL302" s="4">
        <v>141810</v>
      </c>
      <c r="AM302" s="5">
        <v>84128</v>
      </c>
      <c r="AN302" s="4" t="s">
        <v>124</v>
      </c>
      <c r="AO302" s="4">
        <v>99</v>
      </c>
      <c r="AP302" s="4">
        <v>80101507</v>
      </c>
    </row>
    <row r="303" spans="1:42" s="4" customFormat="1" x14ac:dyDescent="0.25">
      <c r="A303" s="3">
        <v>4604972</v>
      </c>
      <c r="B303" s="28">
        <v>42146</v>
      </c>
      <c r="C303" s="3" t="s">
        <v>1278</v>
      </c>
      <c r="D303" s="3">
        <v>10004807</v>
      </c>
      <c r="E303" s="4">
        <v>4534323</v>
      </c>
      <c r="F303" s="3" t="s">
        <v>49</v>
      </c>
      <c r="G303" s="4" t="s">
        <v>1385</v>
      </c>
      <c r="H303" s="4" t="s">
        <v>1386</v>
      </c>
      <c r="I303" s="5">
        <v>84859.5</v>
      </c>
      <c r="J303" s="3" t="s">
        <v>535</v>
      </c>
      <c r="K303" s="3" t="s">
        <v>1970</v>
      </c>
      <c r="L303" s="3" t="s">
        <v>196</v>
      </c>
      <c r="M303" s="4" t="s">
        <v>1971</v>
      </c>
      <c r="N303" s="3" t="s">
        <v>25</v>
      </c>
      <c r="O303" s="3"/>
      <c r="Q303" s="3"/>
      <c r="R303" s="3"/>
      <c r="Y303" s="4" t="s">
        <v>1972</v>
      </c>
      <c r="Z303" s="4" t="s">
        <v>1972</v>
      </c>
      <c r="AB303" s="3"/>
      <c r="AC303" s="3"/>
      <c r="AD303" s="3" t="s">
        <v>1813</v>
      </c>
      <c r="AE303" s="3">
        <v>1000</v>
      </c>
      <c r="AI303" s="4" t="s">
        <v>1973</v>
      </c>
      <c r="AJ303" s="4" t="s">
        <v>1973</v>
      </c>
      <c r="AK303" s="3"/>
      <c r="AL303" s="4">
        <v>49327</v>
      </c>
      <c r="AM303" s="5">
        <v>84859.5</v>
      </c>
      <c r="AN303" s="4" t="s">
        <v>124</v>
      </c>
      <c r="AO303" s="4">
        <v>99</v>
      </c>
      <c r="AP303" s="4">
        <v>43230000</v>
      </c>
    </row>
    <row r="304" spans="1:42" s="4" customFormat="1" x14ac:dyDescent="0.25">
      <c r="A304" s="3">
        <v>4604565</v>
      </c>
      <c r="B304" s="28">
        <v>41780</v>
      </c>
      <c r="C304" s="3" t="s">
        <v>1278</v>
      </c>
      <c r="D304" s="3">
        <v>10004228</v>
      </c>
      <c r="E304" s="4">
        <v>4533916</v>
      </c>
      <c r="F304" s="3" t="s">
        <v>49</v>
      </c>
      <c r="G304" s="4" t="s">
        <v>1174</v>
      </c>
      <c r="H304" s="4" t="s">
        <v>1411</v>
      </c>
      <c r="I304" s="5">
        <v>85000</v>
      </c>
      <c r="J304" s="3" t="s">
        <v>735</v>
      </c>
      <c r="K304" s="3" t="s">
        <v>223</v>
      </c>
      <c r="L304" s="3" t="s">
        <v>119</v>
      </c>
      <c r="M304" s="4" t="s">
        <v>1411</v>
      </c>
      <c r="N304" s="3" t="s">
        <v>56</v>
      </c>
      <c r="O304" s="3" t="s">
        <v>139</v>
      </c>
      <c r="P304" s="4" t="s">
        <v>282</v>
      </c>
      <c r="Q304" s="3"/>
      <c r="R304" s="3"/>
      <c r="Y304" s="4" t="s">
        <v>1344</v>
      </c>
      <c r="Z304" s="4" t="s">
        <v>1344</v>
      </c>
      <c r="AA304" s="4" t="s">
        <v>754</v>
      </c>
      <c r="AB304" s="3" t="s">
        <v>1177</v>
      </c>
      <c r="AC304" s="3" t="s">
        <v>756</v>
      </c>
      <c r="AD304" s="3" t="s">
        <v>202</v>
      </c>
      <c r="AE304" s="3">
        <v>1000</v>
      </c>
      <c r="AI304" s="4" t="s">
        <v>1346</v>
      </c>
      <c r="AJ304" s="4" t="s">
        <v>1346</v>
      </c>
      <c r="AK304" s="3" t="s">
        <v>286</v>
      </c>
      <c r="AL304" s="4">
        <v>42811</v>
      </c>
      <c r="AM304" s="5">
        <v>85000</v>
      </c>
      <c r="AN304" s="4" t="s">
        <v>124</v>
      </c>
      <c r="AO304" s="4">
        <v>99</v>
      </c>
      <c r="AP304" s="4">
        <v>84111500</v>
      </c>
    </row>
    <row r="305" spans="1:42" s="4" customFormat="1" x14ac:dyDescent="0.25">
      <c r="A305" s="3">
        <v>4604944</v>
      </c>
      <c r="B305" s="28">
        <v>42108</v>
      </c>
      <c r="C305" s="3" t="s">
        <v>1278</v>
      </c>
      <c r="D305" s="3">
        <v>10004740</v>
      </c>
      <c r="E305" s="4">
        <v>4534295</v>
      </c>
      <c r="F305" s="3" t="s">
        <v>49</v>
      </c>
      <c r="G305" s="4" t="s">
        <v>1744</v>
      </c>
      <c r="H305" s="4" t="s">
        <v>1920</v>
      </c>
      <c r="I305" s="5">
        <v>85410.7</v>
      </c>
      <c r="J305" s="3" t="s">
        <v>500</v>
      </c>
      <c r="K305" s="3" t="s">
        <v>77</v>
      </c>
      <c r="L305" s="3" t="s">
        <v>119</v>
      </c>
      <c r="M305" s="4" t="s">
        <v>1920</v>
      </c>
      <c r="N305" s="3" t="s">
        <v>56</v>
      </c>
      <c r="O305" s="3" t="s">
        <v>139</v>
      </c>
      <c r="P305" s="4" t="s">
        <v>140</v>
      </c>
      <c r="Q305" s="3"/>
      <c r="R305" s="3"/>
      <c r="Y305" s="4" t="s">
        <v>405</v>
      </c>
      <c r="Z305" s="4" t="s">
        <v>405</v>
      </c>
      <c r="AA305" s="4" t="s">
        <v>1284</v>
      </c>
      <c r="AB305" s="3" t="s">
        <v>1921</v>
      </c>
      <c r="AC305" s="3" t="s">
        <v>1286</v>
      </c>
      <c r="AD305" s="3" t="s">
        <v>353</v>
      </c>
      <c r="AE305" s="3">
        <v>1000</v>
      </c>
      <c r="AI305" s="4" t="s">
        <v>408</v>
      </c>
      <c r="AJ305" s="4" t="s">
        <v>408</v>
      </c>
      <c r="AK305" s="3" t="s">
        <v>143</v>
      </c>
      <c r="AL305" s="4">
        <v>140381</v>
      </c>
      <c r="AM305" s="5">
        <v>85410.7</v>
      </c>
      <c r="AN305" s="4" t="s">
        <v>124</v>
      </c>
      <c r="AO305" s="4">
        <v>99</v>
      </c>
      <c r="AP305" s="4">
        <v>80101507</v>
      </c>
    </row>
    <row r="306" spans="1:42" s="4" customFormat="1" x14ac:dyDescent="0.25">
      <c r="A306" s="3">
        <v>4604465</v>
      </c>
      <c r="B306" s="28">
        <v>41816</v>
      </c>
      <c r="C306" s="3" t="s">
        <v>2073</v>
      </c>
      <c r="D306" s="3">
        <v>10004258</v>
      </c>
      <c r="E306" s="4">
        <v>4533816</v>
      </c>
      <c r="F306" s="3" t="s">
        <v>49</v>
      </c>
      <c r="G306" s="4" t="s">
        <v>174</v>
      </c>
      <c r="H306" s="4" t="s">
        <v>1317</v>
      </c>
      <c r="I306" s="5">
        <v>86153.7</v>
      </c>
      <c r="J306" s="3" t="s">
        <v>2074</v>
      </c>
      <c r="K306" s="3" t="s">
        <v>187</v>
      </c>
      <c r="L306" s="3" t="s">
        <v>119</v>
      </c>
      <c r="M306" s="4" t="s">
        <v>2075</v>
      </c>
      <c r="N306" s="3" t="s">
        <v>56</v>
      </c>
      <c r="O306" s="3"/>
      <c r="Q306" s="3"/>
      <c r="R306" s="3"/>
      <c r="Y306" s="4" t="s">
        <v>178</v>
      </c>
      <c r="Z306" s="4" t="s">
        <v>179</v>
      </c>
      <c r="AA306" s="4" t="s">
        <v>188</v>
      </c>
      <c r="AB306" s="3" t="s">
        <v>401</v>
      </c>
      <c r="AC306" s="3" t="s">
        <v>190</v>
      </c>
      <c r="AD306" s="3" t="s">
        <v>400</v>
      </c>
      <c r="AE306" s="3">
        <v>5000</v>
      </c>
      <c r="AI306" s="4" t="s">
        <v>181</v>
      </c>
      <c r="AJ306" s="4" t="s">
        <v>182</v>
      </c>
      <c r="AK306" s="3"/>
      <c r="AL306" s="4">
        <v>40476</v>
      </c>
      <c r="AM306" s="5">
        <v>86153.7</v>
      </c>
      <c r="AN306" s="4" t="s">
        <v>31</v>
      </c>
      <c r="AO306" s="4">
        <v>97</v>
      </c>
      <c r="AP306" s="4">
        <v>80111600</v>
      </c>
    </row>
    <row r="307" spans="1:42" s="4" customFormat="1" x14ac:dyDescent="0.25">
      <c r="A307" s="3">
        <v>4603770</v>
      </c>
      <c r="B307" s="28">
        <v>41456</v>
      </c>
      <c r="C307" s="3" t="s">
        <v>2273</v>
      </c>
      <c r="D307" s="3">
        <v>10003614</v>
      </c>
      <c r="E307" s="4">
        <v>4533121</v>
      </c>
      <c r="F307" s="3" t="s">
        <v>49</v>
      </c>
      <c r="G307" s="4" t="s">
        <v>2317</v>
      </c>
      <c r="H307" s="4" t="s">
        <v>2318</v>
      </c>
      <c r="I307" s="5">
        <v>86900</v>
      </c>
      <c r="J307" s="3" t="s">
        <v>631</v>
      </c>
      <c r="K307" s="3" t="s">
        <v>77</v>
      </c>
      <c r="L307" s="3" t="s">
        <v>196</v>
      </c>
      <c r="M307" s="4" t="s">
        <v>2318</v>
      </c>
      <c r="N307" s="3" t="s">
        <v>25</v>
      </c>
      <c r="O307" s="3"/>
      <c r="Q307" s="3"/>
      <c r="R307" s="3"/>
      <c r="Y307" s="4" t="s">
        <v>2277</v>
      </c>
      <c r="Z307" s="4" t="s">
        <v>2293</v>
      </c>
      <c r="AB307" s="3"/>
      <c r="AC307" s="3"/>
      <c r="AD307" s="3" t="s">
        <v>2319</v>
      </c>
      <c r="AE307" s="3">
        <v>1000</v>
      </c>
      <c r="AI307" s="4" t="s">
        <v>2281</v>
      </c>
      <c r="AJ307" s="4" t="s">
        <v>2298</v>
      </c>
      <c r="AK307" s="3"/>
      <c r="AL307" s="4">
        <v>40714</v>
      </c>
      <c r="AM307" s="5">
        <v>86900</v>
      </c>
      <c r="AN307" s="4" t="s">
        <v>124</v>
      </c>
      <c r="AO307" s="4">
        <v>99</v>
      </c>
      <c r="AP307" s="4">
        <v>55110000</v>
      </c>
    </row>
    <row r="308" spans="1:42" s="4" customFormat="1" x14ac:dyDescent="0.25">
      <c r="A308" s="3">
        <v>4603856</v>
      </c>
      <c r="B308" s="28">
        <v>41452</v>
      </c>
      <c r="C308" s="3" t="s">
        <v>1042</v>
      </c>
      <c r="D308" s="3">
        <v>10003662</v>
      </c>
      <c r="E308" s="4">
        <v>4533207</v>
      </c>
      <c r="F308" s="3" t="s">
        <v>49</v>
      </c>
      <c r="G308" s="4" t="s">
        <v>1203</v>
      </c>
      <c r="H308" s="4" t="s">
        <v>1204</v>
      </c>
      <c r="I308" s="5">
        <v>90151.6</v>
      </c>
      <c r="J308" s="3" t="s">
        <v>631</v>
      </c>
      <c r="K308" s="3" t="s">
        <v>575</v>
      </c>
      <c r="L308" s="3" t="s">
        <v>196</v>
      </c>
      <c r="M308" s="4" t="s">
        <v>1204</v>
      </c>
      <c r="N308" s="3" t="s">
        <v>25</v>
      </c>
      <c r="O308" s="3" t="s">
        <v>139</v>
      </c>
      <c r="P308" s="4" t="s">
        <v>282</v>
      </c>
      <c r="Q308" s="3"/>
      <c r="R308" s="3"/>
      <c r="Y308" s="4" t="s">
        <v>1200</v>
      </c>
      <c r="Z308" s="4" t="s">
        <v>1200</v>
      </c>
      <c r="AA308" s="4" t="s">
        <v>1205</v>
      </c>
      <c r="AB308" s="3"/>
      <c r="AC308" s="3"/>
      <c r="AD308" s="3" t="s">
        <v>634</v>
      </c>
      <c r="AE308" s="3">
        <v>1000</v>
      </c>
      <c r="AI308" s="4" t="s">
        <v>1202</v>
      </c>
      <c r="AJ308" s="4" t="s">
        <v>1202</v>
      </c>
      <c r="AK308" s="3" t="s">
        <v>286</v>
      </c>
      <c r="AL308" s="4">
        <v>49532</v>
      </c>
      <c r="AM308" s="5">
        <v>90151.6</v>
      </c>
      <c r="AN308" s="4" t="s">
        <v>124</v>
      </c>
      <c r="AO308" s="4">
        <v>99</v>
      </c>
      <c r="AP308" s="4">
        <v>84111600</v>
      </c>
    </row>
    <row r="309" spans="1:42" s="4" customFormat="1" x14ac:dyDescent="0.25">
      <c r="A309" s="3">
        <v>4604895</v>
      </c>
      <c r="B309" s="28">
        <v>42062</v>
      </c>
      <c r="C309" s="3" t="s">
        <v>1278</v>
      </c>
      <c r="D309" s="3">
        <v>10004671</v>
      </c>
      <c r="E309" s="4">
        <v>4534246</v>
      </c>
      <c r="F309" s="3" t="s">
        <v>49</v>
      </c>
      <c r="G309" s="4" t="s">
        <v>1884</v>
      </c>
      <c r="H309" s="4" t="s">
        <v>1885</v>
      </c>
      <c r="I309" s="5">
        <v>90200</v>
      </c>
      <c r="J309" s="3" t="s">
        <v>480</v>
      </c>
      <c r="K309" s="3" t="s">
        <v>498</v>
      </c>
      <c r="L309" s="3" t="s">
        <v>119</v>
      </c>
      <c r="M309" s="4" t="s">
        <v>1885</v>
      </c>
      <c r="N309" s="3" t="s">
        <v>56</v>
      </c>
      <c r="O309" s="3"/>
      <c r="Q309" s="3"/>
      <c r="R309" s="3"/>
      <c r="Y309" s="4" t="s">
        <v>1539</v>
      </c>
      <c r="Z309" s="4" t="s">
        <v>1886</v>
      </c>
      <c r="AA309" s="4" t="s">
        <v>412</v>
      </c>
      <c r="AB309" s="3" t="s">
        <v>412</v>
      </c>
      <c r="AC309" s="3" t="s">
        <v>414</v>
      </c>
      <c r="AD309" s="3" t="s">
        <v>1887</v>
      </c>
      <c r="AE309" s="3">
        <v>1000</v>
      </c>
      <c r="AI309" s="4" t="s">
        <v>1540</v>
      </c>
      <c r="AJ309" s="4" t="s">
        <v>1888</v>
      </c>
      <c r="AK309" s="3"/>
      <c r="AL309" s="4">
        <v>141801</v>
      </c>
      <c r="AM309" s="5">
        <v>90200</v>
      </c>
      <c r="AN309" s="4" t="s">
        <v>124</v>
      </c>
      <c r="AO309" s="4">
        <v>99</v>
      </c>
      <c r="AP309" s="4">
        <v>80101507</v>
      </c>
    </row>
    <row r="310" spans="1:42" s="4" customFormat="1" x14ac:dyDescent="0.25">
      <c r="A310" s="3">
        <v>4604762</v>
      </c>
      <c r="B310" s="28">
        <v>41844</v>
      </c>
      <c r="C310" s="3" t="s">
        <v>2158</v>
      </c>
      <c r="D310" s="3">
        <v>10004433</v>
      </c>
      <c r="E310" s="4">
        <v>4534113</v>
      </c>
      <c r="F310" s="3" t="s">
        <v>49</v>
      </c>
      <c r="G310" s="4" t="s">
        <v>2225</v>
      </c>
      <c r="H310" s="4" t="s">
        <v>2219</v>
      </c>
      <c r="I310" s="5">
        <v>90599.34</v>
      </c>
      <c r="J310" s="3" t="s">
        <v>259</v>
      </c>
      <c r="K310" s="3" t="s">
        <v>910</v>
      </c>
      <c r="L310" s="3" t="s">
        <v>196</v>
      </c>
      <c r="M310" s="4" t="s">
        <v>2213</v>
      </c>
      <c r="N310" s="3" t="s">
        <v>25</v>
      </c>
      <c r="O310" s="3" t="s">
        <v>139</v>
      </c>
      <c r="P310" s="4" t="s">
        <v>282</v>
      </c>
      <c r="Q310" s="3"/>
      <c r="R310" s="3"/>
      <c r="U310" s="4" t="s">
        <v>139</v>
      </c>
      <c r="V310" s="4" t="s">
        <v>119</v>
      </c>
      <c r="W310" s="4" t="s">
        <v>217</v>
      </c>
      <c r="X310" s="4" t="s">
        <v>2226</v>
      </c>
      <c r="Y310" s="4" t="s">
        <v>2223</v>
      </c>
      <c r="Z310" s="4" t="s">
        <v>2223</v>
      </c>
      <c r="AB310" s="3"/>
      <c r="AC310" s="3"/>
      <c r="AD310" s="3" t="s">
        <v>932</v>
      </c>
      <c r="AE310" s="3">
        <v>1000</v>
      </c>
      <c r="AI310" s="4" t="s">
        <v>2224</v>
      </c>
      <c r="AJ310" s="4" t="s">
        <v>2224</v>
      </c>
      <c r="AK310" s="3" t="s">
        <v>286</v>
      </c>
      <c r="AL310" s="4">
        <v>141815</v>
      </c>
      <c r="AM310" s="5">
        <v>90599.34</v>
      </c>
      <c r="AN310" s="4" t="s">
        <v>124</v>
      </c>
      <c r="AO310" s="4">
        <v>99</v>
      </c>
    </row>
    <row r="311" spans="1:42" s="4" customFormat="1" x14ac:dyDescent="0.25">
      <c r="A311" s="3">
        <v>4604258</v>
      </c>
      <c r="B311" s="28">
        <v>41548</v>
      </c>
      <c r="C311" s="3" t="s">
        <v>1042</v>
      </c>
      <c r="D311" s="3">
        <v>10004019</v>
      </c>
      <c r="E311" s="4">
        <v>4533609</v>
      </c>
      <c r="F311" s="3" t="s">
        <v>49</v>
      </c>
      <c r="G311" s="4" t="s">
        <v>1261</v>
      </c>
      <c r="H311" s="4" t="s">
        <v>1262</v>
      </c>
      <c r="I311" s="5">
        <v>91682.2</v>
      </c>
      <c r="J311" s="3" t="s">
        <v>1263</v>
      </c>
      <c r="K311" s="3" t="s">
        <v>1264</v>
      </c>
      <c r="L311" s="3" t="s">
        <v>119</v>
      </c>
      <c r="M311" s="4" t="s">
        <v>1262</v>
      </c>
      <c r="N311" s="3" t="s">
        <v>25</v>
      </c>
      <c r="O311" s="3"/>
      <c r="Q311" s="3"/>
      <c r="R311" s="3"/>
      <c r="Y311" s="4" t="s">
        <v>267</v>
      </c>
      <c r="Z311" s="4" t="s">
        <v>267</v>
      </c>
      <c r="AA311" s="4" t="s">
        <v>1265</v>
      </c>
      <c r="AB311" s="3"/>
      <c r="AC311" s="3"/>
      <c r="AD311" s="3" t="s">
        <v>304</v>
      </c>
      <c r="AE311" s="3">
        <v>1000</v>
      </c>
      <c r="AI311" s="4" t="s">
        <v>270</v>
      </c>
      <c r="AJ311" s="4" t="s">
        <v>270</v>
      </c>
      <c r="AK311" s="3"/>
      <c r="AL311" s="4">
        <v>43889</v>
      </c>
      <c r="AM311" s="5">
        <v>91682.2</v>
      </c>
      <c r="AN311" s="4" t="s">
        <v>124</v>
      </c>
      <c r="AO311" s="4">
        <v>98</v>
      </c>
      <c r="AP311" s="4">
        <v>80111700</v>
      </c>
    </row>
    <row r="312" spans="1:42" s="4" customFormat="1" x14ac:dyDescent="0.25">
      <c r="A312" s="3">
        <v>4604793</v>
      </c>
      <c r="B312" s="28">
        <v>41963</v>
      </c>
      <c r="C312" s="3" t="s">
        <v>392</v>
      </c>
      <c r="D312" s="3">
        <v>10004580</v>
      </c>
      <c r="E312" s="4">
        <v>4534144</v>
      </c>
      <c r="F312" s="3" t="s">
        <v>49</v>
      </c>
      <c r="G312" s="4" t="s">
        <v>417</v>
      </c>
      <c r="H312" s="4" t="s">
        <v>418</v>
      </c>
      <c r="I312" s="5">
        <v>97750</v>
      </c>
      <c r="J312" s="3" t="s">
        <v>416</v>
      </c>
      <c r="K312" s="3" t="s">
        <v>419</v>
      </c>
      <c r="L312" s="3" t="s">
        <v>196</v>
      </c>
      <c r="M312" s="4" t="s">
        <v>418</v>
      </c>
      <c r="N312" s="3" t="s">
        <v>25</v>
      </c>
      <c r="O312" s="3"/>
      <c r="Q312" s="3"/>
      <c r="R312" s="3"/>
      <c r="Y312" s="4" t="s">
        <v>420</v>
      </c>
      <c r="Z312" s="4" t="s">
        <v>420</v>
      </c>
      <c r="AA312" s="4" t="s">
        <v>421</v>
      </c>
      <c r="AB312" s="3"/>
      <c r="AC312" s="3"/>
      <c r="AD312" s="3" t="s">
        <v>422</v>
      </c>
      <c r="AE312" s="3">
        <v>1000</v>
      </c>
      <c r="AI312" s="4" t="s">
        <v>423</v>
      </c>
      <c r="AJ312" s="4" t="s">
        <v>423</v>
      </c>
      <c r="AK312" s="3"/>
      <c r="AL312" s="4">
        <v>141838</v>
      </c>
      <c r="AM312" s="5">
        <v>97750</v>
      </c>
      <c r="AN312" s="4" t="s">
        <v>124</v>
      </c>
      <c r="AO312" s="4">
        <v>98</v>
      </c>
      <c r="AP312" s="4">
        <v>81121500</v>
      </c>
    </row>
    <row r="313" spans="1:42" s="4" customFormat="1" x14ac:dyDescent="0.25">
      <c r="A313" s="3">
        <v>4604813</v>
      </c>
      <c r="B313" s="28">
        <v>41989</v>
      </c>
      <c r="C313" s="3" t="s">
        <v>1278</v>
      </c>
      <c r="D313" s="3">
        <v>10004602</v>
      </c>
      <c r="E313" s="4">
        <v>4534164</v>
      </c>
      <c r="F313" s="3" t="s">
        <v>49</v>
      </c>
      <c r="G313" s="4" t="s">
        <v>1053</v>
      </c>
      <c r="H313" s="4" t="s">
        <v>1767</v>
      </c>
      <c r="I313" s="5">
        <v>98230</v>
      </c>
      <c r="J313" s="3" t="s">
        <v>437</v>
      </c>
      <c r="K313" s="3" t="s">
        <v>498</v>
      </c>
      <c r="L313" s="3" t="s">
        <v>119</v>
      </c>
      <c r="M313" s="4" t="s">
        <v>1768</v>
      </c>
      <c r="N313" s="3" t="s">
        <v>56</v>
      </c>
      <c r="O313" s="3"/>
      <c r="Q313" s="3"/>
      <c r="R313" s="3"/>
      <c r="Y313" s="4" t="s">
        <v>1056</v>
      </c>
      <c r="Z313" s="4" t="s">
        <v>1056</v>
      </c>
      <c r="AA313" s="4" t="s">
        <v>1057</v>
      </c>
      <c r="AB313" s="3" t="s">
        <v>1057</v>
      </c>
      <c r="AC313" s="3" t="s">
        <v>1340</v>
      </c>
      <c r="AD313" s="3" t="s">
        <v>369</v>
      </c>
      <c r="AE313" s="3">
        <v>1000</v>
      </c>
      <c r="AI313" s="4" t="s">
        <v>1058</v>
      </c>
      <c r="AJ313" s="4" t="s">
        <v>1058</v>
      </c>
      <c r="AK313" s="3"/>
      <c r="AL313" s="4">
        <v>140248</v>
      </c>
      <c r="AM313" s="5">
        <v>98230</v>
      </c>
      <c r="AN313" s="4" t="s">
        <v>124</v>
      </c>
      <c r="AO313" s="4">
        <v>99</v>
      </c>
      <c r="AP313" s="4">
        <v>43210000</v>
      </c>
    </row>
    <row r="314" spans="1:42" s="4" customFormat="1" x14ac:dyDescent="0.25">
      <c r="A314" s="3">
        <v>4604325</v>
      </c>
      <c r="B314" s="28">
        <v>41640</v>
      </c>
      <c r="C314" s="3" t="s">
        <v>1278</v>
      </c>
      <c r="D314" s="3">
        <v>10004095</v>
      </c>
      <c r="E314" s="4">
        <v>4533676</v>
      </c>
      <c r="F314" s="3" t="s">
        <v>49</v>
      </c>
      <c r="G314" s="4" t="s">
        <v>1288</v>
      </c>
      <c r="H314" s="4" t="s">
        <v>1289</v>
      </c>
      <c r="I314" s="5">
        <v>99975.27</v>
      </c>
      <c r="J314" s="3" t="s">
        <v>230</v>
      </c>
      <c r="K314" s="3" t="s">
        <v>807</v>
      </c>
      <c r="L314" s="3" t="s">
        <v>196</v>
      </c>
      <c r="M314" s="4" t="s">
        <v>1290</v>
      </c>
      <c r="N314" s="3" t="s">
        <v>25</v>
      </c>
      <c r="O314" s="3"/>
      <c r="Q314" s="3"/>
      <c r="R314" s="3"/>
      <c r="Y314" s="4" t="s">
        <v>1048</v>
      </c>
      <c r="Z314" s="4" t="s">
        <v>1048</v>
      </c>
      <c r="AB314" s="3"/>
      <c r="AC314" s="3"/>
      <c r="AD314" s="3" t="s">
        <v>1291</v>
      </c>
      <c r="AE314" s="3">
        <v>1000</v>
      </c>
      <c r="AI314" s="4" t="s">
        <v>1051</v>
      </c>
      <c r="AJ314" s="4" t="s">
        <v>1051</v>
      </c>
      <c r="AK314" s="3"/>
      <c r="AL314" s="4">
        <v>40217</v>
      </c>
      <c r="AM314" s="5">
        <v>99975.27</v>
      </c>
      <c r="AN314" s="4" t="s">
        <v>124</v>
      </c>
      <c r="AO314" s="4">
        <v>99</v>
      </c>
      <c r="AP314" s="4">
        <v>81112200</v>
      </c>
    </row>
    <row r="315" spans="1:42" s="4" customFormat="1" x14ac:dyDescent="0.25">
      <c r="A315" s="3">
        <v>4604883</v>
      </c>
      <c r="B315" s="28">
        <v>42079</v>
      </c>
      <c r="C315" s="3" t="s">
        <v>1278</v>
      </c>
      <c r="D315" s="3">
        <v>10004695</v>
      </c>
      <c r="E315" s="4">
        <v>4534234</v>
      </c>
      <c r="F315" s="3" t="s">
        <v>49</v>
      </c>
      <c r="G315" s="4" t="s">
        <v>1288</v>
      </c>
      <c r="H315" s="4" t="s">
        <v>1860</v>
      </c>
      <c r="I315" s="5">
        <v>99975.27</v>
      </c>
      <c r="J315" s="3" t="s">
        <v>1861</v>
      </c>
      <c r="K315" s="3" t="s">
        <v>1862</v>
      </c>
      <c r="L315" s="3" t="s">
        <v>196</v>
      </c>
      <c r="M315" s="4" t="s">
        <v>1860</v>
      </c>
      <c r="N315" s="3" t="s">
        <v>25</v>
      </c>
      <c r="O315" s="3"/>
      <c r="Q315" s="3"/>
      <c r="R315" s="3"/>
      <c r="Y315" s="4" t="s">
        <v>1047</v>
      </c>
      <c r="Z315" s="4" t="s">
        <v>1047</v>
      </c>
      <c r="AB315" s="3"/>
      <c r="AC315" s="3"/>
      <c r="AD315" s="3" t="s">
        <v>901</v>
      </c>
      <c r="AE315" s="3">
        <v>1000</v>
      </c>
      <c r="AI315" s="4" t="s">
        <v>1050</v>
      </c>
      <c r="AJ315" s="4" t="s">
        <v>1050</v>
      </c>
      <c r="AK315" s="3"/>
      <c r="AL315" s="4">
        <v>40217</v>
      </c>
      <c r="AM315" s="5">
        <v>99975.27</v>
      </c>
      <c r="AN315" s="4" t="s">
        <v>124</v>
      </c>
      <c r="AO315" s="4">
        <v>99</v>
      </c>
      <c r="AP315" s="4">
        <v>81112200</v>
      </c>
    </row>
    <row r="316" spans="1:42" s="4" customFormat="1" x14ac:dyDescent="0.25">
      <c r="A316" s="3">
        <v>4604782</v>
      </c>
      <c r="B316" s="28">
        <v>41928</v>
      </c>
      <c r="C316" s="3" t="s">
        <v>2342</v>
      </c>
      <c r="D316" s="3">
        <v>10004581</v>
      </c>
      <c r="E316" s="4">
        <v>4534133</v>
      </c>
      <c r="F316" s="3" t="s">
        <v>49</v>
      </c>
      <c r="G316" s="4" t="s">
        <v>2391</v>
      </c>
      <c r="H316" s="4" t="s">
        <v>2301</v>
      </c>
      <c r="I316" s="5">
        <v>100000</v>
      </c>
      <c r="J316" s="3" t="s">
        <v>832</v>
      </c>
      <c r="K316" s="3" t="s">
        <v>77</v>
      </c>
      <c r="L316" s="3" t="s">
        <v>1046</v>
      </c>
      <c r="M316" s="4" t="s">
        <v>2392</v>
      </c>
      <c r="N316" s="3" t="s">
        <v>25</v>
      </c>
      <c r="O316" s="3" t="s">
        <v>139</v>
      </c>
      <c r="P316" s="4" t="s">
        <v>282</v>
      </c>
      <c r="Q316" s="3" t="s">
        <v>139</v>
      </c>
      <c r="R316" s="3" t="s">
        <v>427</v>
      </c>
      <c r="S316" s="4" t="s">
        <v>428</v>
      </c>
      <c r="U316" s="4" t="s">
        <v>139</v>
      </c>
      <c r="V316" s="4" t="s">
        <v>427</v>
      </c>
      <c r="W316" s="4" t="s">
        <v>428</v>
      </c>
      <c r="Y316" s="4" t="s">
        <v>2386</v>
      </c>
      <c r="Z316" s="4" t="s">
        <v>2386</v>
      </c>
      <c r="AB316" s="3"/>
      <c r="AC316" s="3"/>
      <c r="AD316" s="3" t="s">
        <v>2378</v>
      </c>
      <c r="AE316" s="3">
        <v>1000</v>
      </c>
      <c r="AI316" s="4" t="s">
        <v>2387</v>
      </c>
      <c r="AJ316" s="4" t="s">
        <v>2387</v>
      </c>
      <c r="AK316" s="3" t="s">
        <v>286</v>
      </c>
      <c r="AL316" s="4">
        <v>49172</v>
      </c>
      <c r="AM316" s="5">
        <v>100000</v>
      </c>
      <c r="AN316" s="4" t="s">
        <v>2282</v>
      </c>
      <c r="AO316" s="4">
        <v>99</v>
      </c>
      <c r="AP316" s="4">
        <v>80120000</v>
      </c>
    </row>
    <row r="317" spans="1:42" s="4" customFormat="1" x14ac:dyDescent="0.25">
      <c r="A317" s="3">
        <v>4604486</v>
      </c>
      <c r="B317" s="28">
        <v>41780</v>
      </c>
      <c r="C317" s="3" t="s">
        <v>2158</v>
      </c>
      <c r="D317" s="3">
        <v>10004278</v>
      </c>
      <c r="E317" s="4">
        <v>4533837</v>
      </c>
      <c r="F317" s="3" t="s">
        <v>49</v>
      </c>
      <c r="G317" s="4" t="s">
        <v>470</v>
      </c>
      <c r="H317" s="4" t="s">
        <v>2204</v>
      </c>
      <c r="I317" s="5">
        <v>100015</v>
      </c>
      <c r="J317" s="3" t="s">
        <v>1410</v>
      </c>
      <c r="K317" s="3" t="s">
        <v>997</v>
      </c>
      <c r="L317" s="3" t="s">
        <v>119</v>
      </c>
      <c r="M317" s="4" t="s">
        <v>2204</v>
      </c>
      <c r="N317" s="3" t="s">
        <v>56</v>
      </c>
      <c r="O317" s="3" t="s">
        <v>139</v>
      </c>
      <c r="P317" s="4" t="s">
        <v>282</v>
      </c>
      <c r="Q317" s="3"/>
      <c r="R317" s="3"/>
      <c r="Y317" s="4" t="s">
        <v>307</v>
      </c>
      <c r="Z317" s="4" t="s">
        <v>307</v>
      </c>
      <c r="AA317" s="4" t="s">
        <v>356</v>
      </c>
      <c r="AB317" s="3" t="s">
        <v>473</v>
      </c>
      <c r="AC317" s="3" t="s">
        <v>358</v>
      </c>
      <c r="AD317" s="3" t="s">
        <v>385</v>
      </c>
      <c r="AE317" s="3">
        <v>1000</v>
      </c>
      <c r="AI317" s="4" t="s">
        <v>309</v>
      </c>
      <c r="AJ317" s="4" t="s">
        <v>309</v>
      </c>
      <c r="AK317" s="3" t="s">
        <v>286</v>
      </c>
      <c r="AL317" s="4">
        <v>41344</v>
      </c>
      <c r="AM317" s="5">
        <v>100015</v>
      </c>
      <c r="AN317" s="4" t="s">
        <v>124</v>
      </c>
      <c r="AO317" s="4">
        <v>98</v>
      </c>
      <c r="AP317" s="4">
        <v>80100000</v>
      </c>
    </row>
    <row r="318" spans="1:42" s="4" customFormat="1" x14ac:dyDescent="0.25">
      <c r="A318" s="3">
        <v>4604901</v>
      </c>
      <c r="B318" s="28">
        <v>42075</v>
      </c>
      <c r="C318" s="3" t="s">
        <v>2342</v>
      </c>
      <c r="D318" s="3">
        <v>10004720</v>
      </c>
      <c r="E318" s="4">
        <v>4534252</v>
      </c>
      <c r="F318" s="3" t="s">
        <v>49</v>
      </c>
      <c r="G318" s="4" t="s">
        <v>2364</v>
      </c>
      <c r="H318" s="4" t="s">
        <v>2301</v>
      </c>
      <c r="I318" s="5">
        <v>101000</v>
      </c>
      <c r="J318" s="3" t="s">
        <v>486</v>
      </c>
      <c r="K318" s="3" t="s">
        <v>77</v>
      </c>
      <c r="L318" s="3" t="s">
        <v>1046</v>
      </c>
      <c r="M318" s="4" t="s">
        <v>2401</v>
      </c>
      <c r="N318" s="3" t="s">
        <v>25</v>
      </c>
      <c r="O318" s="3" t="s">
        <v>139</v>
      </c>
      <c r="P318" s="4" t="s">
        <v>282</v>
      </c>
      <c r="Q318" s="3" t="s">
        <v>139</v>
      </c>
      <c r="R318" s="3" t="s">
        <v>427</v>
      </c>
      <c r="S318" s="4" t="s">
        <v>428</v>
      </c>
      <c r="U318" s="4" t="s">
        <v>139</v>
      </c>
      <c r="V318" s="4" t="s">
        <v>427</v>
      </c>
      <c r="W318" s="4" t="s">
        <v>428</v>
      </c>
      <c r="Y318" s="4" t="s">
        <v>2402</v>
      </c>
      <c r="Z318" s="4" t="s">
        <v>2386</v>
      </c>
      <c r="AB318" s="3"/>
      <c r="AC318" s="3"/>
      <c r="AD318" s="3" t="s">
        <v>534</v>
      </c>
      <c r="AE318" s="3">
        <v>1000</v>
      </c>
      <c r="AI318" s="4" t="s">
        <v>2403</v>
      </c>
      <c r="AJ318" s="4" t="s">
        <v>2387</v>
      </c>
      <c r="AK318" s="3" t="s">
        <v>286</v>
      </c>
      <c r="AL318" s="4">
        <v>141746</v>
      </c>
      <c r="AM318" s="5">
        <v>101000</v>
      </c>
      <c r="AN318" s="4" t="s">
        <v>2282</v>
      </c>
      <c r="AO318" s="4">
        <v>99</v>
      </c>
      <c r="AP318" s="4">
        <v>80120000</v>
      </c>
    </row>
    <row r="319" spans="1:42" s="4" customFormat="1" x14ac:dyDescent="0.25">
      <c r="A319" s="3">
        <v>4604876</v>
      </c>
      <c r="B319" s="28">
        <v>42076</v>
      </c>
      <c r="C319" s="3" t="s">
        <v>392</v>
      </c>
      <c r="D319" s="3">
        <v>10004693</v>
      </c>
      <c r="E319" s="4">
        <v>4534227</v>
      </c>
      <c r="F319" s="3" t="s">
        <v>49</v>
      </c>
      <c r="G319" s="4" t="s">
        <v>463</v>
      </c>
      <c r="H319" s="4" t="s">
        <v>491</v>
      </c>
      <c r="I319" s="5">
        <v>101640</v>
      </c>
      <c r="J319" s="3" t="s">
        <v>477</v>
      </c>
      <c r="K319" s="3" t="s">
        <v>492</v>
      </c>
      <c r="L319" s="3" t="s">
        <v>196</v>
      </c>
      <c r="M319" s="4" t="s">
        <v>491</v>
      </c>
      <c r="N319" s="3" t="s">
        <v>25</v>
      </c>
      <c r="O319" s="3"/>
      <c r="Q319" s="3"/>
      <c r="R319" s="3"/>
      <c r="Y319" s="4" t="s">
        <v>466</v>
      </c>
      <c r="Z319" s="4" t="s">
        <v>466</v>
      </c>
      <c r="AA319" s="4" t="s">
        <v>493</v>
      </c>
      <c r="AB319" s="3"/>
      <c r="AC319" s="3"/>
      <c r="AD319" s="3" t="s">
        <v>486</v>
      </c>
      <c r="AE319" s="3">
        <v>1000</v>
      </c>
      <c r="AI319" s="4" t="s">
        <v>468</v>
      </c>
      <c r="AJ319" s="4" t="s">
        <v>468</v>
      </c>
      <c r="AK319" s="3"/>
      <c r="AL319" s="4">
        <v>141859</v>
      </c>
      <c r="AM319" s="5">
        <v>101640</v>
      </c>
      <c r="AN319" s="4" t="s">
        <v>124</v>
      </c>
      <c r="AO319" s="4">
        <v>99</v>
      </c>
      <c r="AP319" s="4">
        <v>43230000</v>
      </c>
    </row>
    <row r="320" spans="1:42" s="4" customFormat="1" x14ac:dyDescent="0.25">
      <c r="A320" s="3">
        <v>4604942</v>
      </c>
      <c r="B320" s="28">
        <v>42114</v>
      </c>
      <c r="C320" s="3" t="s">
        <v>1278</v>
      </c>
      <c r="D320" s="3">
        <v>10004759</v>
      </c>
      <c r="E320" s="4">
        <v>4534293</v>
      </c>
      <c r="F320" s="3" t="s">
        <v>49</v>
      </c>
      <c r="G320" s="4" t="s">
        <v>1918</v>
      </c>
      <c r="H320" s="4" t="s">
        <v>1919</v>
      </c>
      <c r="I320" s="5">
        <v>105050</v>
      </c>
      <c r="J320" s="3" t="s">
        <v>513</v>
      </c>
      <c r="K320" s="3" t="s">
        <v>77</v>
      </c>
      <c r="L320" s="3" t="s">
        <v>196</v>
      </c>
      <c r="M320" s="4" t="s">
        <v>1919</v>
      </c>
      <c r="N320" s="3" t="s">
        <v>25</v>
      </c>
      <c r="O320" s="3"/>
      <c r="Q320" s="3"/>
      <c r="R320" s="3"/>
      <c r="Y320" s="4" t="s">
        <v>179</v>
      </c>
      <c r="Z320" s="4" t="s">
        <v>179</v>
      </c>
      <c r="AB320" s="3"/>
      <c r="AC320" s="3"/>
      <c r="AD320" s="3" t="s">
        <v>287</v>
      </c>
      <c r="AE320" s="3">
        <v>1000</v>
      </c>
      <c r="AI320" s="4" t="s">
        <v>182</v>
      </c>
      <c r="AJ320" s="4" t="s">
        <v>182</v>
      </c>
      <c r="AK320" s="3"/>
      <c r="AL320" s="4">
        <v>141891</v>
      </c>
      <c r="AM320" s="5">
        <v>105050</v>
      </c>
      <c r="AN320" s="4" t="s">
        <v>124</v>
      </c>
      <c r="AO320" s="4">
        <v>98</v>
      </c>
      <c r="AP320" s="4">
        <v>80101504</v>
      </c>
    </row>
    <row r="321" spans="1:42" s="4" customFormat="1" x14ac:dyDescent="0.25">
      <c r="A321" s="3">
        <v>4604697</v>
      </c>
      <c r="B321" s="28">
        <v>41879</v>
      </c>
      <c r="C321" s="3" t="s">
        <v>560</v>
      </c>
      <c r="D321" s="3">
        <v>10004478</v>
      </c>
      <c r="E321" s="4">
        <v>4534048</v>
      </c>
      <c r="F321" s="3" t="s">
        <v>49</v>
      </c>
      <c r="G321" s="4" t="s">
        <v>546</v>
      </c>
      <c r="H321" s="4" t="s">
        <v>788</v>
      </c>
      <c r="I321" s="5">
        <v>106057</v>
      </c>
      <c r="J321" s="3" t="s">
        <v>787</v>
      </c>
      <c r="K321" s="3" t="s">
        <v>395</v>
      </c>
      <c r="L321" s="3" t="s">
        <v>119</v>
      </c>
      <c r="M321" s="4" t="s">
        <v>788</v>
      </c>
      <c r="N321" s="3" t="s">
        <v>56</v>
      </c>
      <c r="O321" s="3" t="s">
        <v>139</v>
      </c>
      <c r="P321" s="4" t="s">
        <v>282</v>
      </c>
      <c r="Q321" s="3" t="s">
        <v>139</v>
      </c>
      <c r="R321" s="3" t="s">
        <v>119</v>
      </c>
      <c r="S321" s="4" t="s">
        <v>217</v>
      </c>
      <c r="T321" s="4" t="s">
        <v>789</v>
      </c>
      <c r="U321" s="4" t="s">
        <v>139</v>
      </c>
      <c r="V321" s="4" t="s">
        <v>119</v>
      </c>
      <c r="W321" s="4" t="s">
        <v>217</v>
      </c>
      <c r="X321" s="4" t="s">
        <v>789</v>
      </c>
      <c r="Y321" s="4" t="s">
        <v>790</v>
      </c>
      <c r="Z321" s="4" t="s">
        <v>790</v>
      </c>
      <c r="AA321" s="4" t="s">
        <v>356</v>
      </c>
      <c r="AB321" s="3" t="s">
        <v>551</v>
      </c>
      <c r="AC321" s="3" t="s">
        <v>358</v>
      </c>
      <c r="AD321" s="3" t="s">
        <v>452</v>
      </c>
      <c r="AE321" s="3">
        <v>1000</v>
      </c>
      <c r="AI321" s="4" t="s">
        <v>791</v>
      </c>
      <c r="AJ321" s="4" t="s">
        <v>791</v>
      </c>
      <c r="AK321" s="3" t="s">
        <v>286</v>
      </c>
      <c r="AL321" s="4">
        <v>140499</v>
      </c>
      <c r="AM321" s="5">
        <v>106057</v>
      </c>
      <c r="AN321" s="4" t="s">
        <v>124</v>
      </c>
      <c r="AO321" s="4">
        <v>99</v>
      </c>
      <c r="AP321" s="4">
        <v>80100000</v>
      </c>
    </row>
    <row r="322" spans="1:42" s="4" customFormat="1" x14ac:dyDescent="0.25">
      <c r="A322" s="3">
        <v>4605022</v>
      </c>
      <c r="B322" s="28">
        <v>42172</v>
      </c>
      <c r="C322" s="3" t="s">
        <v>1278</v>
      </c>
      <c r="D322" s="3">
        <v>10004871</v>
      </c>
      <c r="E322" s="4">
        <v>4534373</v>
      </c>
      <c r="F322" s="3" t="s">
        <v>49</v>
      </c>
      <c r="G322" s="4" t="s">
        <v>1357</v>
      </c>
      <c r="H322" s="4" t="s">
        <v>1929</v>
      </c>
      <c r="I322" s="5">
        <v>110000</v>
      </c>
      <c r="J322" s="3" t="s">
        <v>380</v>
      </c>
      <c r="K322" s="3" t="s">
        <v>77</v>
      </c>
      <c r="L322" s="3" t="s">
        <v>1046</v>
      </c>
      <c r="M322" s="4" t="s">
        <v>1929</v>
      </c>
      <c r="N322" s="3" t="s">
        <v>25</v>
      </c>
      <c r="O322" s="3"/>
      <c r="Q322" s="3"/>
      <c r="R322" s="3"/>
      <c r="Y322" s="4" t="s">
        <v>1959</v>
      </c>
      <c r="Z322" s="4" t="s">
        <v>1959</v>
      </c>
      <c r="AB322" s="3"/>
      <c r="AC322" s="3"/>
      <c r="AD322" s="3" t="s">
        <v>385</v>
      </c>
      <c r="AE322" s="3">
        <v>1000</v>
      </c>
      <c r="AI322" s="4" t="s">
        <v>1960</v>
      </c>
      <c r="AJ322" s="4" t="s">
        <v>1960</v>
      </c>
      <c r="AK322" s="3"/>
      <c r="AL322" s="4">
        <v>49941</v>
      </c>
      <c r="AM322" s="5">
        <v>110000</v>
      </c>
      <c r="AN322" s="4" t="s">
        <v>124</v>
      </c>
      <c r="AO322" s="4">
        <v>99</v>
      </c>
      <c r="AP322" s="4">
        <v>80101507</v>
      </c>
    </row>
    <row r="323" spans="1:42" s="4" customFormat="1" x14ac:dyDescent="0.25">
      <c r="A323" s="3">
        <v>4605034</v>
      </c>
      <c r="B323" s="28">
        <v>42178</v>
      </c>
      <c r="C323" s="3" t="s">
        <v>1278</v>
      </c>
      <c r="D323" s="3">
        <v>10004880</v>
      </c>
      <c r="E323" s="4">
        <v>4534385</v>
      </c>
      <c r="F323" s="3" t="s">
        <v>49</v>
      </c>
      <c r="G323" s="4" t="s">
        <v>393</v>
      </c>
      <c r="H323" s="4" t="s">
        <v>2044</v>
      </c>
      <c r="I323" s="5">
        <v>110687.5</v>
      </c>
      <c r="J323" s="3" t="s">
        <v>407</v>
      </c>
      <c r="K323" s="3" t="s">
        <v>575</v>
      </c>
      <c r="L323" s="3" t="s">
        <v>119</v>
      </c>
      <c r="M323" s="4" t="s">
        <v>2044</v>
      </c>
      <c r="N323" s="3" t="s">
        <v>56</v>
      </c>
      <c r="O323" s="3"/>
      <c r="Q323" s="3"/>
      <c r="R323" s="3"/>
      <c r="Y323" s="4" t="s">
        <v>179</v>
      </c>
      <c r="Z323" s="4" t="s">
        <v>179</v>
      </c>
      <c r="AA323" s="4" t="s">
        <v>2045</v>
      </c>
      <c r="AB323" s="3" t="s">
        <v>2046</v>
      </c>
      <c r="AC323" s="3" t="s">
        <v>2047</v>
      </c>
      <c r="AD323" s="3" t="s">
        <v>351</v>
      </c>
      <c r="AE323" s="3">
        <v>1000</v>
      </c>
      <c r="AI323" s="4" t="s">
        <v>182</v>
      </c>
      <c r="AJ323" s="4" t="s">
        <v>182</v>
      </c>
      <c r="AK323" s="3"/>
      <c r="AL323" s="4">
        <v>51455</v>
      </c>
      <c r="AM323" s="5">
        <v>110687.5</v>
      </c>
      <c r="AN323" s="4" t="s">
        <v>124</v>
      </c>
      <c r="AO323" s="4">
        <v>99</v>
      </c>
      <c r="AP323" s="4">
        <v>86000000</v>
      </c>
    </row>
    <row r="324" spans="1:42" s="4" customFormat="1" x14ac:dyDescent="0.25">
      <c r="A324" s="3">
        <v>4604905</v>
      </c>
      <c r="B324" s="28">
        <v>42093</v>
      </c>
      <c r="C324" s="3" t="s">
        <v>2158</v>
      </c>
      <c r="D324" s="3">
        <v>10004711</v>
      </c>
      <c r="E324" s="4">
        <v>4534256</v>
      </c>
      <c r="F324" s="3" t="s">
        <v>49</v>
      </c>
      <c r="G324" s="4" t="s">
        <v>2251</v>
      </c>
      <c r="H324" s="4" t="s">
        <v>2252</v>
      </c>
      <c r="I324" s="5">
        <v>112060</v>
      </c>
      <c r="J324" s="3" t="s">
        <v>496</v>
      </c>
      <c r="K324" s="3" t="s">
        <v>77</v>
      </c>
      <c r="L324" s="3" t="s">
        <v>119</v>
      </c>
      <c r="M324" s="4" t="s">
        <v>2253</v>
      </c>
      <c r="N324" s="3" t="s">
        <v>56</v>
      </c>
      <c r="O324" s="3" t="s">
        <v>139</v>
      </c>
      <c r="P324" s="4" t="s">
        <v>282</v>
      </c>
      <c r="Q324" s="3" t="s">
        <v>139</v>
      </c>
      <c r="R324" s="3" t="s">
        <v>427</v>
      </c>
      <c r="S324" s="4" t="s">
        <v>428</v>
      </c>
      <c r="U324" s="4" t="s">
        <v>139</v>
      </c>
      <c r="V324" s="4" t="s">
        <v>427</v>
      </c>
      <c r="W324" s="4" t="s">
        <v>428</v>
      </c>
      <c r="Y324" s="4" t="s">
        <v>738</v>
      </c>
      <c r="Z324" s="4" t="s">
        <v>2254</v>
      </c>
      <c r="AA324" s="4" t="s">
        <v>1850</v>
      </c>
      <c r="AB324" s="3" t="s">
        <v>2255</v>
      </c>
      <c r="AC324" s="3" t="s">
        <v>1852</v>
      </c>
      <c r="AD324" s="3" t="s">
        <v>1159</v>
      </c>
      <c r="AE324" s="3">
        <v>1000</v>
      </c>
      <c r="AI324" s="4" t="s">
        <v>741</v>
      </c>
      <c r="AJ324" s="4" t="s">
        <v>2256</v>
      </c>
      <c r="AK324" s="3" t="s">
        <v>286</v>
      </c>
      <c r="AL324" s="4">
        <v>141875</v>
      </c>
      <c r="AM324" s="5">
        <v>112060</v>
      </c>
      <c r="AN324" s="4" t="s">
        <v>124</v>
      </c>
      <c r="AO324" s="4">
        <v>98</v>
      </c>
      <c r="AP324" s="4">
        <v>80101507</v>
      </c>
    </row>
    <row r="325" spans="1:42" s="4" customFormat="1" x14ac:dyDescent="0.25">
      <c r="A325" s="3">
        <v>4605028</v>
      </c>
      <c r="B325" s="28">
        <v>42177</v>
      </c>
      <c r="C325" s="3" t="s">
        <v>1278</v>
      </c>
      <c r="D325" s="3">
        <v>10004873</v>
      </c>
      <c r="E325" s="4">
        <v>4534379</v>
      </c>
      <c r="F325" s="3" t="s">
        <v>49</v>
      </c>
      <c r="G325" s="4" t="s">
        <v>1561</v>
      </c>
      <c r="H325" s="4" t="s">
        <v>2036</v>
      </c>
      <c r="I325" s="5">
        <v>114783.29</v>
      </c>
      <c r="J325" s="3" t="s">
        <v>485</v>
      </c>
      <c r="K325" s="3" t="s">
        <v>77</v>
      </c>
      <c r="L325" s="3" t="s">
        <v>196</v>
      </c>
      <c r="M325" s="4" t="s">
        <v>2037</v>
      </c>
      <c r="N325" s="3" t="s">
        <v>25</v>
      </c>
      <c r="O325" s="3"/>
      <c r="Q325" s="3"/>
      <c r="R325" s="3"/>
      <c r="Y325" s="4" t="s">
        <v>1056</v>
      </c>
      <c r="Z325" s="4" t="s">
        <v>1056</v>
      </c>
      <c r="AB325" s="3"/>
      <c r="AC325" s="3"/>
      <c r="AD325" s="3" t="s">
        <v>351</v>
      </c>
      <c r="AE325" s="3">
        <v>1000</v>
      </c>
      <c r="AI325" s="4" t="s">
        <v>1058</v>
      </c>
      <c r="AJ325" s="4" t="s">
        <v>1058</v>
      </c>
      <c r="AK325" s="3"/>
      <c r="AL325" s="4">
        <v>30955</v>
      </c>
      <c r="AM325" s="5">
        <v>114783.29</v>
      </c>
      <c r="AN325" s="4" t="s">
        <v>124</v>
      </c>
      <c r="AO325" s="4">
        <v>99</v>
      </c>
      <c r="AP325" s="4">
        <v>43230000</v>
      </c>
    </row>
    <row r="326" spans="1:42" s="4" customFormat="1" x14ac:dyDescent="0.25">
      <c r="A326" s="3">
        <v>4604932</v>
      </c>
      <c r="B326" s="28">
        <v>42033</v>
      </c>
      <c r="C326" s="3" t="s">
        <v>392</v>
      </c>
      <c r="D326" s="3">
        <v>10004752</v>
      </c>
      <c r="E326" s="4">
        <v>4534283</v>
      </c>
      <c r="F326" s="3" t="s">
        <v>49</v>
      </c>
      <c r="G326" s="4" t="s">
        <v>517</v>
      </c>
      <c r="H326" s="4" t="s">
        <v>438</v>
      </c>
      <c r="I326" s="5">
        <v>115000</v>
      </c>
      <c r="J326" s="3" t="s">
        <v>518</v>
      </c>
      <c r="K326" s="3" t="s">
        <v>504</v>
      </c>
      <c r="L326" s="3" t="s">
        <v>196</v>
      </c>
      <c r="M326" s="4" t="s">
        <v>438</v>
      </c>
      <c r="N326" s="3" t="s">
        <v>25</v>
      </c>
      <c r="O326" s="3"/>
      <c r="Q326" s="3"/>
      <c r="R326" s="3"/>
      <c r="Y326" s="4" t="s">
        <v>431</v>
      </c>
      <c r="Z326" s="4" t="s">
        <v>431</v>
      </c>
      <c r="AB326" s="3"/>
      <c r="AC326" s="3"/>
      <c r="AD326" s="3" t="s">
        <v>485</v>
      </c>
      <c r="AE326" s="3">
        <v>1000</v>
      </c>
      <c r="AI326" s="4" t="s">
        <v>434</v>
      </c>
      <c r="AJ326" s="4" t="s">
        <v>434</v>
      </c>
      <c r="AK326" s="3"/>
      <c r="AL326" s="4">
        <v>43549</v>
      </c>
      <c r="AM326" s="5">
        <v>115000</v>
      </c>
      <c r="AN326" s="4" t="s">
        <v>124</v>
      </c>
      <c r="AO326" s="4">
        <v>98</v>
      </c>
      <c r="AP326" s="4">
        <v>80111600</v>
      </c>
    </row>
    <row r="327" spans="1:42" s="4" customFormat="1" x14ac:dyDescent="0.25">
      <c r="A327" s="3">
        <v>4604846</v>
      </c>
      <c r="B327" s="28">
        <v>42041</v>
      </c>
      <c r="C327" s="3" t="s">
        <v>1278</v>
      </c>
      <c r="D327" s="3">
        <v>10004651</v>
      </c>
      <c r="E327" s="4">
        <v>4534197</v>
      </c>
      <c r="F327" s="3" t="s">
        <v>49</v>
      </c>
      <c r="G327" s="4" t="s">
        <v>1399</v>
      </c>
      <c r="H327" s="4" t="s">
        <v>1808</v>
      </c>
      <c r="I327" s="5">
        <v>116160</v>
      </c>
      <c r="J327" s="3" t="s">
        <v>1809</v>
      </c>
      <c r="K327" s="3" t="s">
        <v>77</v>
      </c>
      <c r="L327" s="3" t="s">
        <v>196</v>
      </c>
      <c r="M327" s="4" t="s">
        <v>1810</v>
      </c>
      <c r="N327" s="3" t="s">
        <v>25</v>
      </c>
      <c r="O327" s="3"/>
      <c r="Q327" s="3"/>
      <c r="R327" s="3"/>
      <c r="Y327" s="4" t="s">
        <v>1811</v>
      </c>
      <c r="Z327" s="4" t="s">
        <v>1090</v>
      </c>
      <c r="AB327" s="3"/>
      <c r="AC327" s="3"/>
      <c r="AD327" s="3" t="s">
        <v>299</v>
      </c>
      <c r="AE327" s="3">
        <v>1000</v>
      </c>
      <c r="AI327" s="4" t="s">
        <v>1812</v>
      </c>
      <c r="AJ327" s="4" t="s">
        <v>1091</v>
      </c>
      <c r="AK327" s="3"/>
      <c r="AL327" s="4">
        <v>42451</v>
      </c>
      <c r="AM327" s="5">
        <v>116160</v>
      </c>
      <c r="AN327" s="4" t="s">
        <v>124</v>
      </c>
      <c r="AO327" s="4">
        <v>99</v>
      </c>
      <c r="AP327" s="4">
        <v>81112200</v>
      </c>
    </row>
    <row r="328" spans="1:42" s="4" customFormat="1" x14ac:dyDescent="0.25">
      <c r="A328" s="3">
        <v>4604935</v>
      </c>
      <c r="B328" s="28">
        <v>42103</v>
      </c>
      <c r="C328" s="3" t="s">
        <v>2093</v>
      </c>
      <c r="D328" s="3">
        <v>10004741</v>
      </c>
      <c r="E328" s="4">
        <v>4534286</v>
      </c>
      <c r="F328" s="3" t="s">
        <v>49</v>
      </c>
      <c r="G328" s="4" t="s">
        <v>2126</v>
      </c>
      <c r="H328" s="4" t="s">
        <v>2127</v>
      </c>
      <c r="I328" s="5">
        <v>117000</v>
      </c>
      <c r="J328" s="3" t="s">
        <v>1136</v>
      </c>
      <c r="K328" s="3" t="s">
        <v>2128</v>
      </c>
      <c r="L328" s="3" t="s">
        <v>196</v>
      </c>
      <c r="M328" s="4" t="s">
        <v>2127</v>
      </c>
      <c r="N328" s="3" t="s">
        <v>25</v>
      </c>
      <c r="O328" s="3"/>
      <c r="Q328" s="3"/>
      <c r="R328" s="3"/>
      <c r="Y328" s="4" t="s">
        <v>2129</v>
      </c>
      <c r="Z328" s="4" t="s">
        <v>112</v>
      </c>
      <c r="AA328" s="4" t="s">
        <v>2130</v>
      </c>
      <c r="AB328" s="3"/>
      <c r="AC328" s="3"/>
      <c r="AD328" s="3" t="s">
        <v>2131</v>
      </c>
      <c r="AE328" s="3">
        <v>1000</v>
      </c>
      <c r="AI328" s="4" t="s">
        <v>2132</v>
      </c>
      <c r="AJ328" s="4" t="s">
        <v>115</v>
      </c>
      <c r="AK328" s="3"/>
      <c r="AL328" s="4">
        <v>141617</v>
      </c>
      <c r="AM328" s="5">
        <v>117000</v>
      </c>
      <c r="AN328" s="4" t="s">
        <v>124</v>
      </c>
      <c r="AO328" s="4">
        <v>99</v>
      </c>
      <c r="AP328" s="4">
        <v>80110000</v>
      </c>
    </row>
    <row r="329" spans="1:42" s="4" customFormat="1" x14ac:dyDescent="0.25">
      <c r="A329" s="3">
        <v>4605019</v>
      </c>
      <c r="B329" s="28">
        <v>42167</v>
      </c>
      <c r="C329" s="3" t="s">
        <v>1278</v>
      </c>
      <c r="D329" s="3">
        <v>10004853</v>
      </c>
      <c r="E329" s="4">
        <v>4534370</v>
      </c>
      <c r="F329" s="3" t="s">
        <v>49</v>
      </c>
      <c r="G329" s="4" t="s">
        <v>2022</v>
      </c>
      <c r="H329" s="4" t="s">
        <v>2023</v>
      </c>
      <c r="I329" s="5">
        <v>120000</v>
      </c>
      <c r="J329" s="3" t="s">
        <v>474</v>
      </c>
      <c r="K329" s="3" t="s">
        <v>374</v>
      </c>
      <c r="L329" s="3" t="s">
        <v>196</v>
      </c>
      <c r="M329" s="4" t="s">
        <v>2024</v>
      </c>
      <c r="N329" s="3" t="s">
        <v>25</v>
      </c>
      <c r="O329" s="3"/>
      <c r="Q329" s="3"/>
      <c r="R329" s="3"/>
      <c r="Y329" s="4" t="s">
        <v>1056</v>
      </c>
      <c r="Z329" s="4" t="s">
        <v>1056</v>
      </c>
      <c r="AB329" s="3"/>
      <c r="AC329" s="3"/>
      <c r="AD329" s="3" t="s">
        <v>287</v>
      </c>
      <c r="AE329" s="3">
        <v>1000</v>
      </c>
      <c r="AI329" s="4" t="s">
        <v>1058</v>
      </c>
      <c r="AJ329" s="4" t="s">
        <v>1058</v>
      </c>
      <c r="AK329" s="3"/>
      <c r="AL329" s="4">
        <v>141918</v>
      </c>
      <c r="AM329" s="5">
        <v>120000</v>
      </c>
      <c r="AN329" s="4" t="s">
        <v>124</v>
      </c>
      <c r="AO329" s="4">
        <v>99</v>
      </c>
      <c r="AP329" s="4">
        <v>43220000</v>
      </c>
    </row>
    <row r="330" spans="1:42" s="4" customFormat="1" x14ac:dyDescent="0.25">
      <c r="A330" s="3">
        <v>4604801</v>
      </c>
      <c r="B330" s="28">
        <v>41981</v>
      </c>
      <c r="C330" s="3" t="s">
        <v>392</v>
      </c>
      <c r="D330" s="3">
        <v>10004600</v>
      </c>
      <c r="E330" s="4">
        <v>4534152</v>
      </c>
      <c r="F330" s="3" t="s">
        <v>49</v>
      </c>
      <c r="G330" s="4" t="s">
        <v>430</v>
      </c>
      <c r="H330" s="4" t="s">
        <v>438</v>
      </c>
      <c r="I330" s="5">
        <v>122000</v>
      </c>
      <c r="J330" s="3" t="s">
        <v>437</v>
      </c>
      <c r="K330" s="3" t="s">
        <v>439</v>
      </c>
      <c r="L330" s="3" t="s">
        <v>196</v>
      </c>
      <c r="M330" s="4" t="s">
        <v>438</v>
      </c>
      <c r="N330" s="3" t="s">
        <v>25</v>
      </c>
      <c r="O330" s="3"/>
      <c r="Q330" s="3" t="s">
        <v>139</v>
      </c>
      <c r="R330" s="3" t="s">
        <v>119</v>
      </c>
      <c r="S330" s="4" t="s">
        <v>217</v>
      </c>
      <c r="T330" s="4" t="s">
        <v>440</v>
      </c>
      <c r="Y330" s="4" t="s">
        <v>431</v>
      </c>
      <c r="Z330" s="4" t="s">
        <v>431</v>
      </c>
      <c r="AB330" s="3"/>
      <c r="AC330" s="3"/>
      <c r="AD330" s="3" t="s">
        <v>441</v>
      </c>
      <c r="AE330" s="3">
        <v>1000</v>
      </c>
      <c r="AI330" s="4" t="s">
        <v>434</v>
      </c>
      <c r="AJ330" s="4" t="s">
        <v>434</v>
      </c>
      <c r="AK330" s="3"/>
      <c r="AL330" s="4">
        <v>141840</v>
      </c>
      <c r="AM330" s="5">
        <v>122000</v>
      </c>
      <c r="AN330" s="4" t="s">
        <v>124</v>
      </c>
      <c r="AO330" s="4">
        <v>99</v>
      </c>
      <c r="AP330" s="4">
        <v>80111600</v>
      </c>
    </row>
    <row r="331" spans="1:42" s="4" customFormat="1" x14ac:dyDescent="0.25">
      <c r="A331" s="3">
        <v>4604597</v>
      </c>
      <c r="B331" s="28">
        <v>41827</v>
      </c>
      <c r="C331" s="3" t="s">
        <v>1278</v>
      </c>
      <c r="D331" s="3">
        <v>10004377</v>
      </c>
      <c r="E331" s="4">
        <v>4533948</v>
      </c>
      <c r="F331" s="3" t="s">
        <v>49</v>
      </c>
      <c r="G331" s="4" t="s">
        <v>1412</v>
      </c>
      <c r="H331" s="4" t="s">
        <v>1463</v>
      </c>
      <c r="I331" s="5">
        <v>126121.16</v>
      </c>
      <c r="J331" s="3" t="s">
        <v>1462</v>
      </c>
      <c r="K331" s="3" t="s">
        <v>829</v>
      </c>
      <c r="L331" s="3" t="s">
        <v>119</v>
      </c>
      <c r="M331" s="4" t="s">
        <v>1463</v>
      </c>
      <c r="N331" s="3" t="s">
        <v>56</v>
      </c>
      <c r="O331" s="3"/>
      <c r="Q331" s="3"/>
      <c r="R331" s="3"/>
      <c r="Y331" s="4" t="s">
        <v>1222</v>
      </c>
      <c r="Z331" s="4" t="s">
        <v>1090</v>
      </c>
      <c r="AA331" s="4" t="s">
        <v>1414</v>
      </c>
      <c r="AB331" s="3" t="s">
        <v>1415</v>
      </c>
      <c r="AC331" s="3" t="s">
        <v>1416</v>
      </c>
      <c r="AD331" s="3" t="s">
        <v>1462</v>
      </c>
      <c r="AE331" s="3">
        <v>1000</v>
      </c>
      <c r="AI331" s="4" t="s">
        <v>1226</v>
      </c>
      <c r="AJ331" s="4" t="s">
        <v>1091</v>
      </c>
      <c r="AK331" s="3"/>
      <c r="AL331" s="4">
        <v>40924</v>
      </c>
      <c r="AM331" s="5">
        <v>126121.16</v>
      </c>
      <c r="AN331" s="4" t="s">
        <v>124</v>
      </c>
      <c r="AO331" s="4">
        <v>99</v>
      </c>
      <c r="AP331" s="4">
        <v>80101604</v>
      </c>
    </row>
    <row r="332" spans="1:42" s="4" customFormat="1" x14ac:dyDescent="0.25">
      <c r="A332" s="3">
        <v>4604828</v>
      </c>
      <c r="B332" s="28">
        <v>42018</v>
      </c>
      <c r="C332" s="3" t="s">
        <v>1278</v>
      </c>
      <c r="D332" s="3">
        <v>10004623</v>
      </c>
      <c r="E332" s="4">
        <v>4534179</v>
      </c>
      <c r="F332" s="3" t="s">
        <v>49</v>
      </c>
      <c r="G332" s="4" t="s">
        <v>1053</v>
      </c>
      <c r="H332" s="4" t="s">
        <v>1767</v>
      </c>
      <c r="I332" s="5">
        <v>126500</v>
      </c>
      <c r="J332" s="3" t="s">
        <v>335</v>
      </c>
      <c r="K332" s="3" t="s">
        <v>1037</v>
      </c>
      <c r="L332" s="3" t="s">
        <v>119</v>
      </c>
      <c r="M332" s="4" t="s">
        <v>1791</v>
      </c>
      <c r="N332" s="3" t="s">
        <v>56</v>
      </c>
      <c r="O332" s="3"/>
      <c r="Q332" s="3"/>
      <c r="R332" s="3"/>
      <c r="Y332" s="4" t="s">
        <v>1056</v>
      </c>
      <c r="Z332" s="4" t="s">
        <v>1056</v>
      </c>
      <c r="AA332" s="4" t="s">
        <v>1057</v>
      </c>
      <c r="AB332" s="3" t="s">
        <v>1057</v>
      </c>
      <c r="AC332" s="3" t="s">
        <v>1340</v>
      </c>
      <c r="AD332" s="3" t="s">
        <v>340</v>
      </c>
      <c r="AE332" s="3">
        <v>1000</v>
      </c>
      <c r="AI332" s="4" t="s">
        <v>1058</v>
      </c>
      <c r="AJ332" s="4" t="s">
        <v>1058</v>
      </c>
      <c r="AK332" s="3"/>
      <c r="AL332" s="4">
        <v>140248</v>
      </c>
      <c r="AM332" s="5">
        <v>126500</v>
      </c>
      <c r="AN332" s="4" t="s">
        <v>124</v>
      </c>
      <c r="AO332" s="4">
        <v>99</v>
      </c>
      <c r="AP332" s="4">
        <v>43210000</v>
      </c>
    </row>
    <row r="333" spans="1:42" s="4" customFormat="1" x14ac:dyDescent="0.25">
      <c r="A333" s="3">
        <v>4604815</v>
      </c>
      <c r="B333" s="28">
        <v>41996</v>
      </c>
      <c r="C333" s="3" t="s">
        <v>392</v>
      </c>
      <c r="D333" s="3">
        <v>10004616</v>
      </c>
      <c r="E333" s="4">
        <v>4534166</v>
      </c>
      <c r="F333" s="3" t="s">
        <v>49</v>
      </c>
      <c r="G333" s="4" t="s">
        <v>372</v>
      </c>
      <c r="H333" s="4" t="s">
        <v>443</v>
      </c>
      <c r="I333" s="5">
        <v>127587</v>
      </c>
      <c r="J333" s="3" t="s">
        <v>442</v>
      </c>
      <c r="K333" s="3" t="s">
        <v>444</v>
      </c>
      <c r="L333" s="3" t="s">
        <v>119</v>
      </c>
      <c r="M333" s="4" t="s">
        <v>443</v>
      </c>
      <c r="N333" s="3" t="s">
        <v>56</v>
      </c>
      <c r="O333" s="3" t="s">
        <v>139</v>
      </c>
      <c r="P333" s="4" t="s">
        <v>140</v>
      </c>
      <c r="Q333" s="3"/>
      <c r="R333" s="3"/>
      <c r="U333" s="4" t="s">
        <v>139</v>
      </c>
      <c r="V333" s="4" t="s">
        <v>119</v>
      </c>
      <c r="W333" s="4" t="s">
        <v>217</v>
      </c>
      <c r="X333" s="4" t="s">
        <v>445</v>
      </c>
      <c r="Y333" s="4" t="s">
        <v>431</v>
      </c>
      <c r="Z333" s="4" t="s">
        <v>431</v>
      </c>
      <c r="AA333" s="4" t="s">
        <v>356</v>
      </c>
      <c r="AB333" s="3" t="s">
        <v>375</v>
      </c>
      <c r="AC333" s="3" t="s">
        <v>358</v>
      </c>
      <c r="AD333" s="3" t="s">
        <v>327</v>
      </c>
      <c r="AE333" s="3">
        <v>1000</v>
      </c>
      <c r="AI333" s="4" t="s">
        <v>434</v>
      </c>
      <c r="AJ333" s="4" t="s">
        <v>434</v>
      </c>
      <c r="AK333" s="3" t="s">
        <v>143</v>
      </c>
      <c r="AL333" s="4">
        <v>43825</v>
      </c>
      <c r="AM333" s="5">
        <v>127587</v>
      </c>
      <c r="AN333" s="4" t="s">
        <v>124</v>
      </c>
      <c r="AO333" s="4">
        <v>99</v>
      </c>
      <c r="AP333" s="4">
        <v>81120000</v>
      </c>
    </row>
    <row r="334" spans="1:42" s="4" customFormat="1" x14ac:dyDescent="0.25">
      <c r="A334" s="3">
        <v>4604573</v>
      </c>
      <c r="B334" s="28">
        <v>41817</v>
      </c>
      <c r="C334" s="3" t="s">
        <v>1278</v>
      </c>
      <c r="D334" s="3">
        <v>10004352</v>
      </c>
      <c r="E334" s="4">
        <v>4533924</v>
      </c>
      <c r="F334" s="3" t="s">
        <v>49</v>
      </c>
      <c r="G334" s="4" t="s">
        <v>1421</v>
      </c>
      <c r="H334" s="4" t="s">
        <v>1422</v>
      </c>
      <c r="I334" s="5">
        <v>128356.8</v>
      </c>
      <c r="J334" s="3" t="s">
        <v>76</v>
      </c>
      <c r="K334" s="3" t="s">
        <v>77</v>
      </c>
      <c r="L334" s="3" t="s">
        <v>119</v>
      </c>
      <c r="M334" s="4" t="s">
        <v>1423</v>
      </c>
      <c r="N334" s="3" t="s">
        <v>56</v>
      </c>
      <c r="O334" s="3"/>
      <c r="Q334" s="3"/>
      <c r="R334" s="3"/>
      <c r="Y334" s="4" t="s">
        <v>1056</v>
      </c>
      <c r="Z334" s="4" t="s">
        <v>1090</v>
      </c>
      <c r="AA334" s="4" t="s">
        <v>412</v>
      </c>
      <c r="AB334" s="3" t="s">
        <v>1424</v>
      </c>
      <c r="AC334" s="3" t="s">
        <v>414</v>
      </c>
      <c r="AD334" s="3" t="s">
        <v>492</v>
      </c>
      <c r="AE334" s="3">
        <v>1000</v>
      </c>
      <c r="AI334" s="4" t="s">
        <v>1058</v>
      </c>
      <c r="AJ334" s="4" t="s">
        <v>1091</v>
      </c>
      <c r="AK334" s="3"/>
      <c r="AL334" s="4">
        <v>141575</v>
      </c>
      <c r="AM334" s="5">
        <v>128356.8</v>
      </c>
      <c r="AN334" s="4" t="s">
        <v>124</v>
      </c>
      <c r="AO334" s="4">
        <v>98</v>
      </c>
      <c r="AP334" s="4">
        <v>43220000</v>
      </c>
    </row>
    <row r="335" spans="1:42" s="4" customFormat="1" x14ac:dyDescent="0.25">
      <c r="A335" s="3">
        <v>4604701</v>
      </c>
      <c r="B335" s="28">
        <v>41894</v>
      </c>
      <c r="C335" s="3" t="s">
        <v>1278</v>
      </c>
      <c r="D335" s="3">
        <v>10004500</v>
      </c>
      <c r="E335" s="4">
        <v>4534052</v>
      </c>
      <c r="F335" s="3" t="s">
        <v>49</v>
      </c>
      <c r="G335" s="4" t="s">
        <v>1588</v>
      </c>
      <c r="H335" s="4" t="s">
        <v>1648</v>
      </c>
      <c r="I335" s="5">
        <v>128566.9</v>
      </c>
      <c r="J335" s="3" t="s">
        <v>1649</v>
      </c>
      <c r="K335" s="3" t="s">
        <v>575</v>
      </c>
      <c r="L335" s="3" t="s">
        <v>119</v>
      </c>
      <c r="M335" s="4" t="s">
        <v>1648</v>
      </c>
      <c r="N335" s="3" t="s">
        <v>56</v>
      </c>
      <c r="O335" s="3"/>
      <c r="Q335" s="3"/>
      <c r="R335" s="3"/>
      <c r="Y335" s="4" t="s">
        <v>178</v>
      </c>
      <c r="Z335" s="4" t="s">
        <v>178</v>
      </c>
      <c r="AA335" s="4" t="s">
        <v>188</v>
      </c>
      <c r="AB335" s="3" t="s">
        <v>1637</v>
      </c>
      <c r="AC335" s="3" t="s">
        <v>190</v>
      </c>
      <c r="AD335" s="3" t="s">
        <v>369</v>
      </c>
      <c r="AE335" s="3">
        <v>1000</v>
      </c>
      <c r="AI335" s="4" t="s">
        <v>181</v>
      </c>
      <c r="AJ335" s="4" t="s">
        <v>181</v>
      </c>
      <c r="AK335" s="3"/>
      <c r="AL335" s="4">
        <v>41005</v>
      </c>
      <c r="AM335" s="5">
        <v>128566.9</v>
      </c>
      <c r="AN335" s="4" t="s">
        <v>124</v>
      </c>
      <c r="AO335" s="4">
        <v>97</v>
      </c>
      <c r="AP335" s="4">
        <v>80111600</v>
      </c>
    </row>
    <row r="336" spans="1:42" s="4" customFormat="1" x14ac:dyDescent="0.25">
      <c r="A336" s="3">
        <v>4604893</v>
      </c>
      <c r="B336" s="28">
        <v>42086</v>
      </c>
      <c r="C336" s="3" t="s">
        <v>1278</v>
      </c>
      <c r="D336" s="3">
        <v>10004706</v>
      </c>
      <c r="E336" s="4">
        <v>4534244</v>
      </c>
      <c r="F336" s="3" t="s">
        <v>49</v>
      </c>
      <c r="G336" s="4" t="s">
        <v>1502</v>
      </c>
      <c r="H336" s="4" t="s">
        <v>1881</v>
      </c>
      <c r="I336" s="5">
        <v>128700</v>
      </c>
      <c r="J336" s="3" t="s">
        <v>502</v>
      </c>
      <c r="K336" s="3" t="s">
        <v>1481</v>
      </c>
      <c r="L336" s="3" t="s">
        <v>119</v>
      </c>
      <c r="M336" s="4" t="s">
        <v>1881</v>
      </c>
      <c r="N336" s="3" t="s">
        <v>56</v>
      </c>
      <c r="O336" s="3"/>
      <c r="Q336" s="3"/>
      <c r="R336" s="3"/>
      <c r="Y336" s="4" t="s">
        <v>1882</v>
      </c>
      <c r="Z336" s="4" t="s">
        <v>260</v>
      </c>
      <c r="AA336" s="4" t="s">
        <v>412</v>
      </c>
      <c r="AB336" s="3" t="s">
        <v>1504</v>
      </c>
      <c r="AC336" s="3" t="s">
        <v>414</v>
      </c>
      <c r="AD336" s="3" t="s">
        <v>1159</v>
      </c>
      <c r="AE336" s="3">
        <v>1000</v>
      </c>
      <c r="AI336" s="4" t="s">
        <v>1883</v>
      </c>
      <c r="AJ336" s="4" t="s">
        <v>261</v>
      </c>
      <c r="AK336" s="3"/>
      <c r="AL336" s="4">
        <v>49955</v>
      </c>
      <c r="AM336" s="5">
        <v>128700</v>
      </c>
      <c r="AN336" s="4" t="s">
        <v>124</v>
      </c>
      <c r="AO336" s="4">
        <v>99</v>
      </c>
      <c r="AP336" s="4">
        <v>81112200</v>
      </c>
    </row>
    <row r="337" spans="1:42" s="4" customFormat="1" x14ac:dyDescent="0.25">
      <c r="A337" s="3">
        <v>4605013</v>
      </c>
      <c r="B337" s="28">
        <v>42172</v>
      </c>
      <c r="C337" s="3" t="s">
        <v>1278</v>
      </c>
      <c r="D337" s="3">
        <v>10004840</v>
      </c>
      <c r="E337" s="4">
        <v>4534364</v>
      </c>
      <c r="F337" s="3" t="s">
        <v>49</v>
      </c>
      <c r="G337" s="4" t="s">
        <v>1053</v>
      </c>
      <c r="H337" s="4" t="s">
        <v>2017</v>
      </c>
      <c r="I337" s="5">
        <v>129607.7</v>
      </c>
      <c r="J337" s="3" t="s">
        <v>371</v>
      </c>
      <c r="K337" s="3" t="s">
        <v>77</v>
      </c>
      <c r="L337" s="3" t="s">
        <v>119</v>
      </c>
      <c r="M337" s="4" t="s">
        <v>2018</v>
      </c>
      <c r="N337" s="3" t="s">
        <v>56</v>
      </c>
      <c r="O337" s="3"/>
      <c r="Q337" s="3"/>
      <c r="R337" s="3"/>
      <c r="Y337" s="4" t="s">
        <v>1056</v>
      </c>
      <c r="Z337" s="4" t="s">
        <v>1056</v>
      </c>
      <c r="AA337" s="4" t="s">
        <v>1057</v>
      </c>
      <c r="AB337" s="3" t="s">
        <v>1057</v>
      </c>
      <c r="AC337" s="3" t="s">
        <v>1340</v>
      </c>
      <c r="AD337" s="3" t="s">
        <v>317</v>
      </c>
      <c r="AE337" s="3">
        <v>1000</v>
      </c>
      <c r="AI337" s="4" t="s">
        <v>1058</v>
      </c>
      <c r="AJ337" s="4" t="s">
        <v>1058</v>
      </c>
      <c r="AK337" s="3"/>
      <c r="AL337" s="4">
        <v>140248</v>
      </c>
      <c r="AM337" s="5">
        <v>129607.7</v>
      </c>
      <c r="AN337" s="4" t="s">
        <v>124</v>
      </c>
      <c r="AO337" s="4">
        <v>99</v>
      </c>
      <c r="AP337" s="4">
        <v>43230000</v>
      </c>
    </row>
    <row r="338" spans="1:42" s="4" customFormat="1" x14ac:dyDescent="0.25">
      <c r="A338" s="3">
        <v>4604651</v>
      </c>
      <c r="B338" s="28">
        <v>41809</v>
      </c>
      <c r="C338" s="3" t="s">
        <v>560</v>
      </c>
      <c r="D338" s="3">
        <v>10004446</v>
      </c>
      <c r="E338" s="4">
        <v>4534002</v>
      </c>
      <c r="F338" s="3" t="s">
        <v>49</v>
      </c>
      <c r="G338" s="4" t="s">
        <v>770</v>
      </c>
      <c r="H338" s="4" t="s">
        <v>771</v>
      </c>
      <c r="I338" s="5">
        <v>130470</v>
      </c>
      <c r="J338" s="3" t="s">
        <v>772</v>
      </c>
      <c r="K338" s="3" t="s">
        <v>275</v>
      </c>
      <c r="L338" s="3" t="s">
        <v>196</v>
      </c>
      <c r="M338" s="4" t="s">
        <v>771</v>
      </c>
      <c r="N338" s="3" t="s">
        <v>25</v>
      </c>
      <c r="O338" s="3"/>
      <c r="Q338" s="3"/>
      <c r="R338" s="3"/>
      <c r="Y338" s="4" t="s">
        <v>773</v>
      </c>
      <c r="Z338" s="4" t="s">
        <v>773</v>
      </c>
      <c r="AB338" s="3"/>
      <c r="AC338" s="3"/>
      <c r="AD338" s="3" t="s">
        <v>774</v>
      </c>
      <c r="AE338" s="3">
        <v>1000</v>
      </c>
      <c r="AI338" s="4" t="s">
        <v>775</v>
      </c>
      <c r="AJ338" s="4" t="s">
        <v>775</v>
      </c>
      <c r="AK338" s="3"/>
      <c r="AL338" s="4">
        <v>141780</v>
      </c>
      <c r="AM338" s="5">
        <v>130470</v>
      </c>
      <c r="AN338" s="4" t="s">
        <v>124</v>
      </c>
      <c r="AO338" s="4">
        <v>99</v>
      </c>
      <c r="AP338" s="4">
        <v>90111601</v>
      </c>
    </row>
    <row r="339" spans="1:42" s="4" customFormat="1" x14ac:dyDescent="0.25">
      <c r="A339" s="3">
        <v>4604691</v>
      </c>
      <c r="B339" s="28">
        <v>41809</v>
      </c>
      <c r="C339" s="3" t="s">
        <v>560</v>
      </c>
      <c r="D339" s="3">
        <v>10004446</v>
      </c>
      <c r="E339" s="4">
        <v>4534042</v>
      </c>
      <c r="F339" s="3" t="s">
        <v>49</v>
      </c>
      <c r="G339" s="4" t="s">
        <v>770</v>
      </c>
      <c r="H339" s="4" t="s">
        <v>771</v>
      </c>
      <c r="I339" s="5">
        <v>130470</v>
      </c>
      <c r="J339" s="3" t="s">
        <v>772</v>
      </c>
      <c r="K339" s="3" t="s">
        <v>275</v>
      </c>
      <c r="L339" s="3" t="s">
        <v>196</v>
      </c>
      <c r="M339" s="4" t="s">
        <v>771</v>
      </c>
      <c r="N339" s="3" t="s">
        <v>25</v>
      </c>
      <c r="O339" s="3"/>
      <c r="Q339" s="3"/>
      <c r="R339" s="3"/>
      <c r="Y339" s="4" t="s">
        <v>747</v>
      </c>
      <c r="Z339" s="4" t="s">
        <v>747</v>
      </c>
      <c r="AB339" s="3"/>
      <c r="AC339" s="3"/>
      <c r="AD339" s="3" t="s">
        <v>786</v>
      </c>
      <c r="AE339" s="3">
        <v>1000</v>
      </c>
      <c r="AI339" s="4" t="s">
        <v>749</v>
      </c>
      <c r="AJ339" s="4" t="s">
        <v>749</v>
      </c>
      <c r="AK339" s="3"/>
      <c r="AL339" s="4">
        <v>141780</v>
      </c>
      <c r="AM339" s="5">
        <v>130470</v>
      </c>
      <c r="AN339" s="4" t="s">
        <v>124</v>
      </c>
      <c r="AO339" s="4">
        <v>99</v>
      </c>
      <c r="AP339" s="4">
        <v>90111601</v>
      </c>
    </row>
    <row r="340" spans="1:42" s="4" customFormat="1" x14ac:dyDescent="0.25">
      <c r="A340" s="3">
        <v>4604896</v>
      </c>
      <c r="B340" s="28">
        <v>42065</v>
      </c>
      <c r="C340" s="3" t="s">
        <v>2093</v>
      </c>
      <c r="D340" s="3">
        <v>10004680</v>
      </c>
      <c r="E340" s="4">
        <v>4534247</v>
      </c>
      <c r="F340" s="3" t="s">
        <v>49</v>
      </c>
      <c r="G340" s="4" t="s">
        <v>2119</v>
      </c>
      <c r="H340" s="4" t="s">
        <v>2120</v>
      </c>
      <c r="I340" s="5">
        <v>130680</v>
      </c>
      <c r="J340" s="3" t="s">
        <v>1479</v>
      </c>
      <c r="K340" s="3" t="s">
        <v>1227</v>
      </c>
      <c r="L340" s="3" t="s">
        <v>119</v>
      </c>
      <c r="M340" s="4" t="s">
        <v>2120</v>
      </c>
      <c r="N340" s="3" t="s">
        <v>56</v>
      </c>
      <c r="O340" s="3" t="s">
        <v>139</v>
      </c>
      <c r="P340" s="4" t="s">
        <v>282</v>
      </c>
      <c r="Q340" s="3"/>
      <c r="R340" s="3"/>
      <c r="Y340" s="4" t="s">
        <v>747</v>
      </c>
      <c r="Z340" s="4" t="s">
        <v>747</v>
      </c>
      <c r="AA340" s="4" t="s">
        <v>356</v>
      </c>
      <c r="AB340" s="3" t="s">
        <v>2121</v>
      </c>
      <c r="AC340" s="3" t="s">
        <v>358</v>
      </c>
      <c r="AD340" s="3" t="s">
        <v>371</v>
      </c>
      <c r="AE340" s="3">
        <v>1000</v>
      </c>
      <c r="AI340" s="4" t="s">
        <v>749</v>
      </c>
      <c r="AJ340" s="4" t="s">
        <v>749</v>
      </c>
      <c r="AK340" s="3" t="s">
        <v>286</v>
      </c>
      <c r="AL340" s="4">
        <v>46130</v>
      </c>
      <c r="AM340" s="5">
        <v>130680</v>
      </c>
      <c r="AN340" s="4" t="s">
        <v>124</v>
      </c>
      <c r="AO340" s="4">
        <v>99</v>
      </c>
      <c r="AP340" s="4">
        <v>80101507</v>
      </c>
    </row>
    <row r="341" spans="1:42" s="4" customFormat="1" x14ac:dyDescent="0.25">
      <c r="A341" s="3">
        <v>4604933</v>
      </c>
      <c r="B341" s="28">
        <v>42277</v>
      </c>
      <c r="C341" s="3" t="s">
        <v>2093</v>
      </c>
      <c r="D341" s="3">
        <v>10004733</v>
      </c>
      <c r="E341" s="4">
        <v>4534284</v>
      </c>
      <c r="F341" s="3" t="s">
        <v>49</v>
      </c>
      <c r="G341" s="4" t="s">
        <v>2122</v>
      </c>
      <c r="H341" s="4" t="s">
        <v>2123</v>
      </c>
      <c r="I341" s="5">
        <v>130792.74</v>
      </c>
      <c r="J341" s="3" t="s">
        <v>502</v>
      </c>
      <c r="K341" s="3" t="s">
        <v>504</v>
      </c>
      <c r="L341" s="3" t="s">
        <v>119</v>
      </c>
      <c r="M341" s="4" t="s">
        <v>2123</v>
      </c>
      <c r="N341" s="3" t="s">
        <v>25</v>
      </c>
      <c r="O341" s="3"/>
      <c r="Q341" s="3"/>
      <c r="R341" s="3"/>
      <c r="Y341" s="4" t="s">
        <v>1616</v>
      </c>
      <c r="Z341" s="4" t="s">
        <v>1616</v>
      </c>
      <c r="AA341" s="4" t="s">
        <v>2124</v>
      </c>
      <c r="AB341" s="3"/>
      <c r="AC341" s="3"/>
      <c r="AD341" s="3" t="s">
        <v>351</v>
      </c>
      <c r="AE341" s="3">
        <v>1000</v>
      </c>
      <c r="AI341" s="4" t="s">
        <v>1617</v>
      </c>
      <c r="AJ341" s="4" t="s">
        <v>1617</v>
      </c>
      <c r="AK341" s="3"/>
      <c r="AL341" s="4">
        <v>141886</v>
      </c>
      <c r="AM341" s="5">
        <v>130792.74</v>
      </c>
      <c r="AN341" s="4" t="s">
        <v>124</v>
      </c>
      <c r="AO341" s="4">
        <v>99</v>
      </c>
      <c r="AP341" s="4">
        <v>80101706</v>
      </c>
    </row>
    <row r="342" spans="1:42" s="4" customFormat="1" x14ac:dyDescent="0.25">
      <c r="A342" s="3">
        <v>4604149</v>
      </c>
      <c r="B342" s="28">
        <v>41500</v>
      </c>
      <c r="C342" s="3" t="s">
        <v>2273</v>
      </c>
      <c r="D342" s="3">
        <v>10003918</v>
      </c>
      <c r="E342" s="4">
        <v>4533500</v>
      </c>
      <c r="F342" s="3" t="s">
        <v>49</v>
      </c>
      <c r="G342" s="4" t="s">
        <v>2323</v>
      </c>
      <c r="H342" s="4" t="s">
        <v>2327</v>
      </c>
      <c r="I342" s="5">
        <v>131139</v>
      </c>
      <c r="J342" s="3" t="s">
        <v>2328</v>
      </c>
      <c r="K342" s="3" t="s">
        <v>1775</v>
      </c>
      <c r="L342" s="3" t="s">
        <v>196</v>
      </c>
      <c r="M342" s="4" t="s">
        <v>2329</v>
      </c>
      <c r="N342" s="3" t="s">
        <v>25</v>
      </c>
      <c r="O342" s="3"/>
      <c r="Q342" s="3"/>
      <c r="R342" s="3"/>
      <c r="Y342" s="4" t="s">
        <v>2277</v>
      </c>
      <c r="Z342" s="4" t="s">
        <v>2293</v>
      </c>
      <c r="AB342" s="3"/>
      <c r="AC342" s="3"/>
      <c r="AD342" s="3" t="s">
        <v>2330</v>
      </c>
      <c r="AE342" s="3">
        <v>1000</v>
      </c>
      <c r="AI342" s="4" t="s">
        <v>2281</v>
      </c>
      <c r="AJ342" s="4" t="s">
        <v>2298</v>
      </c>
      <c r="AK342" s="3"/>
      <c r="AL342" s="4">
        <v>40306</v>
      </c>
      <c r="AM342" s="5">
        <v>131139</v>
      </c>
      <c r="AN342" s="4" t="s">
        <v>124</v>
      </c>
      <c r="AO342" s="4">
        <v>99</v>
      </c>
      <c r="AP342" s="4">
        <v>55110000</v>
      </c>
    </row>
    <row r="343" spans="1:42" s="4" customFormat="1" x14ac:dyDescent="0.25">
      <c r="A343" s="3">
        <v>4604811</v>
      </c>
      <c r="B343" s="28">
        <v>41985</v>
      </c>
      <c r="C343" s="3" t="s">
        <v>1278</v>
      </c>
      <c r="D343" s="3">
        <v>10004605</v>
      </c>
      <c r="E343" s="4">
        <v>4534162</v>
      </c>
      <c r="F343" s="3" t="s">
        <v>49</v>
      </c>
      <c r="G343" s="4" t="s">
        <v>1764</v>
      </c>
      <c r="H343" s="4" t="s">
        <v>1765</v>
      </c>
      <c r="I343" s="5">
        <v>135000</v>
      </c>
      <c r="J343" s="3" t="s">
        <v>436</v>
      </c>
      <c r="K343" s="3" t="s">
        <v>901</v>
      </c>
      <c r="L343" s="3" t="s">
        <v>196</v>
      </c>
      <c r="M343" s="4" t="s">
        <v>1765</v>
      </c>
      <c r="N343" s="3" t="s">
        <v>25</v>
      </c>
      <c r="O343" s="3"/>
      <c r="Q343" s="3"/>
      <c r="R343" s="3"/>
      <c r="Y343" s="4" t="s">
        <v>540</v>
      </c>
      <c r="Z343" s="4" t="s">
        <v>540</v>
      </c>
      <c r="AB343" s="3"/>
      <c r="AC343" s="3"/>
      <c r="AD343" s="3" t="s">
        <v>1240</v>
      </c>
      <c r="AE343" s="3">
        <v>1000</v>
      </c>
      <c r="AI343" s="4" t="s">
        <v>542</v>
      </c>
      <c r="AJ343" s="4" t="s">
        <v>542</v>
      </c>
      <c r="AK343" s="3"/>
      <c r="AL343" s="4">
        <v>140965</v>
      </c>
      <c r="AM343" s="5">
        <v>135000</v>
      </c>
      <c r="AN343" s="4" t="s">
        <v>124</v>
      </c>
      <c r="AO343" s="4">
        <v>99</v>
      </c>
      <c r="AP343" s="4">
        <v>72100000</v>
      </c>
    </row>
    <row r="344" spans="1:42" s="4" customFormat="1" x14ac:dyDescent="0.25">
      <c r="A344" s="3">
        <v>4604953</v>
      </c>
      <c r="B344" s="28">
        <v>42095</v>
      </c>
      <c r="C344" s="3" t="s">
        <v>392</v>
      </c>
      <c r="D344" s="3">
        <v>10004708</v>
      </c>
      <c r="E344" s="4">
        <v>4534304</v>
      </c>
      <c r="F344" s="3" t="s">
        <v>49</v>
      </c>
      <c r="G344" s="4" t="s">
        <v>525</v>
      </c>
      <c r="H344" s="4" t="s">
        <v>503</v>
      </c>
      <c r="I344" s="5">
        <v>135500</v>
      </c>
      <c r="J344" s="3" t="s">
        <v>502</v>
      </c>
      <c r="K344" s="3" t="s">
        <v>504</v>
      </c>
      <c r="L344" s="3" t="s">
        <v>119</v>
      </c>
      <c r="M344" s="4" t="s">
        <v>503</v>
      </c>
      <c r="N344" s="3" t="s">
        <v>25</v>
      </c>
      <c r="O344" s="3" t="s">
        <v>139</v>
      </c>
      <c r="P344" s="4" t="s">
        <v>282</v>
      </c>
      <c r="Q344" s="3"/>
      <c r="R344" s="3"/>
      <c r="Y344" s="4" t="s">
        <v>505</v>
      </c>
      <c r="Z344" s="4" t="s">
        <v>505</v>
      </c>
      <c r="AA344" s="4" t="s">
        <v>526</v>
      </c>
      <c r="AB344" s="3"/>
      <c r="AC344" s="3"/>
      <c r="AD344" s="3" t="s">
        <v>527</v>
      </c>
      <c r="AE344" s="3">
        <v>1000</v>
      </c>
      <c r="AI344" s="4" t="s">
        <v>507</v>
      </c>
      <c r="AJ344" s="4" t="s">
        <v>507</v>
      </c>
      <c r="AK344" s="3" t="s">
        <v>286</v>
      </c>
      <c r="AL344" s="4">
        <v>141897</v>
      </c>
      <c r="AM344" s="5">
        <v>135500</v>
      </c>
      <c r="AN344" s="4" t="s">
        <v>124</v>
      </c>
      <c r="AO344" s="4">
        <v>99</v>
      </c>
      <c r="AP344" s="4">
        <v>80101505</v>
      </c>
    </row>
    <row r="345" spans="1:42" s="4" customFormat="1" x14ac:dyDescent="0.25">
      <c r="A345" s="3">
        <v>4604627</v>
      </c>
      <c r="B345" s="28">
        <v>41845</v>
      </c>
      <c r="C345" s="3" t="s">
        <v>1278</v>
      </c>
      <c r="D345" s="3">
        <v>10004410</v>
      </c>
      <c r="E345" s="4">
        <v>4533978</v>
      </c>
      <c r="F345" s="3" t="s">
        <v>49</v>
      </c>
      <c r="G345" s="4" t="s">
        <v>1535</v>
      </c>
      <c r="H345" s="4" t="s">
        <v>1536</v>
      </c>
      <c r="I345" s="5">
        <v>135648.82999999999</v>
      </c>
      <c r="J345" s="3" t="s">
        <v>1537</v>
      </c>
      <c r="K345" s="3" t="s">
        <v>1538</v>
      </c>
      <c r="L345" s="3" t="s">
        <v>196</v>
      </c>
      <c r="M345" s="4" t="s">
        <v>1536</v>
      </c>
      <c r="N345" s="3" t="s">
        <v>25</v>
      </c>
      <c r="O345" s="3"/>
      <c r="Q345" s="3"/>
      <c r="R345" s="3"/>
      <c r="Y345" s="4" t="s">
        <v>1539</v>
      </c>
      <c r="Z345" s="4" t="s">
        <v>1539</v>
      </c>
      <c r="AB345" s="3"/>
      <c r="AC345" s="3"/>
      <c r="AD345" s="3" t="s">
        <v>1537</v>
      </c>
      <c r="AE345" s="3">
        <v>1000</v>
      </c>
      <c r="AI345" s="4" t="s">
        <v>1540</v>
      </c>
      <c r="AJ345" s="4" t="s">
        <v>1540</v>
      </c>
      <c r="AK345" s="3"/>
      <c r="AL345" s="4">
        <v>30292</v>
      </c>
      <c r="AM345" s="5">
        <v>135648.82999999999</v>
      </c>
      <c r="AN345" s="4" t="s">
        <v>124</v>
      </c>
      <c r="AO345" s="4">
        <v>99</v>
      </c>
      <c r="AP345" s="4">
        <v>80160000</v>
      </c>
    </row>
    <row r="346" spans="1:42" s="4" customFormat="1" x14ac:dyDescent="0.25">
      <c r="A346" s="3">
        <v>4604527</v>
      </c>
      <c r="B346" s="28">
        <v>41803</v>
      </c>
      <c r="C346" s="3" t="s">
        <v>1278</v>
      </c>
      <c r="D346" s="3">
        <v>10004314</v>
      </c>
      <c r="E346" s="4">
        <v>4533878</v>
      </c>
      <c r="F346" s="3" t="s">
        <v>49</v>
      </c>
      <c r="G346" s="4" t="s">
        <v>1370</v>
      </c>
      <c r="H346" s="4" t="s">
        <v>1371</v>
      </c>
      <c r="I346" s="5">
        <v>135930</v>
      </c>
      <c r="J346" s="3" t="s">
        <v>76</v>
      </c>
      <c r="K346" s="3" t="s">
        <v>77</v>
      </c>
      <c r="L346" s="3" t="s">
        <v>119</v>
      </c>
      <c r="M346" s="4" t="s">
        <v>1371</v>
      </c>
      <c r="N346" s="3" t="s">
        <v>56</v>
      </c>
      <c r="O346" s="3"/>
      <c r="Q346" s="3"/>
      <c r="R346" s="3"/>
      <c r="Y346" s="4" t="s">
        <v>466</v>
      </c>
      <c r="Z346" s="4" t="s">
        <v>466</v>
      </c>
      <c r="AA346" s="4" t="s">
        <v>1324</v>
      </c>
      <c r="AB346" s="3" t="s">
        <v>1372</v>
      </c>
      <c r="AC346" s="3" t="s">
        <v>1326</v>
      </c>
      <c r="AD346" s="3" t="s">
        <v>1373</v>
      </c>
      <c r="AE346" s="3">
        <v>1000</v>
      </c>
      <c r="AI346" s="4" t="s">
        <v>468</v>
      </c>
      <c r="AJ346" s="4" t="s">
        <v>468</v>
      </c>
      <c r="AK346" s="3"/>
      <c r="AL346" s="4">
        <v>140443</v>
      </c>
      <c r="AM346" s="5">
        <v>135930</v>
      </c>
      <c r="AN346" s="4" t="s">
        <v>124</v>
      </c>
      <c r="AO346" s="4">
        <v>99</v>
      </c>
      <c r="AP346" s="4">
        <v>43230000</v>
      </c>
    </row>
    <row r="347" spans="1:42" s="4" customFormat="1" x14ac:dyDescent="0.25">
      <c r="A347" s="3">
        <v>4604843</v>
      </c>
      <c r="B347" s="28">
        <v>42035</v>
      </c>
      <c r="C347" s="3" t="s">
        <v>1278</v>
      </c>
      <c r="D347" s="3">
        <v>10004641</v>
      </c>
      <c r="E347" s="4">
        <v>4534194</v>
      </c>
      <c r="F347" s="3" t="s">
        <v>49</v>
      </c>
      <c r="G347" s="4" t="s">
        <v>1303</v>
      </c>
      <c r="H347" s="4" t="s">
        <v>1801</v>
      </c>
      <c r="I347" s="5">
        <v>136125</v>
      </c>
      <c r="J347" s="3" t="s">
        <v>137</v>
      </c>
      <c r="K347" s="3" t="s">
        <v>294</v>
      </c>
      <c r="L347" s="3" t="s">
        <v>119</v>
      </c>
      <c r="M347" s="4" t="s">
        <v>1801</v>
      </c>
      <c r="N347" s="3" t="s">
        <v>25</v>
      </c>
      <c r="O347" s="3"/>
      <c r="Q347" s="3"/>
      <c r="R347" s="3"/>
      <c r="Y347" s="4" t="s">
        <v>1309</v>
      </c>
      <c r="Z347" s="4" t="s">
        <v>1309</v>
      </c>
      <c r="AA347" s="4" t="s">
        <v>1802</v>
      </c>
      <c r="AB347" s="3"/>
      <c r="AC347" s="3"/>
      <c r="AD347" s="3" t="s">
        <v>122</v>
      </c>
      <c r="AE347" s="3">
        <v>1000</v>
      </c>
      <c r="AI347" s="4" t="s">
        <v>1313</v>
      </c>
      <c r="AJ347" s="4" t="s">
        <v>1313</v>
      </c>
      <c r="AK347" s="3"/>
      <c r="AL347" s="4">
        <v>141677</v>
      </c>
      <c r="AM347" s="5">
        <v>136125</v>
      </c>
      <c r="AN347" s="4" t="s">
        <v>124</v>
      </c>
      <c r="AO347" s="4">
        <v>99</v>
      </c>
      <c r="AP347" s="4">
        <v>43230000</v>
      </c>
    </row>
    <row r="348" spans="1:42" s="4" customFormat="1" x14ac:dyDescent="0.25">
      <c r="A348" s="3">
        <v>4604773</v>
      </c>
      <c r="B348" s="28">
        <v>41953</v>
      </c>
      <c r="C348" s="3" t="s">
        <v>1278</v>
      </c>
      <c r="D348" s="3">
        <v>10004570</v>
      </c>
      <c r="E348" s="4">
        <v>4534124</v>
      </c>
      <c r="F348" s="3" t="s">
        <v>49</v>
      </c>
      <c r="G348" s="4" t="s">
        <v>174</v>
      </c>
      <c r="H348" s="4" t="s">
        <v>1721</v>
      </c>
      <c r="I348" s="5">
        <v>137000</v>
      </c>
      <c r="J348" s="3" t="s">
        <v>1720</v>
      </c>
      <c r="K348" s="3" t="s">
        <v>77</v>
      </c>
      <c r="L348" s="3" t="s">
        <v>119</v>
      </c>
      <c r="M348" s="4" t="s">
        <v>1721</v>
      </c>
      <c r="N348" s="3" t="s">
        <v>56</v>
      </c>
      <c r="O348" s="3"/>
      <c r="Q348" s="3"/>
      <c r="R348" s="3"/>
      <c r="Y348" s="4" t="s">
        <v>178</v>
      </c>
      <c r="Z348" s="4" t="s">
        <v>178</v>
      </c>
      <c r="AA348" s="4" t="s">
        <v>188</v>
      </c>
      <c r="AB348" s="3" t="s">
        <v>401</v>
      </c>
      <c r="AC348" s="3" t="s">
        <v>190</v>
      </c>
      <c r="AD348" s="3" t="s">
        <v>53</v>
      </c>
      <c r="AE348" s="3">
        <v>1000</v>
      </c>
      <c r="AI348" s="4" t="s">
        <v>181</v>
      </c>
      <c r="AJ348" s="4" t="s">
        <v>181</v>
      </c>
      <c r="AK348" s="3"/>
      <c r="AL348" s="4">
        <v>40476</v>
      </c>
      <c r="AM348" s="5">
        <v>137000</v>
      </c>
      <c r="AN348" s="4" t="s">
        <v>124</v>
      </c>
      <c r="AO348" s="4">
        <v>98</v>
      </c>
      <c r="AP348" s="4">
        <v>80111600</v>
      </c>
    </row>
    <row r="349" spans="1:42" s="4" customFormat="1" x14ac:dyDescent="0.25">
      <c r="A349" s="3">
        <v>4604398</v>
      </c>
      <c r="B349" s="28">
        <v>42184</v>
      </c>
      <c r="C349" s="3" t="s">
        <v>1278</v>
      </c>
      <c r="D349" s="3">
        <v>10004189</v>
      </c>
      <c r="E349" s="4">
        <v>4533749</v>
      </c>
      <c r="F349" s="3" t="s">
        <v>49</v>
      </c>
      <c r="G349" s="4" t="s">
        <v>318</v>
      </c>
      <c r="H349" s="4" t="s">
        <v>1317</v>
      </c>
      <c r="I349" s="5">
        <v>138038.87</v>
      </c>
      <c r="J349" s="3" t="s">
        <v>1318</v>
      </c>
      <c r="K349" s="3" t="s">
        <v>77</v>
      </c>
      <c r="L349" s="3" t="s">
        <v>119</v>
      </c>
      <c r="M349" s="4" t="s">
        <v>1319</v>
      </c>
      <c r="N349" s="3" t="s">
        <v>56</v>
      </c>
      <c r="O349" s="3"/>
      <c r="Q349" s="3"/>
      <c r="R349" s="3"/>
      <c r="Y349" s="4" t="s">
        <v>179</v>
      </c>
      <c r="Z349" s="4" t="s">
        <v>179</v>
      </c>
      <c r="AA349" s="4" t="s">
        <v>188</v>
      </c>
      <c r="AB349" s="3" t="s">
        <v>1320</v>
      </c>
      <c r="AC349" s="3" t="s">
        <v>190</v>
      </c>
      <c r="AD349" s="3" t="s">
        <v>77</v>
      </c>
      <c r="AE349" s="3">
        <v>5000</v>
      </c>
      <c r="AI349" s="4" t="s">
        <v>182</v>
      </c>
      <c r="AJ349" s="4" t="s">
        <v>182</v>
      </c>
      <c r="AK349" s="3"/>
      <c r="AL349" s="4">
        <v>141551</v>
      </c>
      <c r="AM349" s="5">
        <v>138038.87</v>
      </c>
      <c r="AN349" s="4" t="s">
        <v>31</v>
      </c>
      <c r="AO349" s="4">
        <v>98</v>
      </c>
      <c r="AP349" s="4">
        <v>80111600</v>
      </c>
    </row>
    <row r="350" spans="1:42" s="4" customFormat="1" x14ac:dyDescent="0.25">
      <c r="A350" s="3">
        <v>4604526</v>
      </c>
      <c r="B350" s="28">
        <v>41803</v>
      </c>
      <c r="C350" s="3" t="s">
        <v>1278</v>
      </c>
      <c r="D350" s="3">
        <v>10004314</v>
      </c>
      <c r="E350" s="4">
        <v>4533877</v>
      </c>
      <c r="F350" s="3" t="s">
        <v>49</v>
      </c>
      <c r="G350" s="4" t="s">
        <v>1353</v>
      </c>
      <c r="H350" s="4" t="s">
        <v>1369</v>
      </c>
      <c r="I350" s="5">
        <v>138228</v>
      </c>
      <c r="J350" s="3" t="s">
        <v>76</v>
      </c>
      <c r="K350" s="3" t="s">
        <v>77</v>
      </c>
      <c r="L350" s="3" t="s">
        <v>119</v>
      </c>
      <c r="M350" s="4" t="s">
        <v>1369</v>
      </c>
      <c r="N350" s="3" t="s">
        <v>56</v>
      </c>
      <c r="O350" s="3"/>
      <c r="Q350" s="3"/>
      <c r="R350" s="3"/>
      <c r="Y350" s="4" t="s">
        <v>466</v>
      </c>
      <c r="Z350" s="4" t="s">
        <v>466</v>
      </c>
      <c r="AA350" s="4" t="s">
        <v>1324</v>
      </c>
      <c r="AB350" s="3" t="s">
        <v>1355</v>
      </c>
      <c r="AC350" s="3" t="s">
        <v>1326</v>
      </c>
      <c r="AD350" s="3" t="s">
        <v>1356</v>
      </c>
      <c r="AE350" s="3">
        <v>1000</v>
      </c>
      <c r="AI350" s="4" t="s">
        <v>468</v>
      </c>
      <c r="AJ350" s="4" t="s">
        <v>468</v>
      </c>
      <c r="AK350" s="3"/>
      <c r="AL350" s="4">
        <v>140449</v>
      </c>
      <c r="AM350" s="5">
        <v>138228</v>
      </c>
      <c r="AN350" s="4" t="s">
        <v>124</v>
      </c>
      <c r="AO350" s="4">
        <v>99</v>
      </c>
      <c r="AP350" s="4">
        <v>43230000</v>
      </c>
    </row>
    <row r="351" spans="1:42" s="4" customFormat="1" x14ac:dyDescent="0.25">
      <c r="A351" s="3">
        <v>4604765</v>
      </c>
      <c r="B351" s="28">
        <v>41933</v>
      </c>
      <c r="C351" s="3" t="s">
        <v>1278</v>
      </c>
      <c r="D351" s="3">
        <v>10004531</v>
      </c>
      <c r="E351" s="4">
        <v>4534116</v>
      </c>
      <c r="F351" s="3" t="s">
        <v>49</v>
      </c>
      <c r="G351" s="4" t="s">
        <v>1710</v>
      </c>
      <c r="H351" s="4" t="s">
        <v>1711</v>
      </c>
      <c r="I351" s="5">
        <v>139593.51999999999</v>
      </c>
      <c r="J351" s="3" t="s">
        <v>1570</v>
      </c>
      <c r="K351" s="3" t="s">
        <v>510</v>
      </c>
      <c r="L351" s="3" t="s">
        <v>119</v>
      </c>
      <c r="M351" s="4" t="s">
        <v>1711</v>
      </c>
      <c r="N351" s="3" t="s">
        <v>56</v>
      </c>
      <c r="O351" s="3"/>
      <c r="Q351" s="3"/>
      <c r="R351" s="3"/>
      <c r="Y351" s="4" t="s">
        <v>1309</v>
      </c>
      <c r="Z351" s="4" t="s">
        <v>1309</v>
      </c>
      <c r="AA351" s="4" t="s">
        <v>412</v>
      </c>
      <c r="AB351" s="3" t="s">
        <v>1712</v>
      </c>
      <c r="AC351" s="3" t="s">
        <v>414</v>
      </c>
      <c r="AD351" s="3" t="s">
        <v>369</v>
      </c>
      <c r="AE351" s="3">
        <v>1000</v>
      </c>
      <c r="AI351" s="4" t="s">
        <v>1313</v>
      </c>
      <c r="AJ351" s="4" t="s">
        <v>1313</v>
      </c>
      <c r="AK351" s="3"/>
      <c r="AL351" s="4">
        <v>47444</v>
      </c>
      <c r="AM351" s="5">
        <v>139593.51999999999</v>
      </c>
      <c r="AN351" s="4" t="s">
        <v>124</v>
      </c>
      <c r="AO351" s="4">
        <v>99</v>
      </c>
      <c r="AP351" s="4">
        <v>80101600</v>
      </c>
    </row>
    <row r="352" spans="1:42" s="4" customFormat="1" x14ac:dyDescent="0.25">
      <c r="A352" s="3">
        <v>4604934</v>
      </c>
      <c r="B352" s="28">
        <v>42244</v>
      </c>
      <c r="C352" s="3" t="s">
        <v>2093</v>
      </c>
      <c r="D352" s="3">
        <v>10004757</v>
      </c>
      <c r="E352" s="4">
        <v>4534285</v>
      </c>
      <c r="F352" s="3" t="s">
        <v>49</v>
      </c>
      <c r="G352" s="4" t="s">
        <v>572</v>
      </c>
      <c r="H352" s="4" t="s">
        <v>2125</v>
      </c>
      <c r="I352" s="5">
        <v>140000</v>
      </c>
      <c r="J352" s="3" t="s">
        <v>500</v>
      </c>
      <c r="K352" s="3" t="s">
        <v>1727</v>
      </c>
      <c r="L352" s="3" t="s">
        <v>196</v>
      </c>
      <c r="M352" s="4" t="s">
        <v>2125</v>
      </c>
      <c r="N352" s="3" t="s">
        <v>25</v>
      </c>
      <c r="O352" s="3"/>
      <c r="Q352" s="3"/>
      <c r="R352" s="3"/>
      <c r="Y352" s="4" t="s">
        <v>1616</v>
      </c>
      <c r="Z352" s="4" t="s">
        <v>1616</v>
      </c>
      <c r="AA352" s="4" t="s">
        <v>2124</v>
      </c>
      <c r="AB352" s="3"/>
      <c r="AC352" s="3"/>
      <c r="AD352" s="3" t="s">
        <v>472</v>
      </c>
      <c r="AE352" s="3">
        <v>1000</v>
      </c>
      <c r="AI352" s="4" t="s">
        <v>1617</v>
      </c>
      <c r="AJ352" s="4" t="s">
        <v>1617</v>
      </c>
      <c r="AK352" s="3"/>
      <c r="AL352" s="4">
        <v>45868</v>
      </c>
      <c r="AM352" s="5">
        <v>140000</v>
      </c>
      <c r="AN352" s="4" t="s">
        <v>124</v>
      </c>
      <c r="AO352" s="4">
        <v>99</v>
      </c>
      <c r="AP352" s="4">
        <v>80101706</v>
      </c>
    </row>
    <row r="353" spans="1:42" s="4" customFormat="1" x14ac:dyDescent="0.25">
      <c r="A353" s="3">
        <v>4604904</v>
      </c>
      <c r="B353" s="28">
        <v>42093</v>
      </c>
      <c r="C353" s="3" t="s">
        <v>1278</v>
      </c>
      <c r="D353" s="3">
        <v>10004620</v>
      </c>
      <c r="E353" s="4">
        <v>4534255</v>
      </c>
      <c r="F353" s="3" t="s">
        <v>49</v>
      </c>
      <c r="G353" s="4" t="s">
        <v>1894</v>
      </c>
      <c r="H353" s="4" t="s">
        <v>1798</v>
      </c>
      <c r="I353" s="5">
        <v>141075.82</v>
      </c>
      <c r="J353" s="3" t="s">
        <v>335</v>
      </c>
      <c r="K353" s="3" t="s">
        <v>901</v>
      </c>
      <c r="L353" s="3" t="s">
        <v>119</v>
      </c>
      <c r="M353" s="4" t="s">
        <v>1895</v>
      </c>
      <c r="N353" s="3" t="s">
        <v>25</v>
      </c>
      <c r="O353" s="3"/>
      <c r="Q353" s="3"/>
      <c r="R353" s="3"/>
      <c r="Y353" s="4" t="s">
        <v>1141</v>
      </c>
      <c r="Z353" s="4" t="s">
        <v>1090</v>
      </c>
      <c r="AA353" s="4" t="s">
        <v>1645</v>
      </c>
      <c r="AB353" s="3"/>
      <c r="AC353" s="3"/>
      <c r="AD353" s="3" t="s">
        <v>1136</v>
      </c>
      <c r="AE353" s="3">
        <v>1000</v>
      </c>
      <c r="AI353" s="4" t="s">
        <v>1144</v>
      </c>
      <c r="AJ353" s="4" t="s">
        <v>1091</v>
      </c>
      <c r="AK353" s="3"/>
      <c r="AL353" s="4">
        <v>141877</v>
      </c>
      <c r="AM353" s="5">
        <v>141075.82</v>
      </c>
      <c r="AN353" s="4" t="s">
        <v>124</v>
      </c>
      <c r="AO353" s="4">
        <v>99</v>
      </c>
      <c r="AP353" s="4">
        <v>72100000</v>
      </c>
    </row>
    <row r="354" spans="1:42" s="4" customFormat="1" x14ac:dyDescent="0.25">
      <c r="A354" s="3">
        <v>4604900</v>
      </c>
      <c r="B354" s="28">
        <v>42089</v>
      </c>
      <c r="C354" s="3" t="s">
        <v>2158</v>
      </c>
      <c r="D354" s="3">
        <v>10004712</v>
      </c>
      <c r="E354" s="4">
        <v>4534251</v>
      </c>
      <c r="F354" s="3" t="s">
        <v>49</v>
      </c>
      <c r="G354" s="4" t="s">
        <v>2218</v>
      </c>
      <c r="H354" s="4" t="s">
        <v>2244</v>
      </c>
      <c r="I354" s="5">
        <v>142807</v>
      </c>
      <c r="J354" s="3" t="s">
        <v>1136</v>
      </c>
      <c r="K354" s="3" t="s">
        <v>353</v>
      </c>
      <c r="L354" s="3" t="s">
        <v>119</v>
      </c>
      <c r="M354" s="4" t="s">
        <v>2245</v>
      </c>
      <c r="N354" s="3" t="s">
        <v>56</v>
      </c>
      <c r="O354" s="3"/>
      <c r="Q354" s="3" t="s">
        <v>139</v>
      </c>
      <c r="R354" s="3" t="s">
        <v>215</v>
      </c>
      <c r="S354" s="4" t="s">
        <v>216</v>
      </c>
      <c r="U354" s="4" t="s">
        <v>139</v>
      </c>
      <c r="V354" s="4" t="s">
        <v>119</v>
      </c>
      <c r="W354" s="4" t="s">
        <v>217</v>
      </c>
      <c r="X354" s="4" t="s">
        <v>2246</v>
      </c>
      <c r="Y354" s="4" t="s">
        <v>2223</v>
      </c>
      <c r="Z354" s="4" t="s">
        <v>2223</v>
      </c>
      <c r="AA354" s="4" t="s">
        <v>1284</v>
      </c>
      <c r="AB354" s="3" t="s">
        <v>2247</v>
      </c>
      <c r="AC354" s="3" t="s">
        <v>1286</v>
      </c>
      <c r="AD354" s="3" t="s">
        <v>511</v>
      </c>
      <c r="AE354" s="3">
        <v>1000</v>
      </c>
      <c r="AI354" s="4" t="s">
        <v>2224</v>
      </c>
      <c r="AJ354" s="4" t="s">
        <v>2224</v>
      </c>
      <c r="AK354" s="3"/>
      <c r="AL354" s="4">
        <v>141816</v>
      </c>
      <c r="AM354" s="5">
        <v>142807</v>
      </c>
      <c r="AN354" s="4" t="s">
        <v>124</v>
      </c>
      <c r="AO354" s="4">
        <v>99</v>
      </c>
      <c r="AP354" s="4">
        <v>80100000</v>
      </c>
    </row>
    <row r="355" spans="1:42" s="4" customFormat="1" x14ac:dyDescent="0.25">
      <c r="A355" s="3">
        <v>4603975</v>
      </c>
      <c r="B355" s="28">
        <v>41456</v>
      </c>
      <c r="C355" s="3" t="s">
        <v>2273</v>
      </c>
      <c r="D355" s="3">
        <v>10003731</v>
      </c>
      <c r="E355" s="4">
        <v>4533326</v>
      </c>
      <c r="F355" s="3" t="s">
        <v>49</v>
      </c>
      <c r="G355" s="4" t="s">
        <v>2323</v>
      </c>
      <c r="H355" s="4" t="s">
        <v>2324</v>
      </c>
      <c r="I355" s="5">
        <v>143160</v>
      </c>
      <c r="J355" s="3" t="s">
        <v>631</v>
      </c>
      <c r="K355" s="3" t="s">
        <v>77</v>
      </c>
      <c r="L355" s="3" t="s">
        <v>196</v>
      </c>
      <c r="M355" s="4" t="s">
        <v>2325</v>
      </c>
      <c r="N355" s="3" t="s">
        <v>25</v>
      </c>
      <c r="O355" s="3"/>
      <c r="Q355" s="3"/>
      <c r="R355" s="3"/>
      <c r="Y355" s="4" t="s">
        <v>2277</v>
      </c>
      <c r="Z355" s="4" t="s">
        <v>2293</v>
      </c>
      <c r="AB355" s="3"/>
      <c r="AC355" s="3"/>
      <c r="AD355" s="3" t="s">
        <v>2326</v>
      </c>
      <c r="AE355" s="3">
        <v>1000</v>
      </c>
      <c r="AI355" s="4" t="s">
        <v>2281</v>
      </c>
      <c r="AJ355" s="4" t="s">
        <v>2298</v>
      </c>
      <c r="AK355" s="3"/>
      <c r="AL355" s="4">
        <v>40306</v>
      </c>
      <c r="AM355" s="5">
        <v>143160</v>
      </c>
      <c r="AN355" s="4" t="s">
        <v>124</v>
      </c>
      <c r="AO355" s="4">
        <v>99</v>
      </c>
      <c r="AP355" s="4">
        <v>55101500</v>
      </c>
    </row>
    <row r="356" spans="1:42" s="4" customFormat="1" x14ac:dyDescent="0.25">
      <c r="A356" s="3">
        <v>4604727</v>
      </c>
      <c r="B356" s="28">
        <v>41919</v>
      </c>
      <c r="C356" s="3" t="s">
        <v>1278</v>
      </c>
      <c r="D356" s="3">
        <v>10004524</v>
      </c>
      <c r="E356" s="4">
        <v>4534078</v>
      </c>
      <c r="F356" s="3" t="s">
        <v>49</v>
      </c>
      <c r="G356" s="4" t="s">
        <v>1666</v>
      </c>
      <c r="H356" s="4" t="s">
        <v>1667</v>
      </c>
      <c r="I356" s="5">
        <v>143503.79999999999</v>
      </c>
      <c r="J356" s="3" t="s">
        <v>795</v>
      </c>
      <c r="K356" s="3" t="s">
        <v>1668</v>
      </c>
      <c r="L356" s="3" t="s">
        <v>196</v>
      </c>
      <c r="M356" s="4" t="s">
        <v>1667</v>
      </c>
      <c r="N356" s="3" t="s">
        <v>25</v>
      </c>
      <c r="O356" s="3"/>
      <c r="Q356" s="3"/>
      <c r="R356" s="3"/>
      <c r="Y356" s="4" t="s">
        <v>1056</v>
      </c>
      <c r="Z356" s="4" t="s">
        <v>1056</v>
      </c>
      <c r="AB356" s="3"/>
      <c r="AC356" s="3"/>
      <c r="AD356" s="3" t="s">
        <v>284</v>
      </c>
      <c r="AE356" s="3">
        <v>1000</v>
      </c>
      <c r="AI356" s="4" t="s">
        <v>1058</v>
      </c>
      <c r="AJ356" s="4" t="s">
        <v>1058</v>
      </c>
      <c r="AK356" s="3"/>
      <c r="AL356" s="4">
        <v>140565</v>
      </c>
      <c r="AM356" s="5">
        <v>143503.79999999999</v>
      </c>
      <c r="AN356" s="4" t="s">
        <v>124</v>
      </c>
      <c r="AO356" s="4">
        <v>99</v>
      </c>
      <c r="AP356" s="4">
        <v>83110000</v>
      </c>
    </row>
    <row r="357" spans="1:42" s="4" customFormat="1" x14ac:dyDescent="0.25">
      <c r="A357" s="3">
        <v>4604390</v>
      </c>
      <c r="B357" s="28">
        <v>41712</v>
      </c>
      <c r="C357" s="3" t="s">
        <v>1278</v>
      </c>
      <c r="D357" s="3">
        <v>10004181</v>
      </c>
      <c r="E357" s="4">
        <v>4533741</v>
      </c>
      <c r="F357" s="3" t="s">
        <v>49</v>
      </c>
      <c r="G357" s="4" t="s">
        <v>174</v>
      </c>
      <c r="H357" s="4" t="s">
        <v>1315</v>
      </c>
      <c r="I357" s="5">
        <v>143615</v>
      </c>
      <c r="J357" s="3" t="s">
        <v>1314</v>
      </c>
      <c r="K357" s="3" t="s">
        <v>807</v>
      </c>
      <c r="L357" s="3" t="s">
        <v>119</v>
      </c>
      <c r="M357" s="4" t="s">
        <v>1316</v>
      </c>
      <c r="N357" s="3" t="s">
        <v>56</v>
      </c>
      <c r="O357" s="3"/>
      <c r="Q357" s="3"/>
      <c r="R357" s="3"/>
      <c r="Y357" s="4" t="s">
        <v>179</v>
      </c>
      <c r="Z357" s="4" t="s">
        <v>179</v>
      </c>
      <c r="AA357" s="4" t="s">
        <v>188</v>
      </c>
      <c r="AB357" s="3" t="s">
        <v>401</v>
      </c>
      <c r="AC357" s="3" t="s">
        <v>190</v>
      </c>
      <c r="AD357" s="3" t="s">
        <v>447</v>
      </c>
      <c r="AE357" s="3">
        <v>5000</v>
      </c>
      <c r="AI357" s="4" t="s">
        <v>182</v>
      </c>
      <c r="AJ357" s="4" t="s">
        <v>182</v>
      </c>
      <c r="AK357" s="3"/>
      <c r="AL357" s="4">
        <v>40476</v>
      </c>
      <c r="AM357" s="5">
        <v>143615</v>
      </c>
      <c r="AN357" s="4" t="s">
        <v>31</v>
      </c>
      <c r="AO357" s="4">
        <v>99</v>
      </c>
      <c r="AP357" s="4">
        <v>80111600</v>
      </c>
    </row>
    <row r="358" spans="1:42" s="4" customFormat="1" x14ac:dyDescent="0.25">
      <c r="A358" s="3">
        <v>4604607</v>
      </c>
      <c r="B358" s="28">
        <v>41829</v>
      </c>
      <c r="C358" s="3" t="s">
        <v>1278</v>
      </c>
      <c r="D358" s="3">
        <v>10004386</v>
      </c>
      <c r="E358" s="4">
        <v>4533958</v>
      </c>
      <c r="F358" s="3" t="s">
        <v>49</v>
      </c>
      <c r="G358" s="4" t="s">
        <v>1053</v>
      </c>
      <c r="H358" s="4" t="s">
        <v>1489</v>
      </c>
      <c r="I358" s="5">
        <v>146014.12</v>
      </c>
      <c r="J358" s="3" t="s">
        <v>211</v>
      </c>
      <c r="K358" s="3" t="s">
        <v>214</v>
      </c>
      <c r="L358" s="3" t="s">
        <v>119</v>
      </c>
      <c r="M358" s="4" t="s">
        <v>1490</v>
      </c>
      <c r="N358" s="3" t="s">
        <v>56</v>
      </c>
      <c r="O358" s="3"/>
      <c r="Q358" s="3"/>
      <c r="R358" s="3"/>
      <c r="Y358" s="4" t="s">
        <v>1056</v>
      </c>
      <c r="Z358" s="4" t="s">
        <v>1090</v>
      </c>
      <c r="AA358" s="4" t="s">
        <v>1057</v>
      </c>
      <c r="AB358" s="3" t="s">
        <v>1057</v>
      </c>
      <c r="AC358" s="3" t="s">
        <v>1340</v>
      </c>
      <c r="AD358" s="3" t="s">
        <v>211</v>
      </c>
      <c r="AE358" s="3">
        <v>1000</v>
      </c>
      <c r="AI358" s="4" t="s">
        <v>1058</v>
      </c>
      <c r="AJ358" s="4" t="s">
        <v>1091</v>
      </c>
      <c r="AK358" s="3"/>
      <c r="AL358" s="4">
        <v>140248</v>
      </c>
      <c r="AM358" s="5">
        <v>146014.12</v>
      </c>
      <c r="AN358" s="4" t="s">
        <v>124</v>
      </c>
      <c r="AO358" s="4">
        <v>99</v>
      </c>
      <c r="AP358" s="4">
        <v>43230000</v>
      </c>
    </row>
    <row r="359" spans="1:42" s="4" customFormat="1" x14ac:dyDescent="0.25">
      <c r="A359" s="3">
        <v>4604490</v>
      </c>
      <c r="B359" s="28">
        <v>41781</v>
      </c>
      <c r="C359" s="3" t="s">
        <v>2342</v>
      </c>
      <c r="D359" s="3">
        <v>10004279</v>
      </c>
      <c r="E359" s="4">
        <v>4533841</v>
      </c>
      <c r="F359" s="3" t="s">
        <v>49</v>
      </c>
      <c r="G359" s="4" t="s">
        <v>2300</v>
      </c>
      <c r="H359" s="4" t="s">
        <v>2301</v>
      </c>
      <c r="I359" s="5">
        <v>149050</v>
      </c>
      <c r="J359" s="3" t="s">
        <v>744</v>
      </c>
      <c r="K359" s="3" t="s">
        <v>832</v>
      </c>
      <c r="L359" s="3" t="s">
        <v>1046</v>
      </c>
      <c r="M359" s="4" t="s">
        <v>2361</v>
      </c>
      <c r="N359" s="3" t="s">
        <v>25</v>
      </c>
      <c r="O359" s="3"/>
      <c r="Q359" s="3" t="s">
        <v>139</v>
      </c>
      <c r="R359" s="3" t="s">
        <v>215</v>
      </c>
      <c r="S359" s="4" t="s">
        <v>216</v>
      </c>
      <c r="U359" s="4" t="s">
        <v>139</v>
      </c>
      <c r="V359" s="4" t="s">
        <v>427</v>
      </c>
      <c r="W359" s="4" t="s">
        <v>428</v>
      </c>
      <c r="Y359" s="4" t="s">
        <v>2277</v>
      </c>
      <c r="Z359" s="4" t="s">
        <v>2293</v>
      </c>
      <c r="AB359" s="3"/>
      <c r="AC359" s="3"/>
      <c r="AD359" s="3" t="s">
        <v>2228</v>
      </c>
      <c r="AE359" s="3">
        <v>1000</v>
      </c>
      <c r="AI359" s="4" t="s">
        <v>2281</v>
      </c>
      <c r="AJ359" s="4" t="s">
        <v>2298</v>
      </c>
      <c r="AK359" s="3"/>
      <c r="AL359" s="4">
        <v>30080</v>
      </c>
      <c r="AM359" s="5">
        <v>149050</v>
      </c>
      <c r="AN359" s="4" t="s">
        <v>2282</v>
      </c>
      <c r="AO359" s="4">
        <v>98</v>
      </c>
      <c r="AP359" s="4">
        <v>80120000</v>
      </c>
    </row>
    <row r="360" spans="1:42" s="4" customFormat="1" x14ac:dyDescent="0.25">
      <c r="A360" s="3">
        <v>4603609</v>
      </c>
      <c r="B360" s="28">
        <v>42143</v>
      </c>
      <c r="C360" s="3" t="s">
        <v>1042</v>
      </c>
      <c r="D360" s="3">
        <v>10003450</v>
      </c>
      <c r="E360" s="4">
        <v>4532960</v>
      </c>
      <c r="F360" s="3" t="s">
        <v>49</v>
      </c>
      <c r="G360" s="4" t="s">
        <v>1150</v>
      </c>
      <c r="H360" s="4" t="s">
        <v>1151</v>
      </c>
      <c r="I360" s="5">
        <v>149728</v>
      </c>
      <c r="J360" s="3" t="s">
        <v>955</v>
      </c>
      <c r="K360" s="3" t="s">
        <v>1152</v>
      </c>
      <c r="L360" s="3" t="s">
        <v>196</v>
      </c>
      <c r="M360" s="4" t="s">
        <v>1151</v>
      </c>
      <c r="N360" s="3" t="s">
        <v>25</v>
      </c>
      <c r="O360" s="3"/>
      <c r="Q360" s="3"/>
      <c r="R360" s="3"/>
      <c r="Y360" s="4" t="s">
        <v>1068</v>
      </c>
      <c r="Z360" s="4" t="s">
        <v>1090</v>
      </c>
      <c r="AB360" s="3"/>
      <c r="AC360" s="3"/>
      <c r="AD360" s="3" t="s">
        <v>419</v>
      </c>
      <c r="AE360" s="3">
        <v>1000</v>
      </c>
      <c r="AI360" s="4" t="s">
        <v>1071</v>
      </c>
      <c r="AJ360" s="4" t="s">
        <v>1091</v>
      </c>
      <c r="AK360" s="3"/>
      <c r="AL360" s="4">
        <v>49719</v>
      </c>
      <c r="AM360" s="5">
        <v>149728</v>
      </c>
      <c r="AN360" s="4" t="s">
        <v>124</v>
      </c>
      <c r="AO360" s="4">
        <v>98</v>
      </c>
      <c r="AP360" s="4">
        <v>46171619</v>
      </c>
    </row>
    <row r="361" spans="1:42" s="4" customFormat="1" x14ac:dyDescent="0.25">
      <c r="A361" s="3">
        <v>4604548</v>
      </c>
      <c r="B361" s="28">
        <v>41821</v>
      </c>
      <c r="C361" s="3" t="s">
        <v>1278</v>
      </c>
      <c r="D361" s="3">
        <v>10004333</v>
      </c>
      <c r="E361" s="4">
        <v>4533899</v>
      </c>
      <c r="F361" s="3" t="s">
        <v>49</v>
      </c>
      <c r="G361" s="4" t="s">
        <v>1391</v>
      </c>
      <c r="H361" s="4" t="s">
        <v>1392</v>
      </c>
      <c r="I361" s="5">
        <v>150000</v>
      </c>
      <c r="J361" s="3" t="s">
        <v>76</v>
      </c>
      <c r="K361" s="3" t="s">
        <v>77</v>
      </c>
      <c r="L361" s="3" t="s">
        <v>196</v>
      </c>
      <c r="M361" s="4" t="s">
        <v>1392</v>
      </c>
      <c r="N361" s="3" t="s">
        <v>25</v>
      </c>
      <c r="O361" s="3"/>
      <c r="Q361" s="3"/>
      <c r="R361" s="3"/>
      <c r="Y361" s="4" t="s">
        <v>1393</v>
      </c>
      <c r="Z361" s="4" t="s">
        <v>1393</v>
      </c>
      <c r="AB361" s="3"/>
      <c r="AC361" s="3"/>
      <c r="AD361" s="3" t="s">
        <v>1394</v>
      </c>
      <c r="AE361" s="3">
        <v>1000</v>
      </c>
      <c r="AI361" s="4" t="s">
        <v>1395</v>
      </c>
      <c r="AJ361" s="4" t="s">
        <v>1395</v>
      </c>
      <c r="AK361" s="3"/>
      <c r="AL361" s="4">
        <v>40349</v>
      </c>
      <c r="AM361" s="5">
        <v>150000</v>
      </c>
      <c r="AN361" s="4" t="s">
        <v>124</v>
      </c>
      <c r="AO361" s="4">
        <v>99</v>
      </c>
      <c r="AP361" s="4">
        <v>93150000</v>
      </c>
    </row>
    <row r="362" spans="1:42" s="4" customFormat="1" x14ac:dyDescent="0.25">
      <c r="A362" s="3">
        <v>4604759</v>
      </c>
      <c r="B362" s="28">
        <v>41957</v>
      </c>
      <c r="C362" s="3" t="s">
        <v>1278</v>
      </c>
      <c r="D362" s="3">
        <v>10004554</v>
      </c>
      <c r="E362" s="4">
        <v>4534110</v>
      </c>
      <c r="F362" s="3" t="s">
        <v>49</v>
      </c>
      <c r="G362" s="4" t="s">
        <v>1380</v>
      </c>
      <c r="H362" s="4" t="s">
        <v>1706</v>
      </c>
      <c r="I362" s="5">
        <v>150000</v>
      </c>
      <c r="J362" s="3" t="s">
        <v>310</v>
      </c>
      <c r="K362" s="3" t="s">
        <v>77</v>
      </c>
      <c r="L362" s="3" t="s">
        <v>196</v>
      </c>
      <c r="M362" s="4" t="s">
        <v>1706</v>
      </c>
      <c r="N362" s="3" t="s">
        <v>25</v>
      </c>
      <c r="O362" s="3"/>
      <c r="Q362" s="3"/>
      <c r="R362" s="3"/>
      <c r="Y362" s="4" t="s">
        <v>1047</v>
      </c>
      <c r="Z362" s="4" t="s">
        <v>1047</v>
      </c>
      <c r="AB362" s="3"/>
      <c r="AC362" s="3"/>
      <c r="AD362" s="3" t="s">
        <v>369</v>
      </c>
      <c r="AE362" s="3">
        <v>1000</v>
      </c>
      <c r="AI362" s="4" t="s">
        <v>1050</v>
      </c>
      <c r="AJ362" s="4" t="s">
        <v>1050</v>
      </c>
      <c r="AK362" s="3"/>
      <c r="AL362" s="4">
        <v>46327</v>
      </c>
      <c r="AM362" s="5">
        <v>150000</v>
      </c>
      <c r="AN362" s="4" t="s">
        <v>124</v>
      </c>
      <c r="AO362" s="4">
        <v>96</v>
      </c>
      <c r="AP362" s="4">
        <v>81112200</v>
      </c>
    </row>
    <row r="363" spans="1:42" s="4" customFormat="1" x14ac:dyDescent="0.25">
      <c r="A363" s="3">
        <v>4601104</v>
      </c>
      <c r="B363" s="28">
        <v>40665</v>
      </c>
      <c r="C363" s="3" t="s">
        <v>2273</v>
      </c>
      <c r="D363" s="3">
        <v>10001176</v>
      </c>
      <c r="E363" s="4">
        <v>4530454</v>
      </c>
      <c r="F363" s="3" t="s">
        <v>49</v>
      </c>
      <c r="G363" s="4" t="s">
        <v>2290</v>
      </c>
      <c r="H363" s="4" t="s">
        <v>2291</v>
      </c>
      <c r="I363" s="5">
        <v>150000</v>
      </c>
      <c r="J363" s="3" t="s">
        <v>2289</v>
      </c>
      <c r="K363" s="3" t="s">
        <v>832</v>
      </c>
      <c r="L363" s="3" t="s">
        <v>54</v>
      </c>
      <c r="M363" s="4" t="s">
        <v>2291</v>
      </c>
      <c r="N363" s="3" t="s">
        <v>56</v>
      </c>
      <c r="O363" s="3" t="s">
        <v>139</v>
      </c>
      <c r="P363" s="4" t="s">
        <v>140</v>
      </c>
      <c r="Q363" s="3" t="s">
        <v>139</v>
      </c>
      <c r="R363" s="3" t="s">
        <v>215</v>
      </c>
      <c r="S363" s="4" t="s">
        <v>216</v>
      </c>
      <c r="Y363" s="4" t="s">
        <v>2292</v>
      </c>
      <c r="Z363" s="4" t="s">
        <v>2293</v>
      </c>
      <c r="AA363" s="4" t="s">
        <v>2294</v>
      </c>
      <c r="AB363" s="3" t="s">
        <v>2295</v>
      </c>
      <c r="AC363" s="3" t="s">
        <v>2296</v>
      </c>
      <c r="AD363" s="3" t="s">
        <v>2228</v>
      </c>
      <c r="AE363" s="3">
        <v>1000</v>
      </c>
      <c r="AI363" s="4" t="s">
        <v>2297</v>
      </c>
      <c r="AJ363" s="4" t="s">
        <v>2298</v>
      </c>
      <c r="AK363" s="3" t="s">
        <v>143</v>
      </c>
      <c r="AL363" s="4">
        <v>140444</v>
      </c>
      <c r="AM363" s="5">
        <v>150000</v>
      </c>
      <c r="AN363" s="4" t="s">
        <v>124</v>
      </c>
      <c r="AO363" s="4">
        <v>99</v>
      </c>
      <c r="AP363" s="4">
        <v>80120000</v>
      </c>
    </row>
    <row r="364" spans="1:42" s="4" customFormat="1" x14ac:dyDescent="0.25">
      <c r="A364" s="3">
        <v>4604554</v>
      </c>
      <c r="B364" s="28">
        <v>41815</v>
      </c>
      <c r="C364" s="3" t="s">
        <v>1278</v>
      </c>
      <c r="D364" s="3">
        <v>10004341</v>
      </c>
      <c r="E364" s="4">
        <v>4533905</v>
      </c>
      <c r="F364" s="3" t="s">
        <v>49</v>
      </c>
      <c r="G364" s="4" t="s">
        <v>1399</v>
      </c>
      <c r="H364" s="4" t="s">
        <v>1400</v>
      </c>
      <c r="I364" s="5">
        <v>153629.07999999999</v>
      </c>
      <c r="J364" s="3" t="s">
        <v>76</v>
      </c>
      <c r="K364" s="3" t="s">
        <v>77</v>
      </c>
      <c r="L364" s="3" t="s">
        <v>196</v>
      </c>
      <c r="M364" s="4" t="s">
        <v>1401</v>
      </c>
      <c r="N364" s="3" t="s">
        <v>25</v>
      </c>
      <c r="O364" s="3"/>
      <c r="Q364" s="3"/>
      <c r="R364" s="3"/>
      <c r="Y364" s="4" t="s">
        <v>1222</v>
      </c>
      <c r="Z364" s="4" t="s">
        <v>1090</v>
      </c>
      <c r="AB364" s="3"/>
      <c r="AC364" s="3"/>
      <c r="AD364" s="3" t="s">
        <v>776</v>
      </c>
      <c r="AE364" s="3">
        <v>1000</v>
      </c>
      <c r="AI364" s="4" t="s">
        <v>1226</v>
      </c>
      <c r="AJ364" s="4" t="s">
        <v>1091</v>
      </c>
      <c r="AK364" s="3"/>
      <c r="AL364" s="4">
        <v>42451</v>
      </c>
      <c r="AM364" s="5">
        <v>153629.07999999999</v>
      </c>
      <c r="AN364" s="4" t="s">
        <v>124</v>
      </c>
      <c r="AO364" s="4">
        <v>99</v>
      </c>
      <c r="AP364" s="4">
        <v>81112200</v>
      </c>
    </row>
    <row r="365" spans="1:42" s="4" customFormat="1" x14ac:dyDescent="0.25">
      <c r="A365" s="3">
        <v>4600247</v>
      </c>
      <c r="B365" s="28">
        <v>41949</v>
      </c>
      <c r="C365" s="3" t="s">
        <v>1042</v>
      </c>
      <c r="D365" s="3">
        <v>10000293</v>
      </c>
      <c r="E365" s="4">
        <v>4529597</v>
      </c>
      <c r="F365" s="3" t="s">
        <v>49</v>
      </c>
      <c r="G365" s="4" t="s">
        <v>1060</v>
      </c>
      <c r="H365" s="4" t="s">
        <v>1061</v>
      </c>
      <c r="I365" s="5">
        <v>158443.6</v>
      </c>
      <c r="J365" s="3" t="s">
        <v>1062</v>
      </c>
      <c r="K365" s="3" t="s">
        <v>832</v>
      </c>
      <c r="L365" s="3" t="s">
        <v>119</v>
      </c>
      <c r="M365" s="4" t="s">
        <v>1063</v>
      </c>
      <c r="N365" s="3" t="s">
        <v>56</v>
      </c>
      <c r="O365" s="3"/>
      <c r="Q365" s="3"/>
      <c r="R365" s="3"/>
      <c r="Y365" s="4" t="s">
        <v>540</v>
      </c>
      <c r="Z365" s="4" t="s">
        <v>1048</v>
      </c>
      <c r="AB365" s="3"/>
      <c r="AC365" s="3"/>
      <c r="AD365" s="3" t="s">
        <v>1059</v>
      </c>
      <c r="AE365" s="3">
        <v>1000</v>
      </c>
      <c r="AF365" s="4">
        <v>17913.599999999999</v>
      </c>
      <c r="AG365" s="4">
        <v>54158.400000000001</v>
      </c>
      <c r="AH365" s="4">
        <v>4528904</v>
      </c>
      <c r="AI365" s="4" t="s">
        <v>542</v>
      </c>
      <c r="AJ365" s="4" t="s">
        <v>1051</v>
      </c>
      <c r="AK365" s="3"/>
      <c r="AL365" s="4">
        <v>140146</v>
      </c>
      <c r="AM365" s="5">
        <v>158443.6</v>
      </c>
      <c r="AN365" s="4" t="s">
        <v>124</v>
      </c>
      <c r="AO365" s="4">
        <v>97</v>
      </c>
    </row>
    <row r="366" spans="1:42" s="4" customFormat="1" x14ac:dyDescent="0.25">
      <c r="A366" s="3">
        <v>4604560</v>
      </c>
      <c r="B366" s="28">
        <v>41815</v>
      </c>
      <c r="C366" s="3" t="s">
        <v>1278</v>
      </c>
      <c r="D366" s="3">
        <v>10004342</v>
      </c>
      <c r="E366" s="4">
        <v>4533911</v>
      </c>
      <c r="F366" s="3" t="s">
        <v>49</v>
      </c>
      <c r="G366" s="4" t="s">
        <v>1405</v>
      </c>
      <c r="H366" s="4" t="s">
        <v>1406</v>
      </c>
      <c r="I366" s="5">
        <v>163206.47</v>
      </c>
      <c r="J366" s="3" t="s">
        <v>76</v>
      </c>
      <c r="K366" s="3" t="s">
        <v>77</v>
      </c>
      <c r="L366" s="3" t="s">
        <v>119</v>
      </c>
      <c r="M366" s="4" t="s">
        <v>1407</v>
      </c>
      <c r="N366" s="3" t="s">
        <v>56</v>
      </c>
      <c r="O366" s="3"/>
      <c r="Q366" s="3"/>
      <c r="R366" s="3"/>
      <c r="Y366" s="4" t="s">
        <v>1056</v>
      </c>
      <c r="Z366" s="4" t="s">
        <v>1090</v>
      </c>
      <c r="AA366" s="4" t="s">
        <v>1254</v>
      </c>
      <c r="AB366" s="3" t="s">
        <v>1255</v>
      </c>
      <c r="AC366" s="3" t="s">
        <v>1256</v>
      </c>
      <c r="AD366" s="3" t="s">
        <v>776</v>
      </c>
      <c r="AE366" s="3">
        <v>1000</v>
      </c>
      <c r="AI366" s="4" t="s">
        <v>1058</v>
      </c>
      <c r="AJ366" s="4" t="s">
        <v>1091</v>
      </c>
      <c r="AK366" s="3"/>
      <c r="AL366" s="4">
        <v>48469</v>
      </c>
      <c r="AM366" s="5">
        <v>163206.47</v>
      </c>
      <c r="AN366" s="4" t="s">
        <v>124</v>
      </c>
      <c r="AO366" s="4">
        <v>99</v>
      </c>
      <c r="AP366" s="4">
        <v>43230000</v>
      </c>
    </row>
    <row r="367" spans="1:42" s="4" customFormat="1" x14ac:dyDescent="0.25">
      <c r="A367" s="3">
        <v>4604957</v>
      </c>
      <c r="B367" s="28">
        <v>42131</v>
      </c>
      <c r="C367" s="3" t="s">
        <v>1278</v>
      </c>
      <c r="D367" s="3">
        <v>10004774</v>
      </c>
      <c r="E367" s="4">
        <v>4534308</v>
      </c>
      <c r="F367" s="3" t="s">
        <v>49</v>
      </c>
      <c r="G367" s="4" t="s">
        <v>1405</v>
      </c>
      <c r="H367" s="4" t="s">
        <v>1294</v>
      </c>
      <c r="I367" s="5">
        <v>163206.47</v>
      </c>
      <c r="J367" s="3" t="s">
        <v>1944</v>
      </c>
      <c r="K367" s="3" t="s">
        <v>77</v>
      </c>
      <c r="L367" s="3" t="s">
        <v>119</v>
      </c>
      <c r="M367" s="4" t="s">
        <v>1945</v>
      </c>
      <c r="N367" s="3" t="s">
        <v>56</v>
      </c>
      <c r="O367" s="3"/>
      <c r="Q367" s="3"/>
      <c r="R367" s="3"/>
      <c r="Y367" s="4" t="s">
        <v>1056</v>
      </c>
      <c r="Z367" s="4" t="s">
        <v>1056</v>
      </c>
      <c r="AA367" s="4" t="s">
        <v>1474</v>
      </c>
      <c r="AB367" s="3" t="s">
        <v>1946</v>
      </c>
      <c r="AC367" s="3" t="s">
        <v>1476</v>
      </c>
      <c r="AD367" s="3" t="s">
        <v>711</v>
      </c>
      <c r="AE367" s="3">
        <v>1000</v>
      </c>
      <c r="AI367" s="4" t="s">
        <v>1058</v>
      </c>
      <c r="AJ367" s="4" t="s">
        <v>1058</v>
      </c>
      <c r="AK367" s="3"/>
      <c r="AL367" s="4">
        <v>48469</v>
      </c>
      <c r="AM367" s="5">
        <v>163206.47</v>
      </c>
      <c r="AN367" s="4" t="s">
        <v>124</v>
      </c>
      <c r="AO367" s="4">
        <v>99</v>
      </c>
      <c r="AP367" s="4">
        <v>43230000</v>
      </c>
    </row>
    <row r="368" spans="1:42" s="4" customFormat="1" x14ac:dyDescent="0.25">
      <c r="A368" s="3">
        <v>4604714</v>
      </c>
      <c r="B368" s="28">
        <v>41907</v>
      </c>
      <c r="C368" s="3" t="s">
        <v>1278</v>
      </c>
      <c r="D368" s="3">
        <v>10004504</v>
      </c>
      <c r="E368" s="4">
        <v>4534065</v>
      </c>
      <c r="F368" s="3" t="s">
        <v>49</v>
      </c>
      <c r="G368" s="4" t="s">
        <v>1502</v>
      </c>
      <c r="H368" s="4" t="s">
        <v>1652</v>
      </c>
      <c r="I368" s="5">
        <v>171600</v>
      </c>
      <c r="J368" s="3" t="s">
        <v>795</v>
      </c>
      <c r="K368" s="3" t="s">
        <v>901</v>
      </c>
      <c r="L368" s="3" t="s">
        <v>119</v>
      </c>
      <c r="M368" s="4" t="s">
        <v>1652</v>
      </c>
      <c r="N368" s="3" t="s">
        <v>56</v>
      </c>
      <c r="O368" s="3"/>
      <c r="Q368" s="3"/>
      <c r="R368" s="3"/>
      <c r="Y368" s="4" t="s">
        <v>1653</v>
      </c>
      <c r="Z368" s="4" t="s">
        <v>1654</v>
      </c>
      <c r="AA368" s="4" t="s">
        <v>412</v>
      </c>
      <c r="AB368" s="3" t="s">
        <v>1504</v>
      </c>
      <c r="AC368" s="3" t="s">
        <v>414</v>
      </c>
      <c r="AD368" s="3" t="s">
        <v>792</v>
      </c>
      <c r="AE368" s="3">
        <v>1000</v>
      </c>
      <c r="AI368" s="4" t="s">
        <v>1655</v>
      </c>
      <c r="AJ368" s="4" t="s">
        <v>1656</v>
      </c>
      <c r="AK368" s="3"/>
      <c r="AL368" s="4">
        <v>49955</v>
      </c>
      <c r="AM368" s="5">
        <v>171600</v>
      </c>
      <c r="AN368" s="4" t="s">
        <v>124</v>
      </c>
      <c r="AO368" s="4">
        <v>99</v>
      </c>
      <c r="AP368" s="4">
        <v>81112200</v>
      </c>
    </row>
    <row r="369" spans="1:42" s="4" customFormat="1" x14ac:dyDescent="0.25">
      <c r="A369" s="3">
        <v>4605020</v>
      </c>
      <c r="B369" s="28">
        <v>42172</v>
      </c>
      <c r="C369" s="3" t="s">
        <v>1278</v>
      </c>
      <c r="D369" s="3">
        <v>10004855</v>
      </c>
      <c r="E369" s="4">
        <v>4534371</v>
      </c>
      <c r="F369" s="3" t="s">
        <v>49</v>
      </c>
      <c r="G369" s="4" t="s">
        <v>1085</v>
      </c>
      <c r="H369" s="4" t="s">
        <v>2025</v>
      </c>
      <c r="I369" s="5">
        <v>174299</v>
      </c>
      <c r="J369" s="3" t="s">
        <v>474</v>
      </c>
      <c r="K369" s="3" t="s">
        <v>77</v>
      </c>
      <c r="L369" s="3" t="s">
        <v>196</v>
      </c>
      <c r="M369" s="4" t="s">
        <v>2025</v>
      </c>
      <c r="N369" s="3" t="s">
        <v>25</v>
      </c>
      <c r="O369" s="3"/>
      <c r="Q369" s="3"/>
      <c r="R369" s="3"/>
      <c r="Y369" s="4" t="s">
        <v>267</v>
      </c>
      <c r="Z369" s="4" t="s">
        <v>267</v>
      </c>
      <c r="AB369" s="3"/>
      <c r="AC369" s="3"/>
      <c r="AD369" s="3" t="s">
        <v>385</v>
      </c>
      <c r="AE369" s="3">
        <v>1000</v>
      </c>
      <c r="AI369" s="4" t="s">
        <v>270</v>
      </c>
      <c r="AJ369" s="4" t="s">
        <v>270</v>
      </c>
      <c r="AK369" s="3"/>
      <c r="AL369" s="4">
        <v>30502</v>
      </c>
      <c r="AM369" s="5">
        <v>174299</v>
      </c>
      <c r="AN369" s="4" t="s">
        <v>124</v>
      </c>
      <c r="AO369" s="4">
        <v>99</v>
      </c>
      <c r="AP369" s="4">
        <v>93141805</v>
      </c>
    </row>
    <row r="370" spans="1:42" s="4" customFormat="1" x14ac:dyDescent="0.25">
      <c r="A370" s="3">
        <v>4604808</v>
      </c>
      <c r="B370" s="28">
        <v>41977</v>
      </c>
      <c r="C370" s="3" t="s">
        <v>1278</v>
      </c>
      <c r="D370" s="3">
        <v>10004589</v>
      </c>
      <c r="E370" s="4">
        <v>4534159</v>
      </c>
      <c r="F370" s="3" t="s">
        <v>49</v>
      </c>
      <c r="G370" s="4" t="s">
        <v>1759</v>
      </c>
      <c r="H370" s="4" t="s">
        <v>1760</v>
      </c>
      <c r="I370" s="5">
        <v>183361.2</v>
      </c>
      <c r="J370" s="3" t="s">
        <v>1758</v>
      </c>
      <c r="K370" s="3" t="s">
        <v>77</v>
      </c>
      <c r="L370" s="3" t="s">
        <v>119</v>
      </c>
      <c r="M370" s="4" t="s">
        <v>1760</v>
      </c>
      <c r="N370" s="3" t="s">
        <v>56</v>
      </c>
      <c r="O370" s="3"/>
      <c r="Q370" s="3"/>
      <c r="R370" s="3"/>
      <c r="Y370" s="4" t="s">
        <v>1309</v>
      </c>
      <c r="Z370" s="4" t="s">
        <v>1309</v>
      </c>
      <c r="AA370" s="4">
        <v>20000194</v>
      </c>
      <c r="AB370" s="3" t="s">
        <v>1761</v>
      </c>
      <c r="AC370" s="3" t="s">
        <v>1719</v>
      </c>
      <c r="AD370" s="3" t="s">
        <v>422</v>
      </c>
      <c r="AE370" s="3">
        <v>1000</v>
      </c>
      <c r="AI370" s="4" t="s">
        <v>1313</v>
      </c>
      <c r="AJ370" s="4" t="s">
        <v>1313</v>
      </c>
      <c r="AK370" s="3"/>
      <c r="AL370" s="4">
        <v>141842</v>
      </c>
      <c r="AM370" s="5">
        <v>183361.2</v>
      </c>
      <c r="AN370" s="4" t="s">
        <v>124</v>
      </c>
      <c r="AO370" s="4">
        <v>98</v>
      </c>
      <c r="AP370" s="4">
        <v>80101507</v>
      </c>
    </row>
    <row r="371" spans="1:42" s="4" customFormat="1" x14ac:dyDescent="0.25">
      <c r="A371" s="3">
        <v>4604566</v>
      </c>
      <c r="B371" s="28">
        <v>41820</v>
      </c>
      <c r="C371" s="3" t="s">
        <v>1278</v>
      </c>
      <c r="D371" s="3">
        <v>10004322</v>
      </c>
      <c r="E371" s="4">
        <v>4533917</v>
      </c>
      <c r="F371" s="3" t="s">
        <v>49</v>
      </c>
      <c r="G371" s="4" t="s">
        <v>1412</v>
      </c>
      <c r="H371" s="4" t="s">
        <v>1413</v>
      </c>
      <c r="I371" s="5">
        <v>185944</v>
      </c>
      <c r="J371" s="3" t="s">
        <v>76</v>
      </c>
      <c r="K371" s="3" t="s">
        <v>77</v>
      </c>
      <c r="L371" s="3" t="s">
        <v>119</v>
      </c>
      <c r="M371" s="4" t="s">
        <v>1413</v>
      </c>
      <c r="N371" s="3" t="s">
        <v>56</v>
      </c>
      <c r="O371" s="3"/>
      <c r="Q371" s="3"/>
      <c r="R371" s="3"/>
      <c r="Y371" s="4" t="s">
        <v>1047</v>
      </c>
      <c r="Z371" s="4" t="s">
        <v>1048</v>
      </c>
      <c r="AA371" s="4" t="s">
        <v>1414</v>
      </c>
      <c r="AB371" s="3" t="s">
        <v>1415</v>
      </c>
      <c r="AC371" s="3" t="s">
        <v>1416</v>
      </c>
      <c r="AD371" s="3" t="s">
        <v>474</v>
      </c>
      <c r="AE371" s="3">
        <v>1000</v>
      </c>
      <c r="AI371" s="4" t="s">
        <v>1050</v>
      </c>
      <c r="AJ371" s="4" t="s">
        <v>1051</v>
      </c>
      <c r="AK371" s="3"/>
      <c r="AL371" s="4">
        <v>40924</v>
      </c>
      <c r="AM371" s="5">
        <v>185944</v>
      </c>
      <c r="AN371" s="4" t="s">
        <v>124</v>
      </c>
      <c r="AO371" s="4">
        <v>97</v>
      </c>
      <c r="AP371" s="4">
        <v>81112200</v>
      </c>
    </row>
    <row r="372" spans="1:42" s="4" customFormat="1" x14ac:dyDescent="0.25">
      <c r="A372" s="3">
        <v>4604577</v>
      </c>
      <c r="B372" s="28">
        <v>41806</v>
      </c>
      <c r="C372" s="3" t="s">
        <v>2342</v>
      </c>
      <c r="D372" s="3">
        <v>10004357</v>
      </c>
      <c r="E372" s="4">
        <v>4533928</v>
      </c>
      <c r="F372" s="3" t="s">
        <v>49</v>
      </c>
      <c r="G372" s="4" t="s">
        <v>2274</v>
      </c>
      <c r="H372" s="4" t="s">
        <v>2301</v>
      </c>
      <c r="I372" s="5">
        <v>195800</v>
      </c>
      <c r="J372" s="3" t="s">
        <v>1110</v>
      </c>
      <c r="K372" s="3" t="s">
        <v>807</v>
      </c>
      <c r="L372" s="3" t="s">
        <v>1046</v>
      </c>
      <c r="M372" s="4" t="s">
        <v>2371</v>
      </c>
      <c r="N372" s="3" t="s">
        <v>25</v>
      </c>
      <c r="O372" s="3" t="s">
        <v>139</v>
      </c>
      <c r="P372" s="4" t="s">
        <v>2207</v>
      </c>
      <c r="Q372" s="3" t="s">
        <v>139</v>
      </c>
      <c r="R372" s="3" t="s">
        <v>215</v>
      </c>
      <c r="S372" s="4" t="s">
        <v>216</v>
      </c>
      <c r="U372" s="4" t="s">
        <v>139</v>
      </c>
      <c r="V372" s="4" t="s">
        <v>427</v>
      </c>
      <c r="W372" s="4" t="s">
        <v>428</v>
      </c>
      <c r="Y372" s="4" t="s">
        <v>2293</v>
      </c>
      <c r="Z372" s="4" t="s">
        <v>2293</v>
      </c>
      <c r="AB372" s="3"/>
      <c r="AC372" s="3"/>
      <c r="AD372" s="3" t="s">
        <v>200</v>
      </c>
      <c r="AE372" s="3">
        <v>1000</v>
      </c>
      <c r="AI372" s="4" t="s">
        <v>2298</v>
      </c>
      <c r="AJ372" s="4" t="s">
        <v>2298</v>
      </c>
      <c r="AK372" s="3" t="s">
        <v>2210</v>
      </c>
      <c r="AL372" s="4">
        <v>48301</v>
      </c>
      <c r="AM372" s="5">
        <v>195800</v>
      </c>
      <c r="AN372" s="4" t="s">
        <v>2282</v>
      </c>
      <c r="AO372" s="4">
        <v>99</v>
      </c>
      <c r="AP372" s="4">
        <v>80120000</v>
      </c>
    </row>
    <row r="373" spans="1:42" s="4" customFormat="1" x14ac:dyDescent="0.25">
      <c r="A373" s="3">
        <v>4604830</v>
      </c>
      <c r="B373" s="28">
        <v>42020</v>
      </c>
      <c r="C373" s="3" t="s">
        <v>1278</v>
      </c>
      <c r="D373" s="3">
        <v>10004630</v>
      </c>
      <c r="E373" s="4">
        <v>4534181</v>
      </c>
      <c r="F373" s="3" t="s">
        <v>49</v>
      </c>
      <c r="G373" s="4" t="s">
        <v>1053</v>
      </c>
      <c r="H373" s="4" t="s">
        <v>1792</v>
      </c>
      <c r="I373" s="5">
        <v>199724.79999999999</v>
      </c>
      <c r="J373" s="3" t="s">
        <v>1770</v>
      </c>
      <c r="K373" s="3" t="s">
        <v>498</v>
      </c>
      <c r="L373" s="3" t="s">
        <v>119</v>
      </c>
      <c r="M373" s="4" t="s">
        <v>1793</v>
      </c>
      <c r="N373" s="3" t="s">
        <v>56</v>
      </c>
      <c r="O373" s="3"/>
      <c r="Q373" s="3"/>
      <c r="R373" s="3"/>
      <c r="Y373" s="4" t="s">
        <v>1056</v>
      </c>
      <c r="Z373" s="4" t="s">
        <v>1056</v>
      </c>
      <c r="AA373" s="4" t="s">
        <v>1057</v>
      </c>
      <c r="AB373" s="3" t="s">
        <v>1057</v>
      </c>
      <c r="AC373" s="3" t="s">
        <v>1340</v>
      </c>
      <c r="AD373" s="3" t="s">
        <v>485</v>
      </c>
      <c r="AE373" s="3">
        <v>1000</v>
      </c>
      <c r="AI373" s="4" t="s">
        <v>1058</v>
      </c>
      <c r="AJ373" s="4" t="s">
        <v>1058</v>
      </c>
      <c r="AK373" s="3"/>
      <c r="AL373" s="4">
        <v>140248</v>
      </c>
      <c r="AM373" s="5">
        <v>199724.79999999999</v>
      </c>
      <c r="AN373" s="4" t="s">
        <v>124</v>
      </c>
      <c r="AO373" s="4">
        <v>98</v>
      </c>
      <c r="AP373" s="4">
        <v>43222800</v>
      </c>
    </row>
    <row r="374" spans="1:42" s="4" customFormat="1" x14ac:dyDescent="0.25">
      <c r="A374" s="3">
        <v>4604523</v>
      </c>
      <c r="B374" s="28">
        <v>41803</v>
      </c>
      <c r="C374" s="3" t="s">
        <v>1278</v>
      </c>
      <c r="D374" s="3">
        <v>10004314</v>
      </c>
      <c r="E374" s="4">
        <v>4533874</v>
      </c>
      <c r="F374" s="3" t="s">
        <v>49</v>
      </c>
      <c r="G374" s="4" t="s">
        <v>1360</v>
      </c>
      <c r="H374" s="4" t="s">
        <v>1361</v>
      </c>
      <c r="I374" s="5">
        <v>201300</v>
      </c>
      <c r="J374" s="3" t="s">
        <v>76</v>
      </c>
      <c r="K374" s="3" t="s">
        <v>77</v>
      </c>
      <c r="L374" s="3" t="s">
        <v>119</v>
      </c>
      <c r="M374" s="4" t="s">
        <v>1362</v>
      </c>
      <c r="N374" s="3" t="s">
        <v>56</v>
      </c>
      <c r="O374" s="3"/>
      <c r="Q374" s="3"/>
      <c r="R374" s="3"/>
      <c r="Y374" s="4" t="s">
        <v>466</v>
      </c>
      <c r="Z374" s="4" t="s">
        <v>466</v>
      </c>
      <c r="AA374" s="4" t="s">
        <v>1324</v>
      </c>
      <c r="AB374" s="3" t="s">
        <v>1363</v>
      </c>
      <c r="AC374" s="3" t="s">
        <v>1326</v>
      </c>
      <c r="AD374" s="3" t="s">
        <v>1356</v>
      </c>
      <c r="AE374" s="3">
        <v>1000</v>
      </c>
      <c r="AI374" s="4" t="s">
        <v>468</v>
      </c>
      <c r="AJ374" s="4" t="s">
        <v>468</v>
      </c>
      <c r="AK374" s="3"/>
      <c r="AL374" s="4">
        <v>49879</v>
      </c>
      <c r="AM374" s="5">
        <v>201300</v>
      </c>
      <c r="AN374" s="4" t="s">
        <v>124</v>
      </c>
      <c r="AO374" s="4">
        <v>99</v>
      </c>
      <c r="AP374" s="4">
        <v>43230000</v>
      </c>
    </row>
    <row r="375" spans="1:42" s="4" customFormat="1" x14ac:dyDescent="0.25">
      <c r="A375" s="3">
        <v>4604687</v>
      </c>
      <c r="B375" s="28">
        <v>41883</v>
      </c>
      <c r="C375" s="3" t="s">
        <v>1278</v>
      </c>
      <c r="D375" s="3">
        <v>10004479</v>
      </c>
      <c r="E375" s="4">
        <v>4534038</v>
      </c>
      <c r="F375" s="3" t="s">
        <v>49</v>
      </c>
      <c r="G375" s="4" t="s">
        <v>1630</v>
      </c>
      <c r="H375" s="4" t="s">
        <v>1631</v>
      </c>
      <c r="I375" s="5">
        <v>209731.5</v>
      </c>
      <c r="J375" s="3" t="s">
        <v>1039</v>
      </c>
      <c r="K375" s="3" t="s">
        <v>1632</v>
      </c>
      <c r="L375" s="3" t="s">
        <v>196</v>
      </c>
      <c r="M375" s="4" t="s">
        <v>1633</v>
      </c>
      <c r="N375" s="3" t="s">
        <v>25</v>
      </c>
      <c r="O375" s="3"/>
      <c r="Q375" s="3"/>
      <c r="R375" s="3"/>
      <c r="Y375" s="4" t="s">
        <v>179</v>
      </c>
      <c r="Z375" s="4" t="s">
        <v>1336</v>
      </c>
      <c r="AA375" s="4" t="s">
        <v>1634</v>
      </c>
      <c r="AB375" s="3"/>
      <c r="AC375" s="3"/>
      <c r="AD375" s="3" t="s">
        <v>1635</v>
      </c>
      <c r="AE375" s="3">
        <v>1000</v>
      </c>
      <c r="AI375" s="4" t="s">
        <v>182</v>
      </c>
      <c r="AJ375" s="4" t="s">
        <v>1337</v>
      </c>
      <c r="AK375" s="3"/>
      <c r="AL375" s="4">
        <v>141794</v>
      </c>
      <c r="AM375" s="5">
        <v>209731.5</v>
      </c>
      <c r="AN375" s="4" t="s">
        <v>124</v>
      </c>
      <c r="AO375" s="4">
        <v>99</v>
      </c>
      <c r="AP375" s="4">
        <v>86000000</v>
      </c>
    </row>
    <row r="376" spans="1:42" s="4" customFormat="1" x14ac:dyDescent="0.25">
      <c r="A376" s="3">
        <v>4603844</v>
      </c>
      <c r="B376" s="28">
        <v>41457</v>
      </c>
      <c r="C376" s="3" t="s">
        <v>1042</v>
      </c>
      <c r="D376" s="3">
        <v>10003661</v>
      </c>
      <c r="E376" s="4">
        <v>4533195</v>
      </c>
      <c r="F376" s="3" t="s">
        <v>49</v>
      </c>
      <c r="G376" s="4" t="s">
        <v>1183</v>
      </c>
      <c r="H376" s="4" t="s">
        <v>1184</v>
      </c>
      <c r="I376" s="5">
        <v>212675</v>
      </c>
      <c r="J376" s="3" t="s">
        <v>150</v>
      </c>
      <c r="K376" s="3" t="s">
        <v>1185</v>
      </c>
      <c r="L376" s="3" t="s">
        <v>196</v>
      </c>
      <c r="M376" s="4" t="s">
        <v>1186</v>
      </c>
      <c r="N376" s="3" t="s">
        <v>25</v>
      </c>
      <c r="O376" s="3"/>
      <c r="Q376" s="3"/>
      <c r="R376" s="3"/>
      <c r="Y376" s="4" t="s">
        <v>1056</v>
      </c>
      <c r="Z376" s="4" t="s">
        <v>605</v>
      </c>
      <c r="AB376" s="3"/>
      <c r="AC376" s="3"/>
      <c r="AD376" s="3" t="s">
        <v>297</v>
      </c>
      <c r="AE376" s="3">
        <v>1000</v>
      </c>
      <c r="AI376" s="4" t="s">
        <v>1058</v>
      </c>
      <c r="AJ376" s="4" t="s">
        <v>609</v>
      </c>
      <c r="AK376" s="3"/>
      <c r="AL376" s="4">
        <v>141437</v>
      </c>
      <c r="AM376" s="5">
        <v>212675</v>
      </c>
      <c r="AN376" s="4" t="s">
        <v>124</v>
      </c>
      <c r="AO376" s="4">
        <v>99</v>
      </c>
      <c r="AP376" s="4">
        <v>43230000</v>
      </c>
    </row>
    <row r="377" spans="1:42" s="4" customFormat="1" x14ac:dyDescent="0.25">
      <c r="A377" s="3">
        <v>4604984</v>
      </c>
      <c r="B377" s="28">
        <v>42149</v>
      </c>
      <c r="C377" s="3" t="s">
        <v>1278</v>
      </c>
      <c r="D377" s="3">
        <v>10004808</v>
      </c>
      <c r="E377" s="4">
        <v>4534335</v>
      </c>
      <c r="F377" s="3" t="s">
        <v>49</v>
      </c>
      <c r="G377" s="4" t="s">
        <v>1053</v>
      </c>
      <c r="H377" s="4" t="s">
        <v>1987</v>
      </c>
      <c r="I377" s="5">
        <v>215000</v>
      </c>
      <c r="J377" s="3" t="s">
        <v>360</v>
      </c>
      <c r="K377" s="3" t="s">
        <v>77</v>
      </c>
      <c r="L377" s="3" t="s">
        <v>119</v>
      </c>
      <c r="M377" s="4" t="s">
        <v>1988</v>
      </c>
      <c r="N377" s="3" t="s">
        <v>56</v>
      </c>
      <c r="O377" s="3"/>
      <c r="Q377" s="3"/>
      <c r="R377" s="3"/>
      <c r="Y377" s="4" t="s">
        <v>1056</v>
      </c>
      <c r="Z377" s="4" t="s">
        <v>1056</v>
      </c>
      <c r="AA377" s="4" t="s">
        <v>1057</v>
      </c>
      <c r="AB377" s="3" t="s">
        <v>1057</v>
      </c>
      <c r="AC377" s="3" t="s">
        <v>1340</v>
      </c>
      <c r="AD377" s="3" t="s">
        <v>529</v>
      </c>
      <c r="AE377" s="3">
        <v>1000</v>
      </c>
      <c r="AI377" s="4" t="s">
        <v>1058</v>
      </c>
      <c r="AJ377" s="4" t="s">
        <v>1058</v>
      </c>
      <c r="AK377" s="3"/>
      <c r="AL377" s="4">
        <v>140248</v>
      </c>
      <c r="AM377" s="5">
        <v>215000</v>
      </c>
      <c r="AN377" s="4" t="s">
        <v>124</v>
      </c>
      <c r="AO377" s="4">
        <v>99</v>
      </c>
      <c r="AP377" s="4">
        <v>81111800</v>
      </c>
    </row>
    <row r="378" spans="1:42" s="4" customFormat="1" x14ac:dyDescent="0.25">
      <c r="A378" s="3">
        <v>4604796</v>
      </c>
      <c r="B378" s="28">
        <v>42038</v>
      </c>
      <c r="C378" s="3" t="s">
        <v>2158</v>
      </c>
      <c r="D378" s="3">
        <v>10004547</v>
      </c>
      <c r="E378" s="4">
        <v>4534147</v>
      </c>
      <c r="F378" s="3" t="s">
        <v>49</v>
      </c>
      <c r="G378" s="4" t="s">
        <v>372</v>
      </c>
      <c r="H378" s="4" t="s">
        <v>2229</v>
      </c>
      <c r="I378" s="5">
        <v>220000</v>
      </c>
      <c r="J378" s="3" t="s">
        <v>292</v>
      </c>
      <c r="K378" s="3" t="s">
        <v>480</v>
      </c>
      <c r="L378" s="3" t="s">
        <v>119</v>
      </c>
      <c r="M378" s="4" t="s">
        <v>2230</v>
      </c>
      <c r="N378" s="3" t="s">
        <v>56</v>
      </c>
      <c r="O378" s="3" t="s">
        <v>139</v>
      </c>
      <c r="P378" s="4" t="s">
        <v>2207</v>
      </c>
      <c r="Q378" s="3"/>
      <c r="R378" s="3"/>
      <c r="Y378" s="4" t="s">
        <v>556</v>
      </c>
      <c r="Z378" s="4" t="s">
        <v>2231</v>
      </c>
      <c r="AA378" s="4" t="s">
        <v>356</v>
      </c>
      <c r="AB378" s="3" t="s">
        <v>375</v>
      </c>
      <c r="AC378" s="3" t="s">
        <v>358</v>
      </c>
      <c r="AD378" s="3" t="s">
        <v>448</v>
      </c>
      <c r="AE378" s="3">
        <v>1000</v>
      </c>
      <c r="AI378" s="4" t="s">
        <v>558</v>
      </c>
      <c r="AJ378" s="4" t="s">
        <v>2232</v>
      </c>
      <c r="AK378" s="3" t="s">
        <v>2210</v>
      </c>
      <c r="AL378" s="4">
        <v>43825</v>
      </c>
      <c r="AM378" s="5">
        <v>220000</v>
      </c>
      <c r="AN378" s="4" t="s">
        <v>124</v>
      </c>
      <c r="AO378" s="4">
        <v>98</v>
      </c>
      <c r="AP378" s="4">
        <v>81121500</v>
      </c>
    </row>
    <row r="379" spans="1:42" s="4" customFormat="1" x14ac:dyDescent="0.25">
      <c r="A379" s="3">
        <v>4604449</v>
      </c>
      <c r="B379" s="28">
        <v>42181</v>
      </c>
      <c r="C379" s="3" t="s">
        <v>1278</v>
      </c>
      <c r="D379" s="3">
        <v>10004242</v>
      </c>
      <c r="E379" s="4">
        <v>4533800</v>
      </c>
      <c r="F379" s="3" t="s">
        <v>49</v>
      </c>
      <c r="G379" s="4" t="s">
        <v>1329</v>
      </c>
      <c r="H379" s="4" t="s">
        <v>1330</v>
      </c>
      <c r="I379" s="5">
        <v>220200</v>
      </c>
      <c r="J379" s="3" t="s">
        <v>1331</v>
      </c>
      <c r="K379" s="3" t="s">
        <v>1332</v>
      </c>
      <c r="L379" s="3" t="s">
        <v>196</v>
      </c>
      <c r="M379" s="4" t="s">
        <v>1330</v>
      </c>
      <c r="N379" s="3" t="s">
        <v>25</v>
      </c>
      <c r="O379" s="3"/>
      <c r="Q379" s="3"/>
      <c r="R379" s="3"/>
      <c r="Y379" s="4" t="s">
        <v>1068</v>
      </c>
      <c r="Z379" s="4" t="s">
        <v>1090</v>
      </c>
      <c r="AB379" s="3"/>
      <c r="AC379" s="3"/>
      <c r="AD379" s="3" t="s">
        <v>1209</v>
      </c>
      <c r="AE379" s="3">
        <v>1000</v>
      </c>
      <c r="AI379" s="4" t="s">
        <v>1071</v>
      </c>
      <c r="AJ379" s="4" t="s">
        <v>1091</v>
      </c>
      <c r="AK379" s="3"/>
      <c r="AL379" s="4">
        <v>44881</v>
      </c>
      <c r="AM379" s="5">
        <v>220200</v>
      </c>
      <c r="AN379" s="4" t="s">
        <v>124</v>
      </c>
      <c r="AO379" s="4">
        <v>99</v>
      </c>
      <c r="AP379" s="4">
        <v>80131500</v>
      </c>
    </row>
    <row r="380" spans="1:42" s="4" customFormat="1" x14ac:dyDescent="0.25">
      <c r="A380" s="3">
        <v>4604818</v>
      </c>
      <c r="B380" s="28">
        <v>42009</v>
      </c>
      <c r="C380" s="3" t="s">
        <v>1278</v>
      </c>
      <c r="D380" s="3">
        <v>10004613</v>
      </c>
      <c r="E380" s="4">
        <v>4534169</v>
      </c>
      <c r="F380" s="3" t="s">
        <v>49</v>
      </c>
      <c r="G380" s="4" t="s">
        <v>1773</v>
      </c>
      <c r="H380" s="4" t="s">
        <v>1774</v>
      </c>
      <c r="I380" s="5">
        <v>235000</v>
      </c>
      <c r="J380" s="3" t="s">
        <v>1772</v>
      </c>
      <c r="K380" s="3" t="s">
        <v>1775</v>
      </c>
      <c r="L380" s="3" t="s">
        <v>196</v>
      </c>
      <c r="M380" s="4" t="s">
        <v>1774</v>
      </c>
      <c r="N380" s="3" t="s">
        <v>25</v>
      </c>
      <c r="O380" s="3"/>
      <c r="Q380" s="3"/>
      <c r="R380" s="3"/>
      <c r="Y380" s="4" t="s">
        <v>260</v>
      </c>
      <c r="Z380" s="4" t="s">
        <v>260</v>
      </c>
      <c r="AB380" s="3"/>
      <c r="AC380" s="3"/>
      <c r="AD380" s="3" t="s">
        <v>369</v>
      </c>
      <c r="AE380" s="3">
        <v>1000</v>
      </c>
      <c r="AI380" s="4" t="s">
        <v>261</v>
      </c>
      <c r="AJ380" s="4" t="s">
        <v>261</v>
      </c>
      <c r="AK380" s="3"/>
      <c r="AL380" s="4">
        <v>141847</v>
      </c>
      <c r="AM380" s="5">
        <v>235000</v>
      </c>
      <c r="AN380" s="4" t="s">
        <v>124</v>
      </c>
      <c r="AO380" s="4">
        <v>96</v>
      </c>
      <c r="AP380" s="4">
        <v>84111500</v>
      </c>
    </row>
    <row r="381" spans="1:42" s="4" customFormat="1" x14ac:dyDescent="0.25">
      <c r="A381" s="3">
        <v>4604978</v>
      </c>
      <c r="B381" s="28">
        <v>42151</v>
      </c>
      <c r="C381" s="3" t="s">
        <v>1278</v>
      </c>
      <c r="D381" s="3">
        <v>10004770</v>
      </c>
      <c r="E381" s="4">
        <v>4534329</v>
      </c>
      <c r="F381" s="3" t="s">
        <v>49</v>
      </c>
      <c r="G381" s="4" t="s">
        <v>1085</v>
      </c>
      <c r="H381" s="4" t="s">
        <v>1981</v>
      </c>
      <c r="I381" s="5">
        <v>236000</v>
      </c>
      <c r="J381" s="3" t="s">
        <v>53</v>
      </c>
      <c r="K381" s="3" t="s">
        <v>77</v>
      </c>
      <c r="L381" s="3" t="s">
        <v>196</v>
      </c>
      <c r="M381" s="4" t="s">
        <v>1981</v>
      </c>
      <c r="N381" s="3" t="s">
        <v>56</v>
      </c>
      <c r="O381" s="3"/>
      <c r="Q381" s="3"/>
      <c r="R381" s="3"/>
      <c r="Y381" s="4" t="s">
        <v>1959</v>
      </c>
      <c r="Z381" s="4" t="s">
        <v>1959</v>
      </c>
      <c r="AA381" s="4" t="s">
        <v>1474</v>
      </c>
      <c r="AB381" s="3" t="s">
        <v>1474</v>
      </c>
      <c r="AC381" s="3" t="s">
        <v>1476</v>
      </c>
      <c r="AD381" s="3" t="s">
        <v>382</v>
      </c>
      <c r="AE381" s="3">
        <v>1000</v>
      </c>
      <c r="AI381" s="4" t="s">
        <v>1960</v>
      </c>
      <c r="AJ381" s="4" t="s">
        <v>1960</v>
      </c>
      <c r="AK381" s="3"/>
      <c r="AL381" s="4">
        <v>30502</v>
      </c>
      <c r="AM381" s="5">
        <v>236000</v>
      </c>
      <c r="AN381" s="4" t="s">
        <v>124</v>
      </c>
      <c r="AO381" s="4">
        <v>99</v>
      </c>
      <c r="AP381" s="4">
        <v>80101507</v>
      </c>
    </row>
    <row r="382" spans="1:42" s="4" customFormat="1" x14ac:dyDescent="0.25">
      <c r="A382" s="3">
        <v>4604273</v>
      </c>
      <c r="B382" s="28">
        <v>41540</v>
      </c>
      <c r="C382" s="3" t="s">
        <v>2342</v>
      </c>
      <c r="D382" s="3">
        <v>10004032</v>
      </c>
      <c r="E382" s="4">
        <v>4533624</v>
      </c>
      <c r="F382" s="3" t="s">
        <v>49</v>
      </c>
      <c r="G382" s="4" t="s">
        <v>2333</v>
      </c>
      <c r="H382" s="4" t="s">
        <v>2305</v>
      </c>
      <c r="I382" s="5">
        <v>237000</v>
      </c>
      <c r="J382" s="3" t="s">
        <v>718</v>
      </c>
      <c r="K382" s="3" t="s">
        <v>77</v>
      </c>
      <c r="L382" s="3" t="s">
        <v>1046</v>
      </c>
      <c r="M382" s="4" t="s">
        <v>2344</v>
      </c>
      <c r="N382" s="3" t="s">
        <v>25</v>
      </c>
      <c r="O382" s="3" t="s">
        <v>139</v>
      </c>
      <c r="P382" s="4" t="s">
        <v>282</v>
      </c>
      <c r="Q382" s="3" t="s">
        <v>139</v>
      </c>
      <c r="R382" s="3" t="s">
        <v>427</v>
      </c>
      <c r="S382" s="4" t="s">
        <v>428</v>
      </c>
      <c r="U382" s="4" t="s">
        <v>139</v>
      </c>
      <c r="V382" s="4" t="s">
        <v>427</v>
      </c>
      <c r="W382" s="4" t="s">
        <v>428</v>
      </c>
      <c r="Y382" s="4" t="s">
        <v>2277</v>
      </c>
      <c r="Z382" s="4" t="s">
        <v>2293</v>
      </c>
      <c r="AB382" s="3"/>
      <c r="AC382" s="3"/>
      <c r="AD382" s="3" t="s">
        <v>1704</v>
      </c>
      <c r="AE382" s="3">
        <v>1000</v>
      </c>
      <c r="AI382" s="4" t="s">
        <v>2281</v>
      </c>
      <c r="AJ382" s="4" t="s">
        <v>2298</v>
      </c>
      <c r="AK382" s="3" t="s">
        <v>286</v>
      </c>
      <c r="AL382" s="4">
        <v>141591</v>
      </c>
      <c r="AM382" s="5">
        <v>237000</v>
      </c>
      <c r="AN382" s="4" t="s">
        <v>2282</v>
      </c>
      <c r="AO382" s="4">
        <v>96</v>
      </c>
      <c r="AP382" s="4">
        <v>80120000</v>
      </c>
    </row>
    <row r="383" spans="1:42" s="4" customFormat="1" x14ac:dyDescent="0.25">
      <c r="A383" s="3">
        <v>4604683</v>
      </c>
      <c r="B383" s="28">
        <v>41887</v>
      </c>
      <c r="C383" s="3" t="s">
        <v>1278</v>
      </c>
      <c r="D383" s="3">
        <v>10004480</v>
      </c>
      <c r="E383" s="4">
        <v>4534034</v>
      </c>
      <c r="F383" s="3" t="s">
        <v>49</v>
      </c>
      <c r="G383" s="4" t="s">
        <v>1508</v>
      </c>
      <c r="H383" s="4" t="s">
        <v>1620</v>
      </c>
      <c r="I383" s="5">
        <v>237600</v>
      </c>
      <c r="J383" s="3" t="s">
        <v>1621</v>
      </c>
      <c r="K383" s="3" t="s">
        <v>377</v>
      </c>
      <c r="L383" s="3" t="s">
        <v>119</v>
      </c>
      <c r="M383" s="4" t="s">
        <v>1622</v>
      </c>
      <c r="N383" s="3" t="s">
        <v>56</v>
      </c>
      <c r="O383" s="3"/>
      <c r="Q383" s="3"/>
      <c r="R383" s="3"/>
      <c r="Y383" s="4" t="s">
        <v>1056</v>
      </c>
      <c r="Z383" s="4" t="s">
        <v>1056</v>
      </c>
      <c r="AA383" s="4" t="s">
        <v>412</v>
      </c>
      <c r="AB383" s="3" t="s">
        <v>1511</v>
      </c>
      <c r="AC383" s="3" t="s">
        <v>414</v>
      </c>
      <c r="AD383" s="3" t="s">
        <v>1623</v>
      </c>
      <c r="AE383" s="3">
        <v>1000</v>
      </c>
      <c r="AI383" s="4" t="s">
        <v>1058</v>
      </c>
      <c r="AJ383" s="4" t="s">
        <v>1058</v>
      </c>
      <c r="AK383" s="3"/>
      <c r="AL383" s="4">
        <v>140653</v>
      </c>
      <c r="AM383" s="5">
        <v>237600</v>
      </c>
      <c r="AN383" s="4" t="s">
        <v>124</v>
      </c>
      <c r="AO383" s="4">
        <v>99</v>
      </c>
      <c r="AP383" s="4">
        <v>81111800</v>
      </c>
    </row>
    <row r="384" spans="1:42" s="4" customFormat="1" x14ac:dyDescent="0.25">
      <c r="A384" s="3">
        <v>4604716</v>
      </c>
      <c r="B384" s="28">
        <v>42062</v>
      </c>
      <c r="C384" s="3" t="s">
        <v>2093</v>
      </c>
      <c r="D384" s="3">
        <v>10004507</v>
      </c>
      <c r="E384" s="4">
        <v>4534067</v>
      </c>
      <c r="F384" s="3" t="s">
        <v>49</v>
      </c>
      <c r="G384" s="4" t="s">
        <v>572</v>
      </c>
      <c r="H384" s="4" t="s">
        <v>2101</v>
      </c>
      <c r="I384" s="5">
        <v>250000</v>
      </c>
      <c r="J384" s="3" t="s">
        <v>783</v>
      </c>
      <c r="K384" s="3" t="s">
        <v>480</v>
      </c>
      <c r="L384" s="3" t="s">
        <v>196</v>
      </c>
      <c r="M384" s="4" t="s">
        <v>2102</v>
      </c>
      <c r="N384" s="3" t="s">
        <v>25</v>
      </c>
      <c r="O384" s="3"/>
      <c r="Q384" s="3"/>
      <c r="R384" s="3"/>
      <c r="Y384" s="4" t="s">
        <v>1616</v>
      </c>
      <c r="Z384" s="4" t="s">
        <v>1616</v>
      </c>
      <c r="AB384" s="3"/>
      <c r="AC384" s="3"/>
      <c r="AD384" s="3" t="s">
        <v>2099</v>
      </c>
      <c r="AE384" s="3">
        <v>1000</v>
      </c>
      <c r="AI384" s="4" t="s">
        <v>1617</v>
      </c>
      <c r="AJ384" s="4" t="s">
        <v>1617</v>
      </c>
      <c r="AK384" s="3"/>
      <c r="AL384" s="4">
        <v>45868</v>
      </c>
      <c r="AM384" s="5">
        <v>250000</v>
      </c>
      <c r="AN384" s="4" t="s">
        <v>124</v>
      </c>
      <c r="AO384" s="4">
        <v>99</v>
      </c>
      <c r="AP384" s="4">
        <v>80101706</v>
      </c>
    </row>
    <row r="385" spans="1:42" s="4" customFormat="1" x14ac:dyDescent="0.25">
      <c r="A385" s="3">
        <v>4600331</v>
      </c>
      <c r="B385" s="28">
        <v>41575</v>
      </c>
      <c r="C385" s="3" t="s">
        <v>560</v>
      </c>
      <c r="D385" s="3">
        <v>10000393</v>
      </c>
      <c r="E385" s="4">
        <v>4529681</v>
      </c>
      <c r="F385" s="3" t="s">
        <v>49</v>
      </c>
      <c r="G385" s="4" t="s">
        <v>587</v>
      </c>
      <c r="H385" s="4" t="s">
        <v>562</v>
      </c>
      <c r="I385" s="5">
        <v>250100</v>
      </c>
      <c r="J385" s="3" t="s">
        <v>580</v>
      </c>
      <c r="K385" s="3" t="s">
        <v>77</v>
      </c>
      <c r="L385" s="3" t="s">
        <v>119</v>
      </c>
      <c r="M385" s="4" t="s">
        <v>564</v>
      </c>
      <c r="N385" s="3" t="s">
        <v>56</v>
      </c>
      <c r="O385" s="3"/>
      <c r="Q385" s="3"/>
      <c r="R385" s="3"/>
      <c r="Y385" s="4" t="s">
        <v>565</v>
      </c>
      <c r="Z385" s="4" t="s">
        <v>566</v>
      </c>
      <c r="AA385" s="4" t="s">
        <v>567</v>
      </c>
      <c r="AB385" s="3" t="s">
        <v>588</v>
      </c>
      <c r="AC385" s="3" t="s">
        <v>582</v>
      </c>
      <c r="AD385" s="3" t="s">
        <v>583</v>
      </c>
      <c r="AE385" s="3">
        <v>5000</v>
      </c>
      <c r="AF385" s="4">
        <v>8580</v>
      </c>
      <c r="AG385" s="4">
        <v>104098.17</v>
      </c>
      <c r="AH385" s="4">
        <v>4528576</v>
      </c>
      <c r="AI385" s="4" t="s">
        <v>569</v>
      </c>
      <c r="AJ385" s="4" t="s">
        <v>570</v>
      </c>
      <c r="AK385" s="3"/>
      <c r="AL385" s="4">
        <v>140165</v>
      </c>
      <c r="AM385" s="5">
        <v>250100</v>
      </c>
      <c r="AN385" s="4" t="s">
        <v>31</v>
      </c>
      <c r="AO385" s="4">
        <v>97</v>
      </c>
      <c r="AP385" s="4">
        <v>43200000</v>
      </c>
    </row>
    <row r="386" spans="1:42" s="4" customFormat="1" x14ac:dyDescent="0.25">
      <c r="A386" s="3">
        <v>4604269</v>
      </c>
      <c r="B386" s="28">
        <v>41589</v>
      </c>
      <c r="C386" s="3" t="s">
        <v>2342</v>
      </c>
      <c r="D386" s="3">
        <v>10004026</v>
      </c>
      <c r="E386" s="4">
        <v>4533620</v>
      </c>
      <c r="F386" s="3" t="s">
        <v>49</v>
      </c>
      <c r="G386" s="4" t="s">
        <v>2300</v>
      </c>
      <c r="H386" s="4" t="s">
        <v>2301</v>
      </c>
      <c r="I386" s="5">
        <v>253000</v>
      </c>
      <c r="J386" s="3" t="s">
        <v>2341</v>
      </c>
      <c r="K386" s="3" t="s">
        <v>807</v>
      </c>
      <c r="L386" s="3" t="s">
        <v>1046</v>
      </c>
      <c r="M386" s="4" t="s">
        <v>2343</v>
      </c>
      <c r="N386" s="3" t="s">
        <v>25</v>
      </c>
      <c r="O386" s="3" t="s">
        <v>139</v>
      </c>
      <c r="P386" s="4" t="s">
        <v>282</v>
      </c>
      <c r="Q386" s="3" t="s">
        <v>139</v>
      </c>
      <c r="R386" s="3" t="s">
        <v>427</v>
      </c>
      <c r="S386" s="4" t="s">
        <v>428</v>
      </c>
      <c r="U386" s="4" t="s">
        <v>139</v>
      </c>
      <c r="V386" s="4" t="s">
        <v>427</v>
      </c>
      <c r="W386" s="4" t="s">
        <v>428</v>
      </c>
      <c r="Y386" s="4" t="s">
        <v>2277</v>
      </c>
      <c r="Z386" s="4" t="s">
        <v>2293</v>
      </c>
      <c r="AB386" s="3"/>
      <c r="AC386" s="3"/>
      <c r="AD386" s="3" t="s">
        <v>53</v>
      </c>
      <c r="AE386" s="3">
        <v>1000</v>
      </c>
      <c r="AI386" s="4" t="s">
        <v>2281</v>
      </c>
      <c r="AJ386" s="4" t="s">
        <v>2298</v>
      </c>
      <c r="AK386" s="3" t="s">
        <v>286</v>
      </c>
      <c r="AL386" s="4">
        <v>30080</v>
      </c>
      <c r="AM386" s="5">
        <v>253000</v>
      </c>
      <c r="AN386" s="4" t="s">
        <v>2282</v>
      </c>
      <c r="AO386" s="4">
        <v>94</v>
      </c>
      <c r="AP386" s="4">
        <v>80120000</v>
      </c>
    </row>
    <row r="387" spans="1:42" s="4" customFormat="1" x14ac:dyDescent="0.25">
      <c r="A387" s="3">
        <v>4604544</v>
      </c>
      <c r="B387" s="28">
        <v>41809</v>
      </c>
      <c r="C387" s="3" t="s">
        <v>255</v>
      </c>
      <c r="D387" s="3">
        <v>10004329</v>
      </c>
      <c r="E387" s="4">
        <v>4533895</v>
      </c>
      <c r="F387" s="3" t="s">
        <v>49</v>
      </c>
      <c r="G387" s="4" t="s">
        <v>263</v>
      </c>
      <c r="H387" s="4" t="s">
        <v>264</v>
      </c>
      <c r="I387" s="5">
        <v>260000</v>
      </c>
      <c r="J387" s="3" t="s">
        <v>265</v>
      </c>
      <c r="K387" s="3" t="s">
        <v>187</v>
      </c>
      <c r="L387" s="3" t="s">
        <v>119</v>
      </c>
      <c r="M387" s="4" t="s">
        <v>266</v>
      </c>
      <c r="N387" s="3" t="s">
        <v>56</v>
      </c>
      <c r="O387" s="3"/>
      <c r="Q387" s="3"/>
      <c r="R387" s="3"/>
      <c r="Y387" s="4" t="s">
        <v>267</v>
      </c>
      <c r="Z387" s="4" t="s">
        <v>267</v>
      </c>
      <c r="AA387" s="4">
        <v>11.266999999999999</v>
      </c>
      <c r="AB387" s="3" t="s">
        <v>268</v>
      </c>
      <c r="AC387" s="3" t="s">
        <v>269</v>
      </c>
      <c r="AD387" s="3" t="s">
        <v>259</v>
      </c>
      <c r="AE387" s="3">
        <v>1000</v>
      </c>
      <c r="AI387" s="4" t="s">
        <v>270</v>
      </c>
      <c r="AJ387" s="4" t="s">
        <v>270</v>
      </c>
      <c r="AK387" s="3"/>
      <c r="AL387" s="4">
        <v>141722</v>
      </c>
      <c r="AM387" s="5">
        <v>260000</v>
      </c>
      <c r="AN387" s="4" t="s">
        <v>124</v>
      </c>
      <c r="AO387" s="4">
        <v>98</v>
      </c>
      <c r="AP387" s="4">
        <v>80111700</v>
      </c>
    </row>
    <row r="388" spans="1:42" s="4" customFormat="1" x14ac:dyDescent="0.25">
      <c r="A388" s="3">
        <v>4604545</v>
      </c>
      <c r="B388" s="28">
        <v>41810</v>
      </c>
      <c r="C388" s="3" t="s">
        <v>255</v>
      </c>
      <c r="D388" s="3">
        <v>10004330</v>
      </c>
      <c r="E388" s="4">
        <v>4533896</v>
      </c>
      <c r="F388" s="3" t="s">
        <v>49</v>
      </c>
      <c r="G388" s="4" t="s">
        <v>271</v>
      </c>
      <c r="H388" s="4" t="s">
        <v>264</v>
      </c>
      <c r="I388" s="5">
        <v>260000</v>
      </c>
      <c r="J388" s="3" t="s">
        <v>265</v>
      </c>
      <c r="K388" s="3" t="s">
        <v>272</v>
      </c>
      <c r="L388" s="3" t="s">
        <v>119</v>
      </c>
      <c r="M388" s="4" t="s">
        <v>273</v>
      </c>
      <c r="N388" s="3" t="s">
        <v>56</v>
      </c>
      <c r="O388" s="3"/>
      <c r="Q388" s="3"/>
      <c r="R388" s="3"/>
      <c r="Y388" s="4" t="s">
        <v>267</v>
      </c>
      <c r="Z388" s="4" t="s">
        <v>267</v>
      </c>
      <c r="AA388" s="4">
        <v>11.266999999999999</v>
      </c>
      <c r="AB388" s="3" t="s">
        <v>274</v>
      </c>
      <c r="AC388" s="3" t="s">
        <v>269</v>
      </c>
      <c r="AD388" s="3" t="s">
        <v>275</v>
      </c>
      <c r="AE388" s="3">
        <v>1000</v>
      </c>
      <c r="AI388" s="4" t="s">
        <v>270</v>
      </c>
      <c r="AJ388" s="4" t="s">
        <v>270</v>
      </c>
      <c r="AK388" s="3"/>
      <c r="AL388" s="4">
        <v>46721</v>
      </c>
      <c r="AM388" s="5">
        <v>260000</v>
      </c>
      <c r="AN388" s="4" t="s">
        <v>124</v>
      </c>
      <c r="AO388" s="4">
        <v>98</v>
      </c>
      <c r="AP388" s="4">
        <v>80111700</v>
      </c>
    </row>
    <row r="389" spans="1:42" s="4" customFormat="1" x14ac:dyDescent="0.25">
      <c r="A389" s="3">
        <v>4604399</v>
      </c>
      <c r="B389" s="28">
        <v>41726</v>
      </c>
      <c r="C389" s="3" t="s">
        <v>2158</v>
      </c>
      <c r="D389" s="3">
        <v>10004183</v>
      </c>
      <c r="E389" s="4">
        <v>4533750</v>
      </c>
      <c r="F389" s="3" t="s">
        <v>49</v>
      </c>
      <c r="G389" s="4" t="s">
        <v>329</v>
      </c>
      <c r="H389" s="4" t="s">
        <v>2186</v>
      </c>
      <c r="I389" s="5">
        <v>265158.3</v>
      </c>
      <c r="J389" s="3" t="s">
        <v>2185</v>
      </c>
      <c r="K389" s="3" t="s">
        <v>1704</v>
      </c>
      <c r="L389" s="3" t="s">
        <v>196</v>
      </c>
      <c r="M389" s="4" t="s">
        <v>2186</v>
      </c>
      <c r="N389" s="3" t="s">
        <v>25</v>
      </c>
      <c r="O389" s="3"/>
      <c r="Q389" s="3"/>
      <c r="R389" s="3"/>
      <c r="Y389" s="4" t="s">
        <v>2187</v>
      </c>
      <c r="Z389" s="4" t="s">
        <v>2187</v>
      </c>
      <c r="AB389" s="3"/>
      <c r="AC389" s="3"/>
      <c r="AD389" s="3" t="s">
        <v>1318</v>
      </c>
      <c r="AE389" s="3">
        <v>1000</v>
      </c>
      <c r="AI389" s="4" t="s">
        <v>2188</v>
      </c>
      <c r="AJ389" s="4" t="s">
        <v>2188</v>
      </c>
      <c r="AK389" s="3"/>
      <c r="AL389" s="4">
        <v>42575</v>
      </c>
      <c r="AM389" s="5">
        <v>265158.3</v>
      </c>
      <c r="AN389" s="4" t="s">
        <v>124</v>
      </c>
      <c r="AO389" s="4">
        <v>99</v>
      </c>
      <c r="AP389" s="4">
        <v>81112200</v>
      </c>
    </row>
    <row r="390" spans="1:42" s="4" customFormat="1" x14ac:dyDescent="0.25">
      <c r="A390" s="3">
        <v>4604616</v>
      </c>
      <c r="B390" s="28">
        <v>42093</v>
      </c>
      <c r="C390" s="3" t="s">
        <v>1278</v>
      </c>
      <c r="D390" s="3">
        <v>10004397</v>
      </c>
      <c r="E390" s="4">
        <v>4533967</v>
      </c>
      <c r="F390" s="3" t="s">
        <v>49</v>
      </c>
      <c r="G390" s="4" t="s">
        <v>1508</v>
      </c>
      <c r="H390" s="4" t="s">
        <v>1509</v>
      </c>
      <c r="I390" s="5">
        <v>270600</v>
      </c>
      <c r="J390" s="3" t="s">
        <v>1121</v>
      </c>
      <c r="K390" s="3" t="s">
        <v>77</v>
      </c>
      <c r="L390" s="3" t="s">
        <v>119</v>
      </c>
      <c r="M390" s="4" t="s">
        <v>1503</v>
      </c>
      <c r="N390" s="3" t="s">
        <v>56</v>
      </c>
      <c r="O390" s="3"/>
      <c r="Q390" s="3"/>
      <c r="R390" s="3"/>
      <c r="Y390" s="4" t="s">
        <v>1510</v>
      </c>
      <c r="Z390" s="4" t="s">
        <v>1090</v>
      </c>
      <c r="AA390" s="4" t="s">
        <v>412</v>
      </c>
      <c r="AB390" s="3" t="s">
        <v>1511</v>
      </c>
      <c r="AC390" s="3" t="s">
        <v>414</v>
      </c>
      <c r="AD390" s="3" t="s">
        <v>1136</v>
      </c>
      <c r="AE390" s="3">
        <v>1000</v>
      </c>
      <c r="AI390" s="4" t="s">
        <v>1512</v>
      </c>
      <c r="AJ390" s="4" t="s">
        <v>1091</v>
      </c>
      <c r="AK390" s="3"/>
      <c r="AL390" s="4">
        <v>140653</v>
      </c>
      <c r="AM390" s="5">
        <v>270600</v>
      </c>
      <c r="AN390" s="4" t="s">
        <v>124</v>
      </c>
      <c r="AO390" s="4">
        <v>98</v>
      </c>
      <c r="AP390" s="4">
        <v>81112200</v>
      </c>
    </row>
    <row r="391" spans="1:42" s="4" customFormat="1" x14ac:dyDescent="0.25">
      <c r="A391" s="3">
        <v>4604867</v>
      </c>
      <c r="B391" s="28">
        <v>42053</v>
      </c>
      <c r="C391" s="3" t="s">
        <v>2158</v>
      </c>
      <c r="D391" s="3">
        <v>10004681</v>
      </c>
      <c r="E391" s="4">
        <v>4534218</v>
      </c>
      <c r="F391" s="3" t="s">
        <v>49</v>
      </c>
      <c r="G391" s="4" t="s">
        <v>2240</v>
      </c>
      <c r="H391" s="4" t="s">
        <v>2241</v>
      </c>
      <c r="I391" s="5">
        <v>275000</v>
      </c>
      <c r="J391" s="3" t="s">
        <v>2239</v>
      </c>
      <c r="K391" s="3" t="s">
        <v>77</v>
      </c>
      <c r="L391" s="3" t="s">
        <v>196</v>
      </c>
      <c r="M391" s="4" t="s">
        <v>2242</v>
      </c>
      <c r="N391" s="3" t="s">
        <v>25</v>
      </c>
      <c r="O391" s="3"/>
      <c r="Q391" s="3"/>
      <c r="R391" s="3"/>
      <c r="U391" s="4" t="s">
        <v>139</v>
      </c>
      <c r="V391" s="4" t="s">
        <v>119</v>
      </c>
      <c r="W391" s="4" t="s">
        <v>217</v>
      </c>
      <c r="X391" s="4" t="s">
        <v>2214</v>
      </c>
      <c r="Y391" s="4" t="s">
        <v>2223</v>
      </c>
      <c r="Z391" s="4" t="s">
        <v>2223</v>
      </c>
      <c r="AB391" s="3"/>
      <c r="AC391" s="3"/>
      <c r="AD391" s="3" t="s">
        <v>1635</v>
      </c>
      <c r="AE391" s="3">
        <v>1000</v>
      </c>
      <c r="AI391" s="4" t="s">
        <v>2224</v>
      </c>
      <c r="AJ391" s="4" t="s">
        <v>2224</v>
      </c>
      <c r="AK391" s="3"/>
      <c r="AL391" s="4">
        <v>141779</v>
      </c>
      <c r="AM391" s="5">
        <v>275000</v>
      </c>
      <c r="AN391" s="4" t="s">
        <v>124</v>
      </c>
      <c r="AO391" s="4">
        <v>99</v>
      </c>
      <c r="AP391" s="4">
        <v>80100000</v>
      </c>
    </row>
    <row r="392" spans="1:42" s="4" customFormat="1" x14ac:dyDescent="0.25">
      <c r="A392" s="3">
        <v>4604121</v>
      </c>
      <c r="B392" s="28">
        <v>41508</v>
      </c>
      <c r="C392" s="3" t="s">
        <v>1042</v>
      </c>
      <c r="D392" s="3">
        <v>10003236</v>
      </c>
      <c r="E392" s="4">
        <v>4533472</v>
      </c>
      <c r="F392" s="3" t="s">
        <v>49</v>
      </c>
      <c r="G392" s="4" t="s">
        <v>1085</v>
      </c>
      <c r="H392" s="4" t="s">
        <v>1257</v>
      </c>
      <c r="I392" s="5">
        <v>278804.07</v>
      </c>
      <c r="J392" s="3" t="s">
        <v>1258</v>
      </c>
      <c r="K392" s="3" t="s">
        <v>1259</v>
      </c>
      <c r="L392" s="3" t="s">
        <v>54</v>
      </c>
      <c r="M392" s="4" t="s">
        <v>1260</v>
      </c>
      <c r="N392" s="3" t="s">
        <v>56</v>
      </c>
      <c r="O392" s="3"/>
      <c r="Q392" s="3"/>
      <c r="R392" s="3"/>
      <c r="Y392" s="4" t="s">
        <v>1056</v>
      </c>
      <c r="Z392" s="4" t="s">
        <v>1090</v>
      </c>
      <c r="AB392" s="3"/>
      <c r="AC392" s="3"/>
      <c r="AD392" s="3" t="s">
        <v>654</v>
      </c>
      <c r="AE392" s="3">
        <v>1000</v>
      </c>
      <c r="AI392" s="4" t="s">
        <v>1058</v>
      </c>
      <c r="AJ392" s="4" t="s">
        <v>1091</v>
      </c>
      <c r="AK392" s="3"/>
      <c r="AL392" s="4">
        <v>30502</v>
      </c>
      <c r="AM392" s="5">
        <v>278804.07</v>
      </c>
      <c r="AN392" s="4" t="s">
        <v>124</v>
      </c>
      <c r="AO392" s="4">
        <v>99</v>
      </c>
    </row>
    <row r="393" spans="1:42" s="4" customFormat="1" x14ac:dyDescent="0.25">
      <c r="A393" s="3">
        <v>4604877</v>
      </c>
      <c r="B393" s="28">
        <v>42075</v>
      </c>
      <c r="C393" s="3" t="s">
        <v>1278</v>
      </c>
      <c r="D393" s="3">
        <v>10004692</v>
      </c>
      <c r="E393" s="4">
        <v>4534228</v>
      </c>
      <c r="F393" s="3" t="s">
        <v>49</v>
      </c>
      <c r="G393" s="4" t="s">
        <v>329</v>
      </c>
      <c r="H393" s="4" t="s">
        <v>1839</v>
      </c>
      <c r="I393" s="5">
        <v>282549.3</v>
      </c>
      <c r="J393" s="3" t="s">
        <v>486</v>
      </c>
      <c r="K393" s="3" t="s">
        <v>498</v>
      </c>
      <c r="L393" s="3" t="s">
        <v>196</v>
      </c>
      <c r="M393" s="4" t="s">
        <v>1844</v>
      </c>
      <c r="N393" s="3" t="s">
        <v>25</v>
      </c>
      <c r="O393" s="3"/>
      <c r="Q393" s="3"/>
      <c r="R393" s="3"/>
      <c r="Y393" s="4" t="s">
        <v>1056</v>
      </c>
      <c r="Z393" s="4" t="s">
        <v>1056</v>
      </c>
      <c r="AB393" s="3"/>
      <c r="AC393" s="3"/>
      <c r="AD393" s="3" t="s">
        <v>455</v>
      </c>
      <c r="AE393" s="3">
        <v>1000</v>
      </c>
      <c r="AI393" s="4" t="s">
        <v>1058</v>
      </c>
      <c r="AJ393" s="4" t="s">
        <v>1058</v>
      </c>
      <c r="AK393" s="3"/>
      <c r="AL393" s="4">
        <v>42575</v>
      </c>
      <c r="AM393" s="5">
        <v>282549.3</v>
      </c>
      <c r="AN393" s="4" t="s">
        <v>124</v>
      </c>
      <c r="AO393" s="4">
        <v>99</v>
      </c>
      <c r="AP393" s="4">
        <v>43230000</v>
      </c>
    </row>
    <row r="394" spans="1:42" s="4" customFormat="1" x14ac:dyDescent="0.25">
      <c r="A394" s="3">
        <v>4603664</v>
      </c>
      <c r="B394" s="28">
        <v>42129</v>
      </c>
      <c r="C394" s="3" t="s">
        <v>1042</v>
      </c>
      <c r="D394" s="3">
        <v>10003503</v>
      </c>
      <c r="E394" s="4">
        <v>4533015</v>
      </c>
      <c r="F394" s="3" t="s">
        <v>49</v>
      </c>
      <c r="G394" s="4" t="s">
        <v>1153</v>
      </c>
      <c r="H394" s="4" t="s">
        <v>1154</v>
      </c>
      <c r="I394" s="5">
        <v>291289.65999999997</v>
      </c>
      <c r="J394" s="3" t="s">
        <v>1155</v>
      </c>
      <c r="K394" s="3" t="s">
        <v>1156</v>
      </c>
      <c r="L394" s="3" t="s">
        <v>119</v>
      </c>
      <c r="M394" s="4" t="s">
        <v>1154</v>
      </c>
      <c r="N394" s="3" t="s">
        <v>25</v>
      </c>
      <c r="O394" s="3"/>
      <c r="Q394" s="3"/>
      <c r="R394" s="3"/>
      <c r="Y394" s="4" t="s">
        <v>1157</v>
      </c>
      <c r="Z394" s="4" t="s">
        <v>1090</v>
      </c>
      <c r="AA394" s="4" t="s">
        <v>1158</v>
      </c>
      <c r="AB394" s="3"/>
      <c r="AC394" s="3"/>
      <c r="AD394" s="3" t="s">
        <v>1159</v>
      </c>
      <c r="AE394" s="3">
        <v>1000</v>
      </c>
      <c r="AI394" s="4" t="s">
        <v>1160</v>
      </c>
      <c r="AJ394" s="4" t="s">
        <v>1091</v>
      </c>
      <c r="AK394" s="3"/>
      <c r="AL394" s="4">
        <v>141225</v>
      </c>
      <c r="AM394" s="5">
        <v>291289.65999999997</v>
      </c>
      <c r="AN394" s="4" t="s">
        <v>124</v>
      </c>
      <c r="AO394" s="4">
        <v>99</v>
      </c>
      <c r="AP394" s="4">
        <v>81111700</v>
      </c>
    </row>
    <row r="395" spans="1:42" s="4" customFormat="1" x14ac:dyDescent="0.25">
      <c r="A395" s="3">
        <v>4603668</v>
      </c>
      <c r="B395" s="28">
        <v>42142</v>
      </c>
      <c r="C395" s="3" t="s">
        <v>1042</v>
      </c>
      <c r="D395" s="3">
        <v>10003498</v>
      </c>
      <c r="E395" s="4">
        <v>4533019</v>
      </c>
      <c r="F395" s="3" t="s">
        <v>49</v>
      </c>
      <c r="G395" s="4" t="s">
        <v>929</v>
      </c>
      <c r="H395" s="4" t="s">
        <v>1162</v>
      </c>
      <c r="I395" s="5">
        <v>296034</v>
      </c>
      <c r="J395" s="3" t="s">
        <v>247</v>
      </c>
      <c r="K395" s="3" t="s">
        <v>575</v>
      </c>
      <c r="L395" s="3" t="s">
        <v>1115</v>
      </c>
      <c r="M395" s="4" t="s">
        <v>1163</v>
      </c>
      <c r="N395" s="3" t="s">
        <v>25</v>
      </c>
      <c r="O395" s="3"/>
      <c r="Q395" s="3"/>
      <c r="R395" s="3"/>
      <c r="Y395" s="4" t="s">
        <v>1079</v>
      </c>
      <c r="Z395" s="4" t="s">
        <v>1090</v>
      </c>
      <c r="AB395" s="3"/>
      <c r="AC395" s="3"/>
      <c r="AD395" s="3" t="s">
        <v>516</v>
      </c>
      <c r="AE395" s="3">
        <v>1000</v>
      </c>
      <c r="AI395" s="4" t="s">
        <v>1083</v>
      </c>
      <c r="AJ395" s="4" t="s">
        <v>1091</v>
      </c>
      <c r="AK395" s="3"/>
      <c r="AL395" s="4">
        <v>140851</v>
      </c>
      <c r="AM395" s="5">
        <v>296034</v>
      </c>
      <c r="AN395" s="4" t="s">
        <v>124</v>
      </c>
      <c r="AO395" s="4">
        <v>99</v>
      </c>
      <c r="AP395" s="4">
        <v>80131500</v>
      </c>
    </row>
    <row r="396" spans="1:42" s="4" customFormat="1" x14ac:dyDescent="0.25">
      <c r="A396" s="3">
        <v>4604568</v>
      </c>
      <c r="B396" s="28">
        <v>41815</v>
      </c>
      <c r="C396" s="3" t="s">
        <v>1278</v>
      </c>
      <c r="D396" s="3">
        <v>10004298</v>
      </c>
      <c r="E396" s="4">
        <v>4533919</v>
      </c>
      <c r="F396" s="3" t="s">
        <v>49</v>
      </c>
      <c r="G396" s="4" t="s">
        <v>1417</v>
      </c>
      <c r="H396" s="4" t="s">
        <v>1418</v>
      </c>
      <c r="I396" s="5">
        <v>299552</v>
      </c>
      <c r="J396" s="3" t="s">
        <v>76</v>
      </c>
      <c r="K396" s="3" t="s">
        <v>321</v>
      </c>
      <c r="L396" s="3" t="s">
        <v>1046</v>
      </c>
      <c r="M396" s="4" t="s">
        <v>1418</v>
      </c>
      <c r="N396" s="3" t="s">
        <v>56</v>
      </c>
      <c r="O396" s="3"/>
      <c r="Q396" s="3"/>
      <c r="R396" s="3"/>
      <c r="Y396" s="4" t="s">
        <v>1309</v>
      </c>
      <c r="Z396" s="4" t="s">
        <v>1309</v>
      </c>
      <c r="AA396" s="4" t="s">
        <v>1419</v>
      </c>
      <c r="AB396" s="3" t="s">
        <v>1419</v>
      </c>
      <c r="AC396" s="3" t="s">
        <v>1420</v>
      </c>
      <c r="AD396" s="3" t="s">
        <v>202</v>
      </c>
      <c r="AE396" s="3">
        <v>5000</v>
      </c>
      <c r="AI396" s="4" t="s">
        <v>1313</v>
      </c>
      <c r="AJ396" s="4" t="s">
        <v>1313</v>
      </c>
      <c r="AK396" s="3"/>
      <c r="AL396" s="4">
        <v>47549</v>
      </c>
      <c r="AM396" s="5">
        <v>299552</v>
      </c>
      <c r="AN396" s="4" t="s">
        <v>31</v>
      </c>
      <c r="AO396" s="4">
        <v>99</v>
      </c>
      <c r="AP396" s="4">
        <v>80141602</v>
      </c>
    </row>
    <row r="397" spans="1:42" s="4" customFormat="1" x14ac:dyDescent="0.25">
      <c r="A397" s="3">
        <v>4604494</v>
      </c>
      <c r="B397" s="28">
        <v>41782</v>
      </c>
      <c r="C397" s="3" t="s">
        <v>2342</v>
      </c>
      <c r="D397" s="3">
        <v>10004286</v>
      </c>
      <c r="E397" s="4">
        <v>4533845</v>
      </c>
      <c r="F397" s="3" t="s">
        <v>49</v>
      </c>
      <c r="G397" s="4" t="s">
        <v>2364</v>
      </c>
      <c r="H397" s="4" t="s">
        <v>2365</v>
      </c>
      <c r="I397" s="5">
        <v>302579.42</v>
      </c>
      <c r="J397" s="3" t="s">
        <v>2362</v>
      </c>
      <c r="K397" s="3" t="s">
        <v>77</v>
      </c>
      <c r="L397" s="3" t="s">
        <v>1046</v>
      </c>
      <c r="M397" s="4" t="s">
        <v>2366</v>
      </c>
      <c r="N397" s="3" t="s">
        <v>25</v>
      </c>
      <c r="O397" s="3" t="s">
        <v>139</v>
      </c>
      <c r="P397" s="4" t="s">
        <v>282</v>
      </c>
      <c r="Q397" s="3"/>
      <c r="R397" s="3"/>
      <c r="U397" s="4" t="s">
        <v>139</v>
      </c>
      <c r="V397" s="4" t="s">
        <v>427</v>
      </c>
      <c r="W397" s="4" t="s">
        <v>428</v>
      </c>
      <c r="Y397" s="4" t="s">
        <v>2286</v>
      </c>
      <c r="Z397" s="4" t="s">
        <v>2293</v>
      </c>
      <c r="AB397" s="3"/>
      <c r="AC397" s="3"/>
      <c r="AD397" s="3" t="s">
        <v>494</v>
      </c>
      <c r="AE397" s="3">
        <v>1000</v>
      </c>
      <c r="AI397" s="4" t="s">
        <v>2288</v>
      </c>
      <c r="AJ397" s="4" t="s">
        <v>2298</v>
      </c>
      <c r="AK397" s="3" t="s">
        <v>286</v>
      </c>
      <c r="AL397" s="4">
        <v>141746</v>
      </c>
      <c r="AM397" s="5">
        <v>302579.42</v>
      </c>
      <c r="AN397" s="4" t="s">
        <v>2282</v>
      </c>
      <c r="AO397" s="4">
        <v>97</v>
      </c>
      <c r="AP397" s="4">
        <v>80120000</v>
      </c>
    </row>
    <row r="398" spans="1:42" s="4" customFormat="1" x14ac:dyDescent="0.25">
      <c r="A398" s="3">
        <v>4604615</v>
      </c>
      <c r="B398" s="28">
        <v>41830</v>
      </c>
      <c r="C398" s="3" t="s">
        <v>1278</v>
      </c>
      <c r="D398" s="3">
        <v>10004399</v>
      </c>
      <c r="E398" s="4">
        <v>4533966</v>
      </c>
      <c r="F398" s="3" t="s">
        <v>49</v>
      </c>
      <c r="G398" s="4" t="s">
        <v>1505</v>
      </c>
      <c r="H398" s="4" t="s">
        <v>1506</v>
      </c>
      <c r="I398" s="5">
        <v>308000</v>
      </c>
      <c r="J398" s="3" t="s">
        <v>1121</v>
      </c>
      <c r="K398" s="3" t="s">
        <v>77</v>
      </c>
      <c r="L398" s="3" t="s">
        <v>119</v>
      </c>
      <c r="M398" s="4" t="s">
        <v>1506</v>
      </c>
      <c r="N398" s="3" t="s">
        <v>56</v>
      </c>
      <c r="O398" s="3"/>
      <c r="Q398" s="3"/>
      <c r="R398" s="3"/>
      <c r="Y398" s="4" t="s">
        <v>1222</v>
      </c>
      <c r="Z398" s="4" t="s">
        <v>1090</v>
      </c>
      <c r="AA398" s="4" t="s">
        <v>412</v>
      </c>
      <c r="AB398" s="3" t="s">
        <v>1507</v>
      </c>
      <c r="AC398" s="3" t="s">
        <v>414</v>
      </c>
      <c r="AD398" s="3" t="s">
        <v>1052</v>
      </c>
      <c r="AE398" s="3">
        <v>1000</v>
      </c>
      <c r="AI398" s="4" t="s">
        <v>1226</v>
      </c>
      <c r="AJ398" s="4" t="s">
        <v>1091</v>
      </c>
      <c r="AK398" s="3"/>
      <c r="AL398" s="4">
        <v>141470</v>
      </c>
      <c r="AM398" s="5">
        <v>308000</v>
      </c>
      <c r="AN398" s="4" t="s">
        <v>124</v>
      </c>
      <c r="AO398" s="4">
        <v>99</v>
      </c>
      <c r="AP398" s="4">
        <v>81112200</v>
      </c>
    </row>
    <row r="399" spans="1:42" s="4" customFormat="1" x14ac:dyDescent="0.25">
      <c r="A399" s="3">
        <v>4604614</v>
      </c>
      <c r="B399" s="28">
        <v>41830</v>
      </c>
      <c r="C399" s="3" t="s">
        <v>1278</v>
      </c>
      <c r="D399" s="3">
        <v>10004400</v>
      </c>
      <c r="E399" s="4">
        <v>4533965</v>
      </c>
      <c r="F399" s="3" t="s">
        <v>49</v>
      </c>
      <c r="G399" s="4" t="s">
        <v>1502</v>
      </c>
      <c r="H399" s="4" t="s">
        <v>1503</v>
      </c>
      <c r="I399" s="5">
        <v>316800</v>
      </c>
      <c r="J399" s="3" t="s">
        <v>1121</v>
      </c>
      <c r="K399" s="3" t="s">
        <v>77</v>
      </c>
      <c r="L399" s="3" t="s">
        <v>119</v>
      </c>
      <c r="M399" s="4" t="s">
        <v>1503</v>
      </c>
      <c r="N399" s="3" t="s">
        <v>56</v>
      </c>
      <c r="O399" s="3"/>
      <c r="Q399" s="3"/>
      <c r="R399" s="3"/>
      <c r="Y399" s="4" t="s">
        <v>405</v>
      </c>
      <c r="Z399" s="4" t="s">
        <v>1090</v>
      </c>
      <c r="AA399" s="4" t="s">
        <v>412</v>
      </c>
      <c r="AB399" s="3" t="s">
        <v>1504</v>
      </c>
      <c r="AC399" s="3" t="s">
        <v>414</v>
      </c>
      <c r="AD399" s="3" t="s">
        <v>1159</v>
      </c>
      <c r="AE399" s="3">
        <v>1000</v>
      </c>
      <c r="AI399" s="4" t="s">
        <v>408</v>
      </c>
      <c r="AJ399" s="4" t="s">
        <v>1091</v>
      </c>
      <c r="AK399" s="3"/>
      <c r="AL399" s="4">
        <v>49955</v>
      </c>
      <c r="AM399" s="5">
        <v>316800</v>
      </c>
      <c r="AN399" s="4" t="s">
        <v>124</v>
      </c>
      <c r="AO399" s="4">
        <v>99</v>
      </c>
      <c r="AP399" s="4">
        <v>81112200</v>
      </c>
    </row>
    <row r="400" spans="1:42" s="4" customFormat="1" x14ac:dyDescent="0.25">
      <c r="A400" s="3">
        <v>4604887</v>
      </c>
      <c r="B400" s="28">
        <v>42074</v>
      </c>
      <c r="C400" s="3" t="s">
        <v>1278</v>
      </c>
      <c r="D400" s="3">
        <v>10004699</v>
      </c>
      <c r="E400" s="4">
        <v>4534238</v>
      </c>
      <c r="F400" s="3" t="s">
        <v>49</v>
      </c>
      <c r="G400" s="4" t="s">
        <v>1053</v>
      </c>
      <c r="H400" s="4" t="s">
        <v>1874</v>
      </c>
      <c r="I400" s="5">
        <v>317018.39</v>
      </c>
      <c r="J400" s="3" t="s">
        <v>882</v>
      </c>
      <c r="K400" s="3" t="s">
        <v>1037</v>
      </c>
      <c r="L400" s="3" t="s">
        <v>119</v>
      </c>
      <c r="M400" s="4" t="s">
        <v>1875</v>
      </c>
      <c r="N400" s="3" t="s">
        <v>56</v>
      </c>
      <c r="O400" s="3"/>
      <c r="Q400" s="3"/>
      <c r="R400" s="3"/>
      <c r="Y400" s="4" t="s">
        <v>1056</v>
      </c>
      <c r="Z400" s="4" t="s">
        <v>1056</v>
      </c>
      <c r="AA400" s="4" t="s">
        <v>1057</v>
      </c>
      <c r="AB400" s="3" t="s">
        <v>1057</v>
      </c>
      <c r="AC400" s="3" t="s">
        <v>1340</v>
      </c>
      <c r="AD400" s="3" t="s">
        <v>1179</v>
      </c>
      <c r="AE400" s="3">
        <v>1000</v>
      </c>
      <c r="AI400" s="4" t="s">
        <v>1058</v>
      </c>
      <c r="AJ400" s="4" t="s">
        <v>1058</v>
      </c>
      <c r="AK400" s="3"/>
      <c r="AL400" s="4">
        <v>140248</v>
      </c>
      <c r="AM400" s="5">
        <v>317018.39</v>
      </c>
      <c r="AN400" s="4" t="s">
        <v>124</v>
      </c>
      <c r="AO400" s="4">
        <v>99</v>
      </c>
      <c r="AP400" s="4">
        <v>43230000</v>
      </c>
    </row>
    <row r="401" spans="1:42" s="4" customFormat="1" x14ac:dyDescent="0.25">
      <c r="A401" s="3">
        <v>4604949</v>
      </c>
      <c r="B401" s="28">
        <v>41718</v>
      </c>
      <c r="C401" s="3" t="s">
        <v>2415</v>
      </c>
      <c r="D401" s="3">
        <v>10004753</v>
      </c>
      <c r="E401" s="4">
        <v>4534300</v>
      </c>
      <c r="F401" s="3" t="s">
        <v>49</v>
      </c>
      <c r="G401" s="4" t="s">
        <v>453</v>
      </c>
      <c r="H401" s="4" t="s">
        <v>2424</v>
      </c>
      <c r="I401" s="5">
        <v>390000</v>
      </c>
      <c r="J401" s="3" t="s">
        <v>173</v>
      </c>
      <c r="K401" s="3" t="s">
        <v>77</v>
      </c>
      <c r="L401" s="3" t="s">
        <v>196</v>
      </c>
      <c r="M401" s="4" t="s">
        <v>2424</v>
      </c>
      <c r="N401" s="3" t="s">
        <v>25</v>
      </c>
      <c r="O401" s="3" t="s">
        <v>139</v>
      </c>
      <c r="P401" s="4" t="s">
        <v>140</v>
      </c>
      <c r="Q401" s="3"/>
      <c r="R401" s="3"/>
      <c r="Y401" s="4" t="s">
        <v>2425</v>
      </c>
      <c r="Z401" s="4" t="s">
        <v>2425</v>
      </c>
      <c r="AB401" s="3"/>
      <c r="AC401" s="3"/>
      <c r="AD401" s="3" t="s">
        <v>516</v>
      </c>
      <c r="AE401" s="3">
        <v>1000</v>
      </c>
      <c r="AI401" s="4" t="s">
        <v>2426</v>
      </c>
      <c r="AJ401" s="4" t="s">
        <v>2426</v>
      </c>
      <c r="AK401" s="3" t="s">
        <v>143</v>
      </c>
      <c r="AL401" s="4">
        <v>47630</v>
      </c>
      <c r="AM401" s="5">
        <v>390000</v>
      </c>
      <c r="AN401" s="4" t="s">
        <v>124</v>
      </c>
      <c r="AO401" s="4">
        <v>99</v>
      </c>
      <c r="AP401" s="4">
        <v>80100000</v>
      </c>
    </row>
    <row r="402" spans="1:42" s="4" customFormat="1" x14ac:dyDescent="0.25">
      <c r="A402" s="3">
        <v>4604580</v>
      </c>
      <c r="B402" s="28">
        <v>41817</v>
      </c>
      <c r="C402" s="3" t="s">
        <v>1278</v>
      </c>
      <c r="D402" s="3">
        <v>10004300</v>
      </c>
      <c r="E402" s="4">
        <v>4533931</v>
      </c>
      <c r="F402" s="3" t="s">
        <v>49</v>
      </c>
      <c r="G402" s="4" t="s">
        <v>1433</v>
      </c>
      <c r="H402" s="4" t="s">
        <v>1434</v>
      </c>
      <c r="I402" s="5">
        <v>408000</v>
      </c>
      <c r="J402" s="3" t="s">
        <v>76</v>
      </c>
      <c r="K402" s="3" t="s">
        <v>77</v>
      </c>
      <c r="L402" s="3" t="s">
        <v>1046</v>
      </c>
      <c r="M402" s="4" t="s">
        <v>1434</v>
      </c>
      <c r="N402" s="3" t="s">
        <v>56</v>
      </c>
      <c r="O402" s="3"/>
      <c r="Q402" s="3"/>
      <c r="R402" s="3"/>
      <c r="Y402" s="4" t="s">
        <v>1309</v>
      </c>
      <c r="Z402" s="4" t="s">
        <v>1309</v>
      </c>
      <c r="AA402" s="4" t="s">
        <v>1435</v>
      </c>
      <c r="AB402" s="3" t="s">
        <v>1435</v>
      </c>
      <c r="AC402" s="3" t="s">
        <v>1436</v>
      </c>
      <c r="AD402" s="3" t="s">
        <v>455</v>
      </c>
      <c r="AE402" s="3">
        <v>5000</v>
      </c>
      <c r="AI402" s="4" t="s">
        <v>1313</v>
      </c>
      <c r="AJ402" s="4" t="s">
        <v>1313</v>
      </c>
      <c r="AK402" s="3"/>
      <c r="AL402" s="4">
        <v>49940</v>
      </c>
      <c r="AM402" s="5">
        <v>408000</v>
      </c>
      <c r="AN402" s="4" t="s">
        <v>31</v>
      </c>
      <c r="AO402" s="4">
        <v>98</v>
      </c>
      <c r="AP402" s="4">
        <v>82100000</v>
      </c>
    </row>
    <row r="403" spans="1:42" s="4" customFormat="1" x14ac:dyDescent="0.25">
      <c r="A403" s="3">
        <v>4604792</v>
      </c>
      <c r="B403" s="28">
        <v>41964</v>
      </c>
      <c r="C403" s="3" t="s">
        <v>1278</v>
      </c>
      <c r="D403" s="3">
        <v>10004575</v>
      </c>
      <c r="E403" s="4">
        <v>4534143</v>
      </c>
      <c r="F403" s="3" t="s">
        <v>49</v>
      </c>
      <c r="G403" s="4" t="s">
        <v>1471</v>
      </c>
      <c r="H403" s="4" t="s">
        <v>1690</v>
      </c>
      <c r="I403" s="5">
        <v>409938.32</v>
      </c>
      <c r="J403" s="3" t="s">
        <v>1724</v>
      </c>
      <c r="K403" s="3" t="s">
        <v>137</v>
      </c>
      <c r="L403" s="3" t="s">
        <v>119</v>
      </c>
      <c r="M403" s="4" t="s">
        <v>1746</v>
      </c>
      <c r="N403" s="3" t="s">
        <v>56</v>
      </c>
      <c r="O403" s="3"/>
      <c r="Q403" s="3"/>
      <c r="R403" s="3"/>
      <c r="Y403" s="4" t="s">
        <v>1056</v>
      </c>
      <c r="Z403" s="4" t="s">
        <v>1056</v>
      </c>
      <c r="AA403" s="4" t="s">
        <v>1474</v>
      </c>
      <c r="AB403" s="3" t="s">
        <v>1475</v>
      </c>
      <c r="AC403" s="3" t="s">
        <v>1476</v>
      </c>
      <c r="AD403" s="3" t="s">
        <v>1747</v>
      </c>
      <c r="AE403" s="3">
        <v>1000</v>
      </c>
      <c r="AI403" s="4" t="s">
        <v>1058</v>
      </c>
      <c r="AJ403" s="4" t="s">
        <v>1058</v>
      </c>
      <c r="AK403" s="3"/>
      <c r="AL403" s="4">
        <v>48891</v>
      </c>
      <c r="AM403" s="5">
        <v>409938.32</v>
      </c>
      <c r="AN403" s="4" t="s">
        <v>124</v>
      </c>
      <c r="AO403" s="4">
        <v>99</v>
      </c>
      <c r="AP403" s="4">
        <v>43211503</v>
      </c>
    </row>
    <row r="404" spans="1:42" s="4" customFormat="1" x14ac:dyDescent="0.25">
      <c r="A404" s="3">
        <v>4604610</v>
      </c>
      <c r="B404" s="28">
        <v>41877</v>
      </c>
      <c r="C404" s="3" t="s">
        <v>1278</v>
      </c>
      <c r="D404" s="3">
        <v>10004356</v>
      </c>
      <c r="E404" s="4">
        <v>4533961</v>
      </c>
      <c r="F404" s="3" t="s">
        <v>49</v>
      </c>
      <c r="G404" s="4" t="s">
        <v>1357</v>
      </c>
      <c r="H404" s="4" t="s">
        <v>1426</v>
      </c>
      <c r="I404" s="5">
        <v>414055</v>
      </c>
      <c r="J404" s="3" t="s">
        <v>76</v>
      </c>
      <c r="K404" s="3" t="s">
        <v>77</v>
      </c>
      <c r="L404" s="3" t="s">
        <v>196</v>
      </c>
      <c r="M404" s="4" t="s">
        <v>1426</v>
      </c>
      <c r="N404" s="3" t="s">
        <v>25</v>
      </c>
      <c r="O404" s="3"/>
      <c r="Q404" s="3"/>
      <c r="R404" s="3"/>
      <c r="Y404" s="4" t="s">
        <v>466</v>
      </c>
      <c r="Z404" s="4" t="s">
        <v>466</v>
      </c>
      <c r="AA404" s="4" t="s">
        <v>1497</v>
      </c>
      <c r="AB404" s="3"/>
      <c r="AC404" s="3"/>
      <c r="AD404" s="3" t="s">
        <v>1498</v>
      </c>
      <c r="AE404" s="3">
        <v>1000</v>
      </c>
      <c r="AI404" s="4" t="s">
        <v>468</v>
      </c>
      <c r="AJ404" s="4" t="s">
        <v>468</v>
      </c>
      <c r="AK404" s="3"/>
      <c r="AL404" s="4">
        <v>49941</v>
      </c>
      <c r="AM404" s="5">
        <v>414055</v>
      </c>
      <c r="AN404" s="4" t="s">
        <v>124</v>
      </c>
      <c r="AO404" s="4">
        <v>98</v>
      </c>
      <c r="AP404" s="4">
        <v>43230000</v>
      </c>
    </row>
    <row r="405" spans="1:42" s="4" customFormat="1" x14ac:dyDescent="0.25">
      <c r="A405" s="3">
        <v>4603881</v>
      </c>
      <c r="B405" s="28">
        <v>42181</v>
      </c>
      <c r="C405" s="3" t="s">
        <v>1042</v>
      </c>
      <c r="D405" s="3">
        <v>10003682</v>
      </c>
      <c r="E405" s="4">
        <v>4533232</v>
      </c>
      <c r="F405" s="3" t="s">
        <v>49</v>
      </c>
      <c r="G405" s="4" t="s">
        <v>1206</v>
      </c>
      <c r="H405" s="4" t="s">
        <v>1207</v>
      </c>
      <c r="I405" s="5">
        <v>420978.64</v>
      </c>
      <c r="J405" s="3" t="s">
        <v>65</v>
      </c>
      <c r="K405" s="3" t="s">
        <v>1208</v>
      </c>
      <c r="L405" s="3" t="s">
        <v>196</v>
      </c>
      <c r="M405" s="4" t="s">
        <v>1207</v>
      </c>
      <c r="N405" s="3" t="s">
        <v>25</v>
      </c>
      <c r="O405" s="3"/>
      <c r="Q405" s="3"/>
      <c r="R405" s="3"/>
      <c r="Y405" s="4" t="s">
        <v>1079</v>
      </c>
      <c r="Z405" s="4" t="s">
        <v>605</v>
      </c>
      <c r="AB405" s="3"/>
      <c r="AC405" s="3"/>
      <c r="AD405" s="3" t="s">
        <v>1209</v>
      </c>
      <c r="AE405" s="3">
        <v>1000</v>
      </c>
      <c r="AI405" s="4" t="s">
        <v>1083</v>
      </c>
      <c r="AJ405" s="4" t="s">
        <v>609</v>
      </c>
      <c r="AK405" s="3"/>
      <c r="AL405" s="4">
        <v>141161</v>
      </c>
      <c r="AM405" s="5">
        <v>420978.64</v>
      </c>
      <c r="AN405" s="4" t="s">
        <v>124</v>
      </c>
      <c r="AO405" s="4">
        <v>99</v>
      </c>
      <c r="AP405" s="4">
        <v>80131500</v>
      </c>
    </row>
    <row r="406" spans="1:42" s="4" customFormat="1" x14ac:dyDescent="0.25">
      <c r="A406" s="3">
        <v>4600307</v>
      </c>
      <c r="B406" s="28">
        <v>41575</v>
      </c>
      <c r="C406" s="3" t="s">
        <v>560</v>
      </c>
      <c r="D406" s="3">
        <v>10000374</v>
      </c>
      <c r="E406" s="4">
        <v>4529657</v>
      </c>
      <c r="F406" s="3" t="s">
        <v>49</v>
      </c>
      <c r="G406" s="4" t="s">
        <v>561</v>
      </c>
      <c r="H406" s="4" t="s">
        <v>562</v>
      </c>
      <c r="I406" s="5">
        <v>424915</v>
      </c>
      <c r="J406" s="3" t="s">
        <v>563</v>
      </c>
      <c r="K406" s="3" t="s">
        <v>77</v>
      </c>
      <c r="L406" s="3" t="s">
        <v>119</v>
      </c>
      <c r="M406" s="4" t="s">
        <v>564</v>
      </c>
      <c r="N406" s="3" t="s">
        <v>25</v>
      </c>
      <c r="O406" s="3"/>
      <c r="Q406" s="3"/>
      <c r="R406" s="3"/>
      <c r="Y406" s="4" t="s">
        <v>565</v>
      </c>
      <c r="Z406" s="4" t="s">
        <v>566</v>
      </c>
      <c r="AA406" s="4" t="s">
        <v>567</v>
      </c>
      <c r="AB406" s="3"/>
      <c r="AC406" s="3"/>
      <c r="AD406" s="3" t="s">
        <v>568</v>
      </c>
      <c r="AE406" s="3">
        <v>5000</v>
      </c>
      <c r="AF406" s="4">
        <v>18242.27</v>
      </c>
      <c r="AG406" s="4">
        <v>66400.27</v>
      </c>
      <c r="AH406" s="4">
        <v>4528577</v>
      </c>
      <c r="AI406" s="4" t="s">
        <v>569</v>
      </c>
      <c r="AJ406" s="4" t="s">
        <v>570</v>
      </c>
      <c r="AK406" s="3"/>
      <c r="AL406" s="4">
        <v>140166</v>
      </c>
      <c r="AM406" s="5">
        <v>424915</v>
      </c>
      <c r="AN406" s="4" t="s">
        <v>31</v>
      </c>
      <c r="AO406" s="4">
        <v>95</v>
      </c>
      <c r="AP406" s="4">
        <v>80101600</v>
      </c>
    </row>
    <row r="407" spans="1:42" s="4" customFormat="1" x14ac:dyDescent="0.25">
      <c r="A407" s="3">
        <v>4604735</v>
      </c>
      <c r="B407" s="28">
        <v>41922</v>
      </c>
      <c r="C407" s="3" t="s">
        <v>1278</v>
      </c>
      <c r="D407" s="3">
        <v>10004490</v>
      </c>
      <c r="E407" s="4">
        <v>4534086</v>
      </c>
      <c r="F407" s="3" t="s">
        <v>49</v>
      </c>
      <c r="G407" s="4" t="s">
        <v>1471</v>
      </c>
      <c r="H407" s="4" t="s">
        <v>1680</v>
      </c>
      <c r="I407" s="5">
        <v>427949.5</v>
      </c>
      <c r="J407" s="3" t="s">
        <v>745</v>
      </c>
      <c r="K407" s="3" t="s">
        <v>395</v>
      </c>
      <c r="L407" s="3" t="s">
        <v>119</v>
      </c>
      <c r="M407" s="4" t="s">
        <v>1681</v>
      </c>
      <c r="N407" s="3" t="s">
        <v>56</v>
      </c>
      <c r="O407" s="3"/>
      <c r="Q407" s="3"/>
      <c r="R407" s="3"/>
      <c r="Y407" s="4" t="s">
        <v>1056</v>
      </c>
      <c r="Z407" s="4" t="s">
        <v>1056</v>
      </c>
      <c r="AA407" s="4" t="s">
        <v>1474</v>
      </c>
      <c r="AB407" s="3" t="s">
        <v>1475</v>
      </c>
      <c r="AC407" s="3" t="s">
        <v>1476</v>
      </c>
      <c r="AD407" s="3" t="s">
        <v>424</v>
      </c>
      <c r="AE407" s="3">
        <v>1000</v>
      </c>
      <c r="AI407" s="4" t="s">
        <v>1058</v>
      </c>
      <c r="AJ407" s="4" t="s">
        <v>1058</v>
      </c>
      <c r="AK407" s="3"/>
      <c r="AL407" s="4">
        <v>48891</v>
      </c>
      <c r="AM407" s="5">
        <v>427949.5</v>
      </c>
      <c r="AN407" s="4" t="s">
        <v>124</v>
      </c>
      <c r="AO407" s="4">
        <v>99</v>
      </c>
      <c r="AP407" s="4">
        <v>43211503</v>
      </c>
    </row>
    <row r="408" spans="1:42" s="4" customFormat="1" x14ac:dyDescent="0.25">
      <c r="A408" s="3">
        <v>4604856</v>
      </c>
      <c r="B408" s="28">
        <v>42061</v>
      </c>
      <c r="C408" s="3" t="s">
        <v>1278</v>
      </c>
      <c r="D408" s="3">
        <v>10004661</v>
      </c>
      <c r="E408" s="4">
        <v>4534207</v>
      </c>
      <c r="F408" s="3" t="s">
        <v>49</v>
      </c>
      <c r="G408" s="4" t="s">
        <v>1818</v>
      </c>
      <c r="H408" s="4" t="s">
        <v>1819</v>
      </c>
      <c r="I408" s="5">
        <v>450000</v>
      </c>
      <c r="J408" s="3" t="s">
        <v>1269</v>
      </c>
      <c r="K408" s="3" t="s">
        <v>422</v>
      </c>
      <c r="L408" s="3" t="s">
        <v>119</v>
      </c>
      <c r="M408" s="4" t="s">
        <v>1820</v>
      </c>
      <c r="N408" s="3" t="s">
        <v>56</v>
      </c>
      <c r="O408" s="3"/>
      <c r="Q408" s="3"/>
      <c r="R408" s="3"/>
      <c r="Y408" s="4" t="s">
        <v>1056</v>
      </c>
      <c r="Z408" s="4" t="s">
        <v>1056</v>
      </c>
      <c r="AA408" s="4">
        <v>20000194</v>
      </c>
      <c r="AB408" s="3" t="s">
        <v>1821</v>
      </c>
      <c r="AC408" s="3" t="s">
        <v>1719</v>
      </c>
      <c r="AD408" s="3" t="s">
        <v>1269</v>
      </c>
      <c r="AE408" s="3">
        <v>1000</v>
      </c>
      <c r="AI408" s="4" t="s">
        <v>1058</v>
      </c>
      <c r="AJ408" s="4" t="s">
        <v>1058</v>
      </c>
      <c r="AK408" s="3"/>
      <c r="AL408" s="4">
        <v>44100</v>
      </c>
      <c r="AM408" s="5">
        <v>450000</v>
      </c>
      <c r="AN408" s="4" t="s">
        <v>124</v>
      </c>
      <c r="AO408" s="4">
        <v>99</v>
      </c>
      <c r="AP408" s="4">
        <v>81111900</v>
      </c>
    </row>
    <row r="409" spans="1:42" s="4" customFormat="1" x14ac:dyDescent="0.25">
      <c r="A409" s="3">
        <v>4604938</v>
      </c>
      <c r="B409" s="28">
        <v>42111</v>
      </c>
      <c r="C409" s="3" t="s">
        <v>392</v>
      </c>
      <c r="D409" s="3">
        <v>10004756</v>
      </c>
      <c r="E409" s="4">
        <v>4534289</v>
      </c>
      <c r="F409" s="3" t="s">
        <v>49</v>
      </c>
      <c r="G409" s="4" t="s">
        <v>519</v>
      </c>
      <c r="H409" s="4" t="s">
        <v>520</v>
      </c>
      <c r="I409" s="5">
        <v>461571</v>
      </c>
      <c r="J409" s="3" t="s">
        <v>513</v>
      </c>
      <c r="K409" s="3" t="s">
        <v>77</v>
      </c>
      <c r="L409" s="3" t="s">
        <v>119</v>
      </c>
      <c r="M409" s="4" t="s">
        <v>520</v>
      </c>
      <c r="N409" s="3" t="s">
        <v>56</v>
      </c>
      <c r="O409" s="3"/>
      <c r="Q409" s="3"/>
      <c r="R409" s="3"/>
      <c r="Y409" s="4" t="s">
        <v>466</v>
      </c>
      <c r="Z409" s="4" t="s">
        <v>466</v>
      </c>
      <c r="AA409" s="4" t="s">
        <v>521</v>
      </c>
      <c r="AB409" s="3" t="s">
        <v>522</v>
      </c>
      <c r="AC409" s="3" t="s">
        <v>523</v>
      </c>
      <c r="AD409" s="3" t="s">
        <v>524</v>
      </c>
      <c r="AE409" s="3">
        <v>1000</v>
      </c>
      <c r="AI409" s="4" t="s">
        <v>468</v>
      </c>
      <c r="AJ409" s="4" t="s">
        <v>468</v>
      </c>
      <c r="AK409" s="3"/>
      <c r="AL409" s="4">
        <v>141888</v>
      </c>
      <c r="AM409" s="5">
        <v>461571</v>
      </c>
      <c r="AN409" s="4" t="s">
        <v>124</v>
      </c>
      <c r="AO409" s="4">
        <v>99</v>
      </c>
      <c r="AP409" s="4">
        <v>43230000</v>
      </c>
    </row>
    <row r="410" spans="1:42" s="4" customFormat="1" x14ac:dyDescent="0.25">
      <c r="A410" s="3">
        <v>4604261</v>
      </c>
      <c r="B410" s="28">
        <v>41575</v>
      </c>
      <c r="C410" s="3" t="s">
        <v>560</v>
      </c>
      <c r="D410" s="3">
        <v>10000394</v>
      </c>
      <c r="E410" s="4">
        <v>4533612</v>
      </c>
      <c r="F410" s="3" t="s">
        <v>49</v>
      </c>
      <c r="G410" s="4" t="s">
        <v>721</v>
      </c>
      <c r="H410" s="4" t="s">
        <v>564</v>
      </c>
      <c r="I410" s="5">
        <v>468000.01</v>
      </c>
      <c r="J410" s="3" t="s">
        <v>722</v>
      </c>
      <c r="K410" s="3" t="s">
        <v>77</v>
      </c>
      <c r="L410" s="3" t="s">
        <v>119</v>
      </c>
      <c r="M410" s="4" t="s">
        <v>564</v>
      </c>
      <c r="N410" s="3" t="s">
        <v>56</v>
      </c>
      <c r="O410" s="3"/>
      <c r="Q410" s="3"/>
      <c r="R410" s="3"/>
      <c r="Y410" s="4" t="s">
        <v>565</v>
      </c>
      <c r="Z410" s="4" t="s">
        <v>614</v>
      </c>
      <c r="AA410" s="4" t="s">
        <v>567</v>
      </c>
      <c r="AB410" s="3" t="s">
        <v>723</v>
      </c>
      <c r="AC410" s="3" t="s">
        <v>582</v>
      </c>
      <c r="AD410" s="3" t="s">
        <v>724</v>
      </c>
      <c r="AE410" s="3">
        <v>5000</v>
      </c>
      <c r="AF410" s="4">
        <v>35941.4</v>
      </c>
      <c r="AG410" s="4">
        <v>114296.16</v>
      </c>
      <c r="AH410" s="4">
        <v>4528567</v>
      </c>
      <c r="AI410" s="4" t="s">
        <v>569</v>
      </c>
      <c r="AJ410" s="4" t="s">
        <v>617</v>
      </c>
      <c r="AK410" s="3"/>
      <c r="AL410" s="4">
        <v>141563</v>
      </c>
      <c r="AM410" s="5">
        <v>468000.01</v>
      </c>
      <c r="AN410" s="4" t="s">
        <v>31</v>
      </c>
      <c r="AO410" s="4">
        <v>99</v>
      </c>
      <c r="AP410" s="4">
        <v>80101600</v>
      </c>
    </row>
    <row r="411" spans="1:42" s="4" customFormat="1" x14ac:dyDescent="0.25">
      <c r="A411" s="3">
        <v>4604559</v>
      </c>
      <c r="B411" s="28">
        <v>41821</v>
      </c>
      <c r="C411" s="3" t="s">
        <v>1278</v>
      </c>
      <c r="D411" s="3">
        <v>10004299</v>
      </c>
      <c r="E411" s="4">
        <v>4533910</v>
      </c>
      <c r="F411" s="3" t="s">
        <v>49</v>
      </c>
      <c r="G411" s="4" t="s">
        <v>1402</v>
      </c>
      <c r="H411" s="4" t="s">
        <v>1403</v>
      </c>
      <c r="I411" s="5">
        <v>476135</v>
      </c>
      <c r="J411" s="3" t="s">
        <v>76</v>
      </c>
      <c r="K411" s="3" t="s">
        <v>77</v>
      </c>
      <c r="L411" s="3" t="s">
        <v>119</v>
      </c>
      <c r="M411" s="4" t="s">
        <v>1403</v>
      </c>
      <c r="N411" s="3" t="s">
        <v>56</v>
      </c>
      <c r="O411" s="3"/>
      <c r="Q411" s="3"/>
      <c r="R411" s="3"/>
      <c r="Y411" s="4" t="s">
        <v>1309</v>
      </c>
      <c r="Z411" s="4" t="s">
        <v>1309</v>
      </c>
      <c r="AA411" s="4" t="s">
        <v>356</v>
      </c>
      <c r="AB411" s="3" t="s">
        <v>1404</v>
      </c>
      <c r="AC411" s="3" t="s">
        <v>358</v>
      </c>
      <c r="AD411" s="3" t="s">
        <v>122</v>
      </c>
      <c r="AE411" s="3">
        <v>5000</v>
      </c>
      <c r="AI411" s="4" t="s">
        <v>1313</v>
      </c>
      <c r="AJ411" s="4" t="s">
        <v>1313</v>
      </c>
      <c r="AK411" s="3"/>
      <c r="AL411" s="4">
        <v>49275</v>
      </c>
      <c r="AM411" s="5">
        <v>476135</v>
      </c>
      <c r="AN411" s="4" t="s">
        <v>31</v>
      </c>
      <c r="AO411" s="4">
        <v>99</v>
      </c>
      <c r="AP411" s="4">
        <v>80141500</v>
      </c>
    </row>
    <row r="412" spans="1:42" s="4" customFormat="1" x14ac:dyDescent="0.25">
      <c r="A412" s="3">
        <v>4604118</v>
      </c>
      <c r="B412" s="28">
        <v>41831</v>
      </c>
      <c r="C412" s="3" t="s">
        <v>1042</v>
      </c>
      <c r="D412" s="3">
        <v>10003886</v>
      </c>
      <c r="E412" s="4">
        <v>4533469</v>
      </c>
      <c r="F412" s="3" t="s">
        <v>49</v>
      </c>
      <c r="G412" s="4" t="s">
        <v>1251</v>
      </c>
      <c r="H412" s="4" t="s">
        <v>1252</v>
      </c>
      <c r="I412" s="5">
        <v>495000</v>
      </c>
      <c r="J412" s="3" t="s">
        <v>1253</v>
      </c>
      <c r="K412" s="3" t="s">
        <v>575</v>
      </c>
      <c r="L412" s="3" t="s">
        <v>119</v>
      </c>
      <c r="M412" s="4" t="s">
        <v>1252</v>
      </c>
      <c r="N412" s="3" t="s">
        <v>56</v>
      </c>
      <c r="O412" s="3"/>
      <c r="Q412" s="3"/>
      <c r="R412" s="3"/>
      <c r="Y412" s="4" t="s">
        <v>1056</v>
      </c>
      <c r="Z412" s="4" t="s">
        <v>1090</v>
      </c>
      <c r="AA412" s="4" t="s">
        <v>1254</v>
      </c>
      <c r="AB412" s="3" t="s">
        <v>1255</v>
      </c>
      <c r="AC412" s="3" t="s">
        <v>1256</v>
      </c>
      <c r="AD412" s="3" t="s">
        <v>1052</v>
      </c>
      <c r="AE412" s="3">
        <v>1000</v>
      </c>
      <c r="AI412" s="4" t="s">
        <v>1058</v>
      </c>
      <c r="AJ412" s="4" t="s">
        <v>1091</v>
      </c>
      <c r="AK412" s="3"/>
      <c r="AL412" s="4">
        <v>48564</v>
      </c>
      <c r="AM412" s="5">
        <v>495000</v>
      </c>
      <c r="AN412" s="4" t="s">
        <v>124</v>
      </c>
      <c r="AO412" s="4">
        <v>99</v>
      </c>
      <c r="AP412" s="4">
        <v>43230000</v>
      </c>
    </row>
    <row r="413" spans="1:42" s="4" customFormat="1" x14ac:dyDescent="0.25">
      <c r="A413" s="3">
        <v>4600328</v>
      </c>
      <c r="B413" s="28">
        <v>41575</v>
      </c>
      <c r="C413" s="3" t="s">
        <v>560</v>
      </c>
      <c r="D413" s="3">
        <v>10000390</v>
      </c>
      <c r="E413" s="4">
        <v>4529678</v>
      </c>
      <c r="F413" s="3" t="s">
        <v>49</v>
      </c>
      <c r="G413" s="4" t="s">
        <v>579</v>
      </c>
      <c r="H413" s="4" t="s">
        <v>562</v>
      </c>
      <c r="I413" s="5">
        <v>505700</v>
      </c>
      <c r="J413" s="3" t="s">
        <v>580</v>
      </c>
      <c r="K413" s="3" t="s">
        <v>77</v>
      </c>
      <c r="L413" s="3" t="s">
        <v>119</v>
      </c>
      <c r="M413" s="4" t="s">
        <v>564</v>
      </c>
      <c r="N413" s="3" t="s">
        <v>56</v>
      </c>
      <c r="O413" s="3"/>
      <c r="Q413" s="3"/>
      <c r="R413" s="3"/>
      <c r="Y413" s="4" t="s">
        <v>565</v>
      </c>
      <c r="Z413" s="4" t="s">
        <v>566</v>
      </c>
      <c r="AA413" s="4" t="s">
        <v>567</v>
      </c>
      <c r="AB413" s="3" t="s">
        <v>581</v>
      </c>
      <c r="AC413" s="3" t="s">
        <v>582</v>
      </c>
      <c r="AD413" s="3" t="s">
        <v>583</v>
      </c>
      <c r="AE413" s="3">
        <v>5000</v>
      </c>
      <c r="AF413" s="4">
        <v>47065.27</v>
      </c>
      <c r="AG413" s="4">
        <v>88148.53</v>
      </c>
      <c r="AH413" s="4">
        <v>4528569</v>
      </c>
      <c r="AI413" s="4" t="s">
        <v>569</v>
      </c>
      <c r="AJ413" s="4" t="s">
        <v>570</v>
      </c>
      <c r="AK413" s="3"/>
      <c r="AL413" s="4">
        <v>53480</v>
      </c>
      <c r="AM413" s="5">
        <v>505700</v>
      </c>
      <c r="AN413" s="4" t="s">
        <v>31</v>
      </c>
      <c r="AO413" s="4">
        <v>95</v>
      </c>
      <c r="AP413" s="4">
        <v>43200000</v>
      </c>
    </row>
    <row r="414" spans="1:42" s="4" customFormat="1" x14ac:dyDescent="0.25">
      <c r="A414" s="3">
        <v>4604974</v>
      </c>
      <c r="B414" s="28">
        <v>42144</v>
      </c>
      <c r="C414" s="3" t="s">
        <v>1278</v>
      </c>
      <c r="D414" s="3">
        <v>10004791</v>
      </c>
      <c r="E414" s="4">
        <v>4534325</v>
      </c>
      <c r="F414" s="3" t="s">
        <v>49</v>
      </c>
      <c r="G414" s="4" t="s">
        <v>347</v>
      </c>
      <c r="H414" s="4" t="s">
        <v>1974</v>
      </c>
      <c r="I414" s="5">
        <v>531630</v>
      </c>
      <c r="J414" s="3" t="s">
        <v>419</v>
      </c>
      <c r="K414" s="3" t="s">
        <v>575</v>
      </c>
      <c r="L414" s="3" t="s">
        <v>119</v>
      </c>
      <c r="M414" s="4" t="s">
        <v>1974</v>
      </c>
      <c r="N414" s="3" t="s">
        <v>56</v>
      </c>
      <c r="O414" s="3"/>
      <c r="Q414" s="3"/>
      <c r="R414" s="3"/>
      <c r="Y414" s="4" t="s">
        <v>1975</v>
      </c>
      <c r="Z414" s="4" t="s">
        <v>1309</v>
      </c>
      <c r="AA414" s="4" t="s">
        <v>1976</v>
      </c>
      <c r="AB414" s="3"/>
      <c r="AC414" s="3" t="s">
        <v>1977</v>
      </c>
      <c r="AD414" s="3" t="s">
        <v>360</v>
      </c>
      <c r="AE414" s="3">
        <v>1000</v>
      </c>
      <c r="AI414" s="4" t="s">
        <v>1978</v>
      </c>
      <c r="AJ414" s="4" t="s">
        <v>1313</v>
      </c>
      <c r="AK414" s="3"/>
      <c r="AL414" s="4">
        <v>40471</v>
      </c>
      <c r="AM414" s="5">
        <v>531630</v>
      </c>
      <c r="AN414" s="4" t="s">
        <v>124</v>
      </c>
      <c r="AO414" s="4">
        <v>99</v>
      </c>
      <c r="AP414" s="4">
        <v>82111900</v>
      </c>
    </row>
    <row r="415" spans="1:42" s="4" customFormat="1" x14ac:dyDescent="0.25">
      <c r="A415" s="3">
        <v>4600020</v>
      </c>
      <c r="B415" s="28">
        <v>41417</v>
      </c>
      <c r="C415" s="3" t="s">
        <v>1042</v>
      </c>
      <c r="D415" s="3">
        <v>10000040</v>
      </c>
      <c r="E415" s="4">
        <v>4529370</v>
      </c>
      <c r="F415" s="3" t="s">
        <v>49</v>
      </c>
      <c r="G415" s="4" t="s">
        <v>1043</v>
      </c>
      <c r="H415" s="4" t="s">
        <v>1044</v>
      </c>
      <c r="I415" s="5">
        <v>554790.5</v>
      </c>
      <c r="J415" s="3" t="s">
        <v>1045</v>
      </c>
      <c r="K415" s="3" t="s">
        <v>728</v>
      </c>
      <c r="L415" s="3" t="s">
        <v>1046</v>
      </c>
      <c r="M415" s="4" t="s">
        <v>1044</v>
      </c>
      <c r="N415" s="3" t="s">
        <v>25</v>
      </c>
      <c r="O415" s="3"/>
      <c r="Q415" s="3" t="s">
        <v>139</v>
      </c>
      <c r="R415" s="3" t="s">
        <v>215</v>
      </c>
      <c r="S415" s="4" t="s">
        <v>216</v>
      </c>
      <c r="U415" s="4" t="s">
        <v>139</v>
      </c>
      <c r="V415" s="4" t="s">
        <v>548</v>
      </c>
      <c r="W415" s="4" t="s">
        <v>549</v>
      </c>
      <c r="Y415" s="4" t="s">
        <v>1047</v>
      </c>
      <c r="Z415" s="4" t="s">
        <v>1048</v>
      </c>
      <c r="AA415" s="4" t="s">
        <v>1049</v>
      </c>
      <c r="AB415" s="3"/>
      <c r="AC415" s="3"/>
      <c r="AD415" s="3" t="s">
        <v>518</v>
      </c>
      <c r="AE415" s="3">
        <v>1000</v>
      </c>
      <c r="AF415" s="4">
        <v>10395</v>
      </c>
      <c r="AG415" s="4">
        <v>445395.5</v>
      </c>
      <c r="AH415" s="4">
        <v>4528869</v>
      </c>
      <c r="AI415" s="4" t="s">
        <v>1050</v>
      </c>
      <c r="AJ415" s="4" t="s">
        <v>1051</v>
      </c>
      <c r="AK415" s="3"/>
      <c r="AL415" s="4">
        <v>42272</v>
      </c>
      <c r="AM415" s="5">
        <v>554790.5</v>
      </c>
      <c r="AN415" s="4" t="s">
        <v>124</v>
      </c>
      <c r="AO415" s="4">
        <v>98</v>
      </c>
      <c r="AP415" s="4">
        <v>80110000</v>
      </c>
    </row>
    <row r="416" spans="1:42" s="4" customFormat="1" x14ac:dyDescent="0.25">
      <c r="A416" s="3">
        <v>4604945</v>
      </c>
      <c r="B416" s="28">
        <v>42177</v>
      </c>
      <c r="C416" s="3" t="s">
        <v>1278</v>
      </c>
      <c r="D416" s="3">
        <v>10004765</v>
      </c>
      <c r="E416" s="4">
        <v>4534296</v>
      </c>
      <c r="F416" s="3" t="s">
        <v>49</v>
      </c>
      <c r="G416" s="4" t="s">
        <v>1922</v>
      </c>
      <c r="H416" s="4" t="s">
        <v>1923</v>
      </c>
      <c r="I416" s="5">
        <v>559481.12</v>
      </c>
      <c r="J416" s="3" t="s">
        <v>1924</v>
      </c>
      <c r="K416" s="3" t="s">
        <v>1925</v>
      </c>
      <c r="L416" s="3" t="s">
        <v>119</v>
      </c>
      <c r="M416" s="4" t="s">
        <v>1923</v>
      </c>
      <c r="N416" s="3" t="s">
        <v>56</v>
      </c>
      <c r="O416" s="3"/>
      <c r="Q416" s="3"/>
      <c r="R416" s="3"/>
      <c r="Y416" s="4" t="s">
        <v>1926</v>
      </c>
      <c r="Z416" s="4" t="s">
        <v>1785</v>
      </c>
      <c r="AA416" s="4" t="s">
        <v>1284</v>
      </c>
      <c r="AB416" s="3" t="s">
        <v>1927</v>
      </c>
      <c r="AC416" s="3" t="s">
        <v>1286</v>
      </c>
      <c r="AD416" s="3" t="s">
        <v>1159</v>
      </c>
      <c r="AE416" s="3">
        <v>1000</v>
      </c>
      <c r="AI416" s="4" t="s">
        <v>1928</v>
      </c>
      <c r="AJ416" s="4" t="s">
        <v>1787</v>
      </c>
      <c r="AK416" s="3"/>
      <c r="AL416" s="4">
        <v>42423</v>
      </c>
      <c r="AM416" s="5">
        <v>559481.12</v>
      </c>
      <c r="AN416" s="4" t="s">
        <v>124</v>
      </c>
      <c r="AO416" s="4">
        <v>98</v>
      </c>
      <c r="AP416" s="4">
        <v>80101600</v>
      </c>
    </row>
    <row r="417" spans="1:42" s="4" customFormat="1" x14ac:dyDescent="0.25">
      <c r="A417" s="3">
        <v>4604946</v>
      </c>
      <c r="B417" s="28">
        <v>41992</v>
      </c>
      <c r="C417" s="3" t="s">
        <v>1278</v>
      </c>
      <c r="D417" s="3">
        <v>10004763</v>
      </c>
      <c r="E417" s="4">
        <v>4534297</v>
      </c>
      <c r="F417" s="3" t="s">
        <v>49</v>
      </c>
      <c r="G417" s="4" t="s">
        <v>1085</v>
      </c>
      <c r="H417" s="4" t="s">
        <v>1929</v>
      </c>
      <c r="I417" s="5">
        <v>590000</v>
      </c>
      <c r="J417" s="3" t="s">
        <v>404</v>
      </c>
      <c r="K417" s="3" t="s">
        <v>77</v>
      </c>
      <c r="L417" s="3" t="s">
        <v>1046</v>
      </c>
      <c r="M417" s="4" t="s">
        <v>1929</v>
      </c>
      <c r="N417" s="3" t="s">
        <v>56</v>
      </c>
      <c r="O417" s="3"/>
      <c r="Q417" s="3"/>
      <c r="R417" s="3"/>
      <c r="Y417" s="4" t="s">
        <v>1930</v>
      </c>
      <c r="Z417" s="4" t="s">
        <v>1309</v>
      </c>
      <c r="AA417" s="4" t="s">
        <v>1474</v>
      </c>
      <c r="AB417" s="3" t="s">
        <v>1474</v>
      </c>
      <c r="AC417" s="3" t="s">
        <v>1476</v>
      </c>
      <c r="AD417" s="3" t="s">
        <v>422</v>
      </c>
      <c r="AE417" s="3">
        <v>1000</v>
      </c>
      <c r="AI417" s="4" t="s">
        <v>1931</v>
      </c>
      <c r="AJ417" s="4" t="s">
        <v>1313</v>
      </c>
      <c r="AK417" s="3"/>
      <c r="AL417" s="4">
        <v>30502</v>
      </c>
      <c r="AM417" s="5">
        <v>590000</v>
      </c>
      <c r="AN417" s="4" t="s">
        <v>124</v>
      </c>
      <c r="AO417" s="4">
        <v>99</v>
      </c>
      <c r="AP417" s="4">
        <v>80101507</v>
      </c>
    </row>
    <row r="418" spans="1:42" s="4" customFormat="1" x14ac:dyDescent="0.25">
      <c r="A418" s="3">
        <v>4602736</v>
      </c>
      <c r="B418" s="28">
        <v>41432</v>
      </c>
      <c r="C418" s="3" t="s">
        <v>18</v>
      </c>
      <c r="D418" s="3">
        <v>10002504</v>
      </c>
      <c r="E418" s="4">
        <v>4532087</v>
      </c>
      <c r="F418" s="3" t="s">
        <v>49</v>
      </c>
      <c r="G418" s="4" t="s">
        <v>66</v>
      </c>
      <c r="H418" s="4" t="s">
        <v>67</v>
      </c>
      <c r="I418" s="5">
        <v>611493.02</v>
      </c>
      <c r="J418" s="3" t="s">
        <v>68</v>
      </c>
      <c r="K418" s="3" t="s">
        <v>53</v>
      </c>
      <c r="L418" s="3" t="s">
        <v>54</v>
      </c>
      <c r="M418" s="4" t="s">
        <v>69</v>
      </c>
      <c r="N418" s="3" t="s">
        <v>56</v>
      </c>
      <c r="O418" s="3"/>
      <c r="Q418" s="3"/>
      <c r="R418" s="3"/>
      <c r="Y418" s="4" t="s">
        <v>57</v>
      </c>
      <c r="Z418" s="4" t="s">
        <v>58</v>
      </c>
      <c r="AA418" s="4" t="s">
        <v>59</v>
      </c>
      <c r="AB418" s="3" t="s">
        <v>70</v>
      </c>
      <c r="AC418" s="3" t="s">
        <v>71</v>
      </c>
      <c r="AD418" s="3" t="s">
        <v>72</v>
      </c>
      <c r="AE418" s="3">
        <v>5000</v>
      </c>
      <c r="AI418" s="4" t="s">
        <v>63</v>
      </c>
      <c r="AJ418" s="4" t="s">
        <v>64</v>
      </c>
      <c r="AK418" s="3"/>
      <c r="AL418" s="4">
        <v>140835</v>
      </c>
      <c r="AM418" s="5">
        <v>611493.02</v>
      </c>
      <c r="AN418" s="4" t="s">
        <v>31</v>
      </c>
      <c r="AO418" s="4">
        <v>97</v>
      </c>
      <c r="AP418" s="4">
        <v>80101604</v>
      </c>
    </row>
    <row r="419" spans="1:42" s="4" customFormat="1" x14ac:dyDescent="0.25">
      <c r="A419" s="3">
        <v>4602726</v>
      </c>
      <c r="B419" s="28">
        <v>41830</v>
      </c>
      <c r="C419" s="3" t="s">
        <v>1042</v>
      </c>
      <c r="D419" s="3">
        <v>10002587</v>
      </c>
      <c r="E419" s="4">
        <v>4532077</v>
      </c>
      <c r="F419" s="3" t="s">
        <v>49</v>
      </c>
      <c r="G419" s="4" t="s">
        <v>1092</v>
      </c>
      <c r="H419" s="4" t="s">
        <v>1093</v>
      </c>
      <c r="I419" s="5">
        <v>637290</v>
      </c>
      <c r="J419" s="3" t="s">
        <v>68</v>
      </c>
      <c r="K419" s="3" t="s">
        <v>77</v>
      </c>
      <c r="L419" s="3" t="s">
        <v>54</v>
      </c>
      <c r="M419" s="4" t="s">
        <v>1094</v>
      </c>
      <c r="N419" s="3" t="s">
        <v>56</v>
      </c>
      <c r="O419" s="3"/>
      <c r="Q419" s="3"/>
      <c r="R419" s="3"/>
      <c r="Y419" s="4" t="s">
        <v>1056</v>
      </c>
      <c r="Z419" s="4" t="s">
        <v>1090</v>
      </c>
      <c r="AA419" s="4" t="s">
        <v>1095</v>
      </c>
      <c r="AB419" s="3" t="s">
        <v>1096</v>
      </c>
      <c r="AC419" s="3" t="s">
        <v>1097</v>
      </c>
      <c r="AD419" s="3" t="s">
        <v>211</v>
      </c>
      <c r="AE419" s="3">
        <v>1000</v>
      </c>
      <c r="AI419" s="4" t="s">
        <v>1058</v>
      </c>
      <c r="AJ419" s="4" t="s">
        <v>1091</v>
      </c>
      <c r="AK419" s="3"/>
      <c r="AL419" s="4">
        <v>45870</v>
      </c>
      <c r="AM419" s="5">
        <v>637290</v>
      </c>
      <c r="AN419" s="4" t="s">
        <v>124</v>
      </c>
      <c r="AO419" s="4">
        <v>99</v>
      </c>
      <c r="AP419" s="4">
        <v>44100000</v>
      </c>
    </row>
    <row r="420" spans="1:42" s="4" customFormat="1" x14ac:dyDescent="0.25">
      <c r="A420" s="3">
        <v>4603721</v>
      </c>
      <c r="B420" s="28">
        <v>41451</v>
      </c>
      <c r="C420" s="3" t="s">
        <v>1042</v>
      </c>
      <c r="D420" s="3">
        <v>10003578</v>
      </c>
      <c r="E420" s="4">
        <v>4533072</v>
      </c>
      <c r="F420" s="3" t="s">
        <v>49</v>
      </c>
      <c r="G420" s="4" t="s">
        <v>1174</v>
      </c>
      <c r="H420" s="4" t="s">
        <v>1175</v>
      </c>
      <c r="I420" s="5">
        <v>644000</v>
      </c>
      <c r="J420" s="3" t="s">
        <v>631</v>
      </c>
      <c r="K420" s="3" t="s">
        <v>575</v>
      </c>
      <c r="L420" s="3" t="s">
        <v>119</v>
      </c>
      <c r="M420" s="4" t="s">
        <v>1175</v>
      </c>
      <c r="N420" s="3" t="s">
        <v>56</v>
      </c>
      <c r="O420" s="3" t="s">
        <v>139</v>
      </c>
      <c r="P420" s="4" t="s">
        <v>282</v>
      </c>
      <c r="Q420" s="3"/>
      <c r="R420" s="3"/>
      <c r="Y420" s="4" t="s">
        <v>1176</v>
      </c>
      <c r="Z420" s="4" t="s">
        <v>565</v>
      </c>
      <c r="AA420" s="4" t="s">
        <v>754</v>
      </c>
      <c r="AB420" s="3" t="s">
        <v>1177</v>
      </c>
      <c r="AC420" s="3" t="s">
        <v>756</v>
      </c>
      <c r="AD420" s="3" t="s">
        <v>527</v>
      </c>
      <c r="AE420" s="3">
        <v>1000</v>
      </c>
      <c r="AI420" s="4" t="s">
        <v>1178</v>
      </c>
      <c r="AJ420" s="4" t="s">
        <v>569</v>
      </c>
      <c r="AK420" s="3" t="s">
        <v>286</v>
      </c>
      <c r="AL420" s="4">
        <v>42811</v>
      </c>
      <c r="AM420" s="5">
        <v>644000</v>
      </c>
      <c r="AN420" s="4" t="s">
        <v>124</v>
      </c>
      <c r="AO420" s="4">
        <v>99</v>
      </c>
      <c r="AP420" s="4">
        <v>80101510</v>
      </c>
    </row>
    <row r="421" spans="1:42" s="4" customFormat="1" x14ac:dyDescent="0.25">
      <c r="A421" s="3">
        <v>4603298</v>
      </c>
      <c r="B421" s="28">
        <v>41234</v>
      </c>
      <c r="C421" s="3" t="s">
        <v>107</v>
      </c>
      <c r="D421" s="3">
        <v>10003086</v>
      </c>
      <c r="E421" s="4">
        <v>4532649</v>
      </c>
      <c r="F421" s="3" t="s">
        <v>49</v>
      </c>
      <c r="G421" s="4" t="s">
        <v>117</v>
      </c>
      <c r="H421" s="4" t="s">
        <v>118</v>
      </c>
      <c r="I421" s="5">
        <v>665465.01</v>
      </c>
      <c r="J421" s="3" t="s">
        <v>116</v>
      </c>
      <c r="K421" s="3" t="s">
        <v>77</v>
      </c>
      <c r="L421" s="3" t="s">
        <v>119</v>
      </c>
      <c r="M421" s="4" t="s">
        <v>118</v>
      </c>
      <c r="N421" s="3" t="s">
        <v>25</v>
      </c>
      <c r="O421" s="3"/>
      <c r="Q421" s="3"/>
      <c r="R421" s="3"/>
      <c r="Y421" s="4" t="s">
        <v>120</v>
      </c>
      <c r="Z421" s="4" t="s">
        <v>112</v>
      </c>
      <c r="AA421" s="4" t="s">
        <v>121</v>
      </c>
      <c r="AB421" s="3"/>
      <c r="AC421" s="3"/>
      <c r="AD421" s="3" t="s">
        <v>122</v>
      </c>
      <c r="AE421" s="3">
        <v>1000</v>
      </c>
      <c r="AI421" s="4" t="s">
        <v>123</v>
      </c>
      <c r="AJ421" s="4" t="s">
        <v>115</v>
      </c>
      <c r="AK421" s="3"/>
      <c r="AL421" s="4">
        <v>44797</v>
      </c>
      <c r="AM421" s="5">
        <v>665465.01</v>
      </c>
      <c r="AN421" s="4" t="s">
        <v>124</v>
      </c>
      <c r="AO421" s="4">
        <v>99</v>
      </c>
      <c r="AP421" s="4">
        <v>80100000</v>
      </c>
    </row>
    <row r="422" spans="1:42" s="4" customFormat="1" x14ac:dyDescent="0.25">
      <c r="A422" s="3">
        <v>4604741</v>
      </c>
      <c r="B422" s="28">
        <v>42055</v>
      </c>
      <c r="C422" s="3" t="s">
        <v>1278</v>
      </c>
      <c r="D422" s="3">
        <v>10004539</v>
      </c>
      <c r="E422" s="4">
        <v>4534092</v>
      </c>
      <c r="F422" s="3" t="s">
        <v>49</v>
      </c>
      <c r="G422" s="4" t="s">
        <v>1164</v>
      </c>
      <c r="H422" s="4" t="s">
        <v>1165</v>
      </c>
      <c r="I422" s="5">
        <v>693000</v>
      </c>
      <c r="J422" s="3" t="s">
        <v>1568</v>
      </c>
      <c r="K422" s="3" t="s">
        <v>1693</v>
      </c>
      <c r="L422" s="3" t="s">
        <v>119</v>
      </c>
      <c r="M422" s="4" t="s">
        <v>1694</v>
      </c>
      <c r="N422" s="3" t="s">
        <v>25</v>
      </c>
      <c r="O422" s="3"/>
      <c r="Q422" s="3"/>
      <c r="R422" s="3"/>
      <c r="Y422" s="4" t="s">
        <v>1056</v>
      </c>
      <c r="Z422" s="4" t="s">
        <v>1056</v>
      </c>
      <c r="AA422" s="4" t="s">
        <v>1695</v>
      </c>
      <c r="AB422" s="3"/>
      <c r="AC422" s="3"/>
      <c r="AD422" s="3" t="s">
        <v>1696</v>
      </c>
      <c r="AE422" s="3">
        <v>1000</v>
      </c>
      <c r="AI422" s="4" t="s">
        <v>1058</v>
      </c>
      <c r="AJ422" s="4" t="s">
        <v>1058</v>
      </c>
      <c r="AK422" s="3"/>
      <c r="AL422" s="4">
        <v>45277</v>
      </c>
      <c r="AM422" s="5">
        <v>693000</v>
      </c>
      <c r="AN422" s="4" t="s">
        <v>124</v>
      </c>
      <c r="AO422" s="4">
        <v>99</v>
      </c>
      <c r="AP422" s="4">
        <v>43190000</v>
      </c>
    </row>
    <row r="423" spans="1:42" s="4" customFormat="1" x14ac:dyDescent="0.25">
      <c r="A423" s="3">
        <v>4603694</v>
      </c>
      <c r="B423" s="28">
        <v>41830</v>
      </c>
      <c r="C423" s="3" t="s">
        <v>1042</v>
      </c>
      <c r="D423" s="3">
        <v>10003543</v>
      </c>
      <c r="E423" s="4">
        <v>4533045</v>
      </c>
      <c r="F423" s="3" t="s">
        <v>49</v>
      </c>
      <c r="G423" s="4" t="s">
        <v>1164</v>
      </c>
      <c r="H423" s="4" t="s">
        <v>1165</v>
      </c>
      <c r="I423" s="5">
        <v>693954.1</v>
      </c>
      <c r="J423" s="3" t="s">
        <v>1166</v>
      </c>
      <c r="K423" s="3" t="s">
        <v>1167</v>
      </c>
      <c r="L423" s="3" t="s">
        <v>196</v>
      </c>
      <c r="M423" s="4" t="s">
        <v>1168</v>
      </c>
      <c r="N423" s="3" t="s">
        <v>25</v>
      </c>
      <c r="O423" s="3"/>
      <c r="Q423" s="3"/>
      <c r="R423" s="3"/>
      <c r="Y423" s="4" t="s">
        <v>1056</v>
      </c>
      <c r="Z423" s="4" t="s">
        <v>1090</v>
      </c>
      <c r="AB423" s="3"/>
      <c r="AC423" s="3"/>
      <c r="AD423" s="3" t="s">
        <v>284</v>
      </c>
      <c r="AE423" s="3">
        <v>1000</v>
      </c>
      <c r="AI423" s="4" t="s">
        <v>1058</v>
      </c>
      <c r="AJ423" s="4" t="s">
        <v>1091</v>
      </c>
      <c r="AK423" s="3"/>
      <c r="AL423" s="4">
        <v>45277</v>
      </c>
      <c r="AM423" s="5">
        <v>693954.1</v>
      </c>
      <c r="AN423" s="4" t="s">
        <v>124</v>
      </c>
      <c r="AO423" s="4">
        <v>97</v>
      </c>
      <c r="AP423" s="4">
        <v>83112200</v>
      </c>
    </row>
    <row r="424" spans="1:42" s="4" customFormat="1" x14ac:dyDescent="0.25">
      <c r="A424" s="3">
        <v>4603546</v>
      </c>
      <c r="B424" s="28">
        <v>40109</v>
      </c>
      <c r="C424" s="3" t="s">
        <v>107</v>
      </c>
      <c r="D424" s="3">
        <v>10003386</v>
      </c>
      <c r="E424" s="4">
        <v>4532897</v>
      </c>
      <c r="F424" s="3" t="s">
        <v>49</v>
      </c>
      <c r="G424" s="4" t="s">
        <v>134</v>
      </c>
      <c r="H424" s="4" t="s">
        <v>135</v>
      </c>
      <c r="I424" s="5">
        <v>707534.99</v>
      </c>
      <c r="J424" s="3" t="s">
        <v>136</v>
      </c>
      <c r="K424" s="3" t="s">
        <v>137</v>
      </c>
      <c r="L424" s="3" t="s">
        <v>119</v>
      </c>
      <c r="M424" s="4" t="s">
        <v>138</v>
      </c>
      <c r="N424" s="3" t="s">
        <v>56</v>
      </c>
      <c r="O424" s="3" t="s">
        <v>139</v>
      </c>
      <c r="P424" s="4" t="s">
        <v>140</v>
      </c>
      <c r="Q424" s="3"/>
      <c r="R424" s="3"/>
      <c r="Y424" s="4" t="s">
        <v>120</v>
      </c>
      <c r="Z424" s="4" t="s">
        <v>141</v>
      </c>
      <c r="AB424" s="3"/>
      <c r="AC424" s="3"/>
      <c r="AD424" s="3" t="s">
        <v>122</v>
      </c>
      <c r="AE424" s="3">
        <v>1000</v>
      </c>
      <c r="AI424" s="4" t="s">
        <v>123</v>
      </c>
      <c r="AJ424" s="4" t="s">
        <v>142</v>
      </c>
      <c r="AK424" s="3" t="s">
        <v>143</v>
      </c>
      <c r="AL424" s="4">
        <v>41275</v>
      </c>
      <c r="AM424" s="5">
        <v>707534.99</v>
      </c>
      <c r="AN424" s="4" t="s">
        <v>124</v>
      </c>
      <c r="AO424" s="4">
        <v>99</v>
      </c>
    </row>
    <row r="425" spans="1:42" s="4" customFormat="1" x14ac:dyDescent="0.25">
      <c r="A425" s="3">
        <v>4603646</v>
      </c>
      <c r="B425" s="28">
        <v>41396</v>
      </c>
      <c r="C425" s="3" t="s">
        <v>18</v>
      </c>
      <c r="D425" s="3">
        <v>10002504</v>
      </c>
      <c r="E425" s="4">
        <v>4532997</v>
      </c>
      <c r="F425" s="3" t="s">
        <v>49</v>
      </c>
      <c r="G425" s="4" t="s">
        <v>50</v>
      </c>
      <c r="H425" s="4" t="s">
        <v>99</v>
      </c>
      <c r="I425" s="5">
        <v>725999</v>
      </c>
      <c r="J425" s="3" t="s">
        <v>52</v>
      </c>
      <c r="K425" s="3" t="s">
        <v>53</v>
      </c>
      <c r="L425" s="3" t="s">
        <v>54</v>
      </c>
      <c r="M425" s="4" t="s">
        <v>99</v>
      </c>
      <c r="N425" s="3" t="s">
        <v>56</v>
      </c>
      <c r="O425" s="3"/>
      <c r="Q425" s="3"/>
      <c r="R425" s="3"/>
      <c r="Y425" s="4" t="s">
        <v>104</v>
      </c>
      <c r="Z425" s="4" t="s">
        <v>104</v>
      </c>
      <c r="AA425" s="4" t="s">
        <v>59</v>
      </c>
      <c r="AB425" s="3" t="s">
        <v>60</v>
      </c>
      <c r="AC425" s="3" t="s">
        <v>61</v>
      </c>
      <c r="AD425" s="3" t="s">
        <v>103</v>
      </c>
      <c r="AE425" s="3">
        <v>5000</v>
      </c>
      <c r="AI425" s="4" t="s">
        <v>105</v>
      </c>
      <c r="AJ425" s="4" t="s">
        <v>105</v>
      </c>
      <c r="AK425" s="3"/>
      <c r="AL425" s="4">
        <v>140189</v>
      </c>
      <c r="AM425" s="5">
        <v>725999</v>
      </c>
      <c r="AN425" s="4" t="s">
        <v>31</v>
      </c>
      <c r="AO425" s="4">
        <v>99</v>
      </c>
      <c r="AP425" s="4">
        <v>80101604</v>
      </c>
    </row>
    <row r="426" spans="1:42" s="4" customFormat="1" x14ac:dyDescent="0.25">
      <c r="A426" s="3">
        <v>4604810</v>
      </c>
      <c r="B426" s="28">
        <v>42013</v>
      </c>
      <c r="C426" s="3" t="s">
        <v>1278</v>
      </c>
      <c r="D426" s="3">
        <v>10004612</v>
      </c>
      <c r="E426" s="4">
        <v>4534161</v>
      </c>
      <c r="F426" s="3" t="s">
        <v>49</v>
      </c>
      <c r="G426" s="4" t="s">
        <v>1357</v>
      </c>
      <c r="H426" s="4" t="s">
        <v>1763</v>
      </c>
      <c r="I426" s="5">
        <v>748717.13</v>
      </c>
      <c r="J426" s="3" t="s">
        <v>1762</v>
      </c>
      <c r="K426" s="3" t="s">
        <v>77</v>
      </c>
      <c r="L426" s="3" t="s">
        <v>119</v>
      </c>
      <c r="M426" s="4" t="s">
        <v>1763</v>
      </c>
      <c r="N426" s="3" t="s">
        <v>56</v>
      </c>
      <c r="O426" s="3"/>
      <c r="Q426" s="3"/>
      <c r="R426" s="3"/>
      <c r="Y426" s="4" t="s">
        <v>1309</v>
      </c>
      <c r="Z426" s="4" t="s">
        <v>1309</v>
      </c>
      <c r="AA426" s="4" t="s">
        <v>1324</v>
      </c>
      <c r="AB426" s="3" t="s">
        <v>1359</v>
      </c>
      <c r="AC426" s="3" t="s">
        <v>1326</v>
      </c>
      <c r="AD426" s="3" t="s">
        <v>77</v>
      </c>
      <c r="AE426" s="3">
        <v>1000</v>
      </c>
      <c r="AI426" s="4" t="s">
        <v>1313</v>
      </c>
      <c r="AJ426" s="4" t="s">
        <v>1313</v>
      </c>
      <c r="AK426" s="3"/>
      <c r="AL426" s="4">
        <v>49941</v>
      </c>
      <c r="AM426" s="5">
        <v>748717.13</v>
      </c>
      <c r="AN426" s="4" t="s">
        <v>124</v>
      </c>
      <c r="AO426" s="4">
        <v>97</v>
      </c>
      <c r="AP426" s="4">
        <v>80101507</v>
      </c>
    </row>
    <row r="427" spans="1:42" s="4" customFormat="1" x14ac:dyDescent="0.25">
      <c r="A427" s="3">
        <v>4604986</v>
      </c>
      <c r="B427" s="28">
        <v>42132</v>
      </c>
      <c r="C427" s="3" t="s">
        <v>1278</v>
      </c>
      <c r="D427" s="3">
        <v>10002087</v>
      </c>
      <c r="E427" s="4">
        <v>4534337</v>
      </c>
      <c r="F427" s="3" t="s">
        <v>49</v>
      </c>
      <c r="G427" s="4" t="s">
        <v>1085</v>
      </c>
      <c r="H427" s="4" t="s">
        <v>1989</v>
      </c>
      <c r="I427" s="5">
        <v>750000</v>
      </c>
      <c r="J427" s="3" t="s">
        <v>1990</v>
      </c>
      <c r="K427" s="3" t="s">
        <v>1991</v>
      </c>
      <c r="L427" s="3" t="s">
        <v>119</v>
      </c>
      <c r="M427" s="4" t="s">
        <v>1992</v>
      </c>
      <c r="N427" s="3" t="s">
        <v>56</v>
      </c>
      <c r="O427" s="3"/>
      <c r="Q427" s="3"/>
      <c r="R427" s="3"/>
      <c r="Y427" s="4" t="s">
        <v>1056</v>
      </c>
      <c r="Z427" s="4" t="s">
        <v>1056</v>
      </c>
      <c r="AB427" s="3"/>
      <c r="AC427" s="3"/>
      <c r="AD427" s="3" t="s">
        <v>529</v>
      </c>
      <c r="AE427" s="3">
        <v>1000</v>
      </c>
      <c r="AI427" s="4" t="s">
        <v>1058</v>
      </c>
      <c r="AJ427" s="4" t="s">
        <v>1058</v>
      </c>
      <c r="AK427" s="3"/>
      <c r="AL427" s="4">
        <v>30502</v>
      </c>
      <c r="AM427" s="5">
        <v>750000</v>
      </c>
      <c r="AN427" s="4" t="s">
        <v>124</v>
      </c>
      <c r="AO427" s="4">
        <v>99</v>
      </c>
    </row>
    <row r="428" spans="1:42" s="4" customFormat="1" x14ac:dyDescent="0.25">
      <c r="A428" s="3">
        <v>4602568</v>
      </c>
      <c r="B428" s="28">
        <v>41043</v>
      </c>
      <c r="C428" s="3" t="s">
        <v>18</v>
      </c>
      <c r="D428" s="3">
        <v>10002504</v>
      </c>
      <c r="E428" s="4">
        <v>4531919</v>
      </c>
      <c r="F428" s="3" t="s">
        <v>49</v>
      </c>
      <c r="G428" s="4" t="s">
        <v>50</v>
      </c>
      <c r="H428" s="4" t="s">
        <v>51</v>
      </c>
      <c r="I428" s="5">
        <v>751269</v>
      </c>
      <c r="J428" s="3" t="s">
        <v>52</v>
      </c>
      <c r="K428" s="3" t="s">
        <v>53</v>
      </c>
      <c r="L428" s="3" t="s">
        <v>54</v>
      </c>
      <c r="M428" s="4" t="s">
        <v>55</v>
      </c>
      <c r="N428" s="3" t="s">
        <v>56</v>
      </c>
      <c r="O428" s="3"/>
      <c r="Q428" s="3"/>
      <c r="R428" s="3"/>
      <c r="Y428" s="4" t="s">
        <v>57</v>
      </c>
      <c r="Z428" s="4" t="s">
        <v>58</v>
      </c>
      <c r="AA428" s="4" t="s">
        <v>59</v>
      </c>
      <c r="AB428" s="3" t="s">
        <v>60</v>
      </c>
      <c r="AC428" s="3" t="s">
        <v>61</v>
      </c>
      <c r="AD428" s="3" t="s">
        <v>62</v>
      </c>
      <c r="AE428" s="3">
        <v>5000</v>
      </c>
      <c r="AI428" s="4" t="s">
        <v>63</v>
      </c>
      <c r="AJ428" s="4" t="s">
        <v>64</v>
      </c>
      <c r="AK428" s="3"/>
      <c r="AL428" s="4">
        <v>140189</v>
      </c>
      <c r="AM428" s="5">
        <v>751269</v>
      </c>
      <c r="AN428" s="4" t="s">
        <v>31</v>
      </c>
      <c r="AO428" s="4">
        <v>99</v>
      </c>
      <c r="AP428" s="4">
        <v>80101604</v>
      </c>
    </row>
    <row r="429" spans="1:42" s="4" customFormat="1" x14ac:dyDescent="0.25">
      <c r="A429" s="3">
        <v>4601044</v>
      </c>
      <c r="B429" s="28">
        <v>42185</v>
      </c>
      <c r="C429" s="3" t="s">
        <v>1042</v>
      </c>
      <c r="D429" s="3">
        <v>10000686</v>
      </c>
      <c r="E429" s="4">
        <v>4530394</v>
      </c>
      <c r="F429" s="3" t="s">
        <v>49</v>
      </c>
      <c r="G429" s="4" t="s">
        <v>1064</v>
      </c>
      <c r="H429" s="4" t="s">
        <v>1065</v>
      </c>
      <c r="I429" s="5">
        <v>773300</v>
      </c>
      <c r="J429" s="3" t="s">
        <v>1066</v>
      </c>
      <c r="K429" s="3" t="s">
        <v>1067</v>
      </c>
      <c r="L429" s="3" t="s">
        <v>54</v>
      </c>
      <c r="M429" s="4" t="s">
        <v>1065</v>
      </c>
      <c r="N429" s="3" t="s">
        <v>25</v>
      </c>
      <c r="O429" s="3"/>
      <c r="Q429" s="3"/>
      <c r="R429" s="3"/>
      <c r="Y429" s="4" t="s">
        <v>1068</v>
      </c>
      <c r="Z429" s="4" t="s">
        <v>1069</v>
      </c>
      <c r="AA429" s="4" t="s">
        <v>1070</v>
      </c>
      <c r="AB429" s="3"/>
      <c r="AC429" s="3"/>
      <c r="AD429" s="3" t="s">
        <v>77</v>
      </c>
      <c r="AE429" s="3">
        <v>1000</v>
      </c>
      <c r="AI429" s="4" t="s">
        <v>1071</v>
      </c>
      <c r="AJ429" s="4" t="s">
        <v>1072</v>
      </c>
      <c r="AK429" s="3"/>
      <c r="AL429" s="4">
        <v>49247</v>
      </c>
      <c r="AM429" s="5">
        <v>773300</v>
      </c>
      <c r="AN429" s="4" t="s">
        <v>124</v>
      </c>
      <c r="AO429" s="4">
        <v>99</v>
      </c>
      <c r="AP429" s="4">
        <v>92120000</v>
      </c>
    </row>
    <row r="430" spans="1:42" s="4" customFormat="1" x14ac:dyDescent="0.25">
      <c r="A430" s="3">
        <v>4604366</v>
      </c>
      <c r="B430" s="28">
        <v>41684</v>
      </c>
      <c r="C430" s="3" t="s">
        <v>2158</v>
      </c>
      <c r="D430" s="3">
        <v>10004151</v>
      </c>
      <c r="E430" s="4">
        <v>4533717</v>
      </c>
      <c r="F430" s="3" t="s">
        <v>49</v>
      </c>
      <c r="G430" s="4" t="s">
        <v>372</v>
      </c>
      <c r="H430" s="4" t="s">
        <v>2180</v>
      </c>
      <c r="I430" s="5">
        <v>783225</v>
      </c>
      <c r="J430" s="3" t="s">
        <v>2179</v>
      </c>
      <c r="K430" s="3" t="s">
        <v>2181</v>
      </c>
      <c r="L430" s="3" t="s">
        <v>119</v>
      </c>
      <c r="M430" s="4" t="s">
        <v>2182</v>
      </c>
      <c r="N430" s="3" t="s">
        <v>56</v>
      </c>
      <c r="O430" s="3" t="s">
        <v>139</v>
      </c>
      <c r="P430" s="4" t="s">
        <v>140</v>
      </c>
      <c r="Q430" s="3"/>
      <c r="R430" s="3"/>
      <c r="Y430" s="4" t="s">
        <v>2183</v>
      </c>
      <c r="Z430" s="4" t="s">
        <v>1886</v>
      </c>
      <c r="AA430" s="4" t="s">
        <v>356</v>
      </c>
      <c r="AB430" s="3" t="s">
        <v>375</v>
      </c>
      <c r="AC430" s="3" t="s">
        <v>358</v>
      </c>
      <c r="AD430" s="3" t="s">
        <v>385</v>
      </c>
      <c r="AE430" s="3">
        <v>1000</v>
      </c>
      <c r="AI430" s="4" t="s">
        <v>2184</v>
      </c>
      <c r="AJ430" s="4" t="s">
        <v>1888</v>
      </c>
      <c r="AK430" s="3" t="s">
        <v>143</v>
      </c>
      <c r="AL430" s="4">
        <v>43825</v>
      </c>
      <c r="AM430" s="5">
        <v>783225</v>
      </c>
      <c r="AN430" s="4" t="s">
        <v>124</v>
      </c>
      <c r="AO430" s="4">
        <v>96</v>
      </c>
      <c r="AP430" s="4">
        <v>80100000</v>
      </c>
    </row>
    <row r="431" spans="1:42" s="4" customFormat="1" x14ac:dyDescent="0.25">
      <c r="A431" s="3">
        <v>4604489</v>
      </c>
      <c r="B431" s="28">
        <v>41869</v>
      </c>
      <c r="C431" s="3" t="s">
        <v>1278</v>
      </c>
      <c r="D431" s="3">
        <v>10004276</v>
      </c>
      <c r="E431" s="4">
        <v>4533840</v>
      </c>
      <c r="F431" s="3" t="s">
        <v>49</v>
      </c>
      <c r="G431" s="4" t="s">
        <v>1053</v>
      </c>
      <c r="H431" s="4" t="s">
        <v>1338</v>
      </c>
      <c r="I431" s="5">
        <v>786720</v>
      </c>
      <c r="J431" s="3" t="s">
        <v>1335</v>
      </c>
      <c r="K431" s="3" t="s">
        <v>77</v>
      </c>
      <c r="L431" s="3" t="s">
        <v>119</v>
      </c>
      <c r="M431" s="4" t="s">
        <v>1339</v>
      </c>
      <c r="N431" s="3" t="s">
        <v>56</v>
      </c>
      <c r="O431" s="3"/>
      <c r="Q431" s="3"/>
      <c r="R431" s="3"/>
      <c r="Y431" s="4" t="s">
        <v>1056</v>
      </c>
      <c r="Z431" s="4" t="s">
        <v>1090</v>
      </c>
      <c r="AA431" s="4" t="s">
        <v>1057</v>
      </c>
      <c r="AB431" s="3" t="s">
        <v>1057</v>
      </c>
      <c r="AC431" s="3" t="s">
        <v>1340</v>
      </c>
      <c r="AD431" s="3" t="s">
        <v>1179</v>
      </c>
      <c r="AE431" s="3">
        <v>1000</v>
      </c>
      <c r="AI431" s="4" t="s">
        <v>1058</v>
      </c>
      <c r="AJ431" s="4" t="s">
        <v>1091</v>
      </c>
      <c r="AK431" s="3"/>
      <c r="AL431" s="4">
        <v>140248</v>
      </c>
      <c r="AM431" s="5">
        <v>786720</v>
      </c>
      <c r="AN431" s="4" t="s">
        <v>124</v>
      </c>
      <c r="AO431" s="4">
        <v>97</v>
      </c>
      <c r="AP431" s="4">
        <v>81111500</v>
      </c>
    </row>
    <row r="432" spans="1:42" s="4" customFormat="1" x14ac:dyDescent="0.25">
      <c r="A432" s="3">
        <v>4600103</v>
      </c>
      <c r="B432" s="28">
        <v>39918</v>
      </c>
      <c r="C432" s="3" t="s">
        <v>2273</v>
      </c>
      <c r="D432" s="3">
        <v>10000121</v>
      </c>
      <c r="E432" s="4">
        <v>4529453</v>
      </c>
      <c r="F432" s="3" t="s">
        <v>49</v>
      </c>
      <c r="G432" s="4" t="s">
        <v>2284</v>
      </c>
      <c r="H432" s="4" t="s">
        <v>2285</v>
      </c>
      <c r="I432" s="5">
        <v>788000</v>
      </c>
      <c r="J432" s="3" t="s">
        <v>2283</v>
      </c>
      <c r="K432" s="3" t="s">
        <v>77</v>
      </c>
      <c r="L432" s="3" t="s">
        <v>119</v>
      </c>
      <c r="M432" s="4" t="s">
        <v>2285</v>
      </c>
      <c r="N432" s="3" t="s">
        <v>56</v>
      </c>
      <c r="O432" s="3" t="s">
        <v>139</v>
      </c>
      <c r="P432" s="4" t="s">
        <v>282</v>
      </c>
      <c r="Q432" s="3" t="s">
        <v>139</v>
      </c>
      <c r="R432" s="3" t="s">
        <v>215</v>
      </c>
      <c r="S432" s="4" t="s">
        <v>216</v>
      </c>
      <c r="Y432" s="4" t="s">
        <v>2286</v>
      </c>
      <c r="Z432" s="4" t="s">
        <v>1048</v>
      </c>
      <c r="AA432" s="4" t="s">
        <v>2278</v>
      </c>
      <c r="AB432" s="3" t="s">
        <v>2287</v>
      </c>
      <c r="AC432" s="3" t="s">
        <v>2280</v>
      </c>
      <c r="AD432" s="3" t="s">
        <v>774</v>
      </c>
      <c r="AE432" s="3">
        <v>1000</v>
      </c>
      <c r="AF432" s="4">
        <v>696052.38</v>
      </c>
      <c r="AG432" s="4">
        <v>3947.63</v>
      </c>
      <c r="AH432" s="4">
        <v>4528065</v>
      </c>
      <c r="AI432" s="4" t="s">
        <v>2288</v>
      </c>
      <c r="AJ432" s="4" t="s">
        <v>1051</v>
      </c>
      <c r="AK432" s="3" t="s">
        <v>286</v>
      </c>
      <c r="AL432" s="4">
        <v>47229</v>
      </c>
      <c r="AM432" s="5">
        <v>788000</v>
      </c>
      <c r="AN432" s="4" t="s">
        <v>2282</v>
      </c>
      <c r="AO432" s="4">
        <v>97</v>
      </c>
      <c r="AP432" s="4">
        <v>80120000</v>
      </c>
    </row>
    <row r="433" spans="1:42" s="4" customFormat="1" x14ac:dyDescent="0.25">
      <c r="A433" s="3">
        <v>4602570</v>
      </c>
      <c r="B433" s="28">
        <v>41869</v>
      </c>
      <c r="C433" s="3" t="s">
        <v>1042</v>
      </c>
      <c r="D433" s="3">
        <v>10002087</v>
      </c>
      <c r="E433" s="4">
        <v>4531921</v>
      </c>
      <c r="F433" s="3" t="s">
        <v>49</v>
      </c>
      <c r="G433" s="4" t="s">
        <v>1085</v>
      </c>
      <c r="H433" s="4" t="s">
        <v>1086</v>
      </c>
      <c r="I433" s="5">
        <v>922238.35</v>
      </c>
      <c r="J433" s="3" t="s">
        <v>1087</v>
      </c>
      <c r="K433" s="3" t="s">
        <v>1088</v>
      </c>
      <c r="L433" s="3" t="s">
        <v>119</v>
      </c>
      <c r="M433" s="4" t="s">
        <v>1089</v>
      </c>
      <c r="N433" s="3" t="s">
        <v>56</v>
      </c>
      <c r="O433" s="3"/>
      <c r="Q433" s="3"/>
      <c r="R433" s="3"/>
      <c r="Y433" s="4" t="s">
        <v>1056</v>
      </c>
      <c r="Z433" s="4" t="s">
        <v>1090</v>
      </c>
      <c r="AB433" s="3"/>
      <c r="AC433" s="3"/>
      <c r="AD433" s="3" t="s">
        <v>183</v>
      </c>
      <c r="AE433" s="3">
        <v>1000</v>
      </c>
      <c r="AI433" s="4" t="s">
        <v>1058</v>
      </c>
      <c r="AJ433" s="4" t="s">
        <v>1091</v>
      </c>
      <c r="AK433" s="3"/>
      <c r="AL433" s="4">
        <v>30502</v>
      </c>
      <c r="AM433" s="5">
        <v>922238.35</v>
      </c>
      <c r="AN433" s="4" t="s">
        <v>124</v>
      </c>
      <c r="AO433" s="4">
        <v>99</v>
      </c>
    </row>
    <row r="434" spans="1:42" s="4" customFormat="1" x14ac:dyDescent="0.25">
      <c r="A434" s="3">
        <v>4604356</v>
      </c>
      <c r="B434" s="28">
        <v>41670</v>
      </c>
      <c r="C434" s="3" t="s">
        <v>1278</v>
      </c>
      <c r="D434" s="3">
        <v>10004072</v>
      </c>
      <c r="E434" s="4">
        <v>4533707</v>
      </c>
      <c r="F434" s="3" t="s">
        <v>49</v>
      </c>
      <c r="G434" s="4" t="s">
        <v>347</v>
      </c>
      <c r="H434" s="4" t="s">
        <v>1307</v>
      </c>
      <c r="I434" s="5">
        <v>975405.53</v>
      </c>
      <c r="J434" s="3" t="s">
        <v>1308</v>
      </c>
      <c r="K434" s="3" t="s">
        <v>1037</v>
      </c>
      <c r="L434" s="3" t="s">
        <v>119</v>
      </c>
      <c r="M434" s="4" t="s">
        <v>1307</v>
      </c>
      <c r="N434" s="3" t="s">
        <v>56</v>
      </c>
      <c r="O434" s="3"/>
      <c r="Q434" s="3"/>
      <c r="R434" s="3"/>
      <c r="Y434" s="4" t="s">
        <v>1309</v>
      </c>
      <c r="Z434" s="4" t="s">
        <v>1309</v>
      </c>
      <c r="AA434" s="4" t="s">
        <v>1310</v>
      </c>
      <c r="AB434" s="3" t="s">
        <v>1311</v>
      </c>
      <c r="AC434" s="3" t="s">
        <v>1312</v>
      </c>
      <c r="AD434" s="3" t="s">
        <v>265</v>
      </c>
      <c r="AE434" s="3">
        <v>1000</v>
      </c>
      <c r="AI434" s="4" t="s">
        <v>1313</v>
      </c>
      <c r="AJ434" s="4" t="s">
        <v>1313</v>
      </c>
      <c r="AK434" s="3"/>
      <c r="AL434" s="4">
        <v>40471</v>
      </c>
      <c r="AM434" s="5">
        <v>975405.53</v>
      </c>
      <c r="AN434" s="4" t="s">
        <v>124</v>
      </c>
      <c r="AO434" s="4">
        <v>99</v>
      </c>
      <c r="AP434" s="4">
        <v>82111900</v>
      </c>
    </row>
    <row r="435" spans="1:42" s="4" customFormat="1" x14ac:dyDescent="0.25">
      <c r="A435" s="3">
        <v>4601453</v>
      </c>
      <c r="B435" s="28">
        <v>42153</v>
      </c>
      <c r="C435" s="3" t="s">
        <v>1042</v>
      </c>
      <c r="D435" s="3">
        <v>10001466</v>
      </c>
      <c r="E435" s="4">
        <v>4530804</v>
      </c>
      <c r="F435" s="3" t="s">
        <v>49</v>
      </c>
      <c r="G435" s="4" t="s">
        <v>1077</v>
      </c>
      <c r="H435" s="4" t="s">
        <v>1078</v>
      </c>
      <c r="I435" s="5">
        <v>1168228.6000000001</v>
      </c>
      <c r="J435" s="3" t="s">
        <v>574</v>
      </c>
      <c r="K435" s="3" t="s">
        <v>575</v>
      </c>
      <c r="L435" s="3" t="s">
        <v>119</v>
      </c>
      <c r="M435" s="4" t="s">
        <v>1078</v>
      </c>
      <c r="N435" s="3" t="s">
        <v>56</v>
      </c>
      <c r="O435" s="3"/>
      <c r="Q435" s="3"/>
      <c r="R435" s="3"/>
      <c r="Y435" s="4" t="s">
        <v>1079</v>
      </c>
      <c r="Z435" s="4" t="s">
        <v>605</v>
      </c>
      <c r="AA435" s="4" t="s">
        <v>1080</v>
      </c>
      <c r="AB435" s="3" t="s">
        <v>1081</v>
      </c>
      <c r="AC435" s="3" t="s">
        <v>1082</v>
      </c>
      <c r="AD435" s="3" t="s">
        <v>365</v>
      </c>
      <c r="AE435" s="3">
        <v>1000</v>
      </c>
      <c r="AI435" s="4" t="s">
        <v>1083</v>
      </c>
      <c r="AJ435" s="4" t="s">
        <v>609</v>
      </c>
      <c r="AK435" s="3"/>
      <c r="AL435" s="4">
        <v>140517</v>
      </c>
      <c r="AM435" s="5">
        <v>1168228.6000000001</v>
      </c>
      <c r="AN435" s="4" t="s">
        <v>124</v>
      </c>
      <c r="AO435" s="4">
        <v>97</v>
      </c>
      <c r="AP435" s="4">
        <v>83100000</v>
      </c>
    </row>
    <row r="436" spans="1:42" s="4" customFormat="1" x14ac:dyDescent="0.25">
      <c r="A436" s="3">
        <v>4602371</v>
      </c>
      <c r="B436" s="28">
        <v>40981</v>
      </c>
      <c r="C436" s="3" t="s">
        <v>797</v>
      </c>
      <c r="D436" s="3">
        <v>10002275</v>
      </c>
      <c r="E436" s="4">
        <v>4531722</v>
      </c>
      <c r="F436" s="3" t="s">
        <v>49</v>
      </c>
      <c r="G436" s="4" t="s">
        <v>366</v>
      </c>
      <c r="H436" s="4" t="s">
        <v>798</v>
      </c>
      <c r="I436" s="5">
        <v>1210000</v>
      </c>
      <c r="J436" s="3" t="s">
        <v>796</v>
      </c>
      <c r="K436" s="3" t="s">
        <v>575</v>
      </c>
      <c r="L436" s="3" t="s">
        <v>54</v>
      </c>
      <c r="M436" s="4" t="s">
        <v>798</v>
      </c>
      <c r="N436" s="3" t="s">
        <v>56</v>
      </c>
      <c r="O436" s="3"/>
      <c r="Q436" s="3"/>
      <c r="R436" s="3"/>
      <c r="Y436" s="4" t="s">
        <v>368</v>
      </c>
      <c r="Z436" s="4" t="s">
        <v>799</v>
      </c>
      <c r="AA436" s="4" t="s">
        <v>800</v>
      </c>
      <c r="AB436" s="3" t="s">
        <v>801</v>
      </c>
      <c r="AC436" s="3" t="s">
        <v>802</v>
      </c>
      <c r="AD436" s="3" t="s">
        <v>439</v>
      </c>
      <c r="AE436" s="3">
        <v>5000</v>
      </c>
      <c r="AI436" s="4" t="s">
        <v>370</v>
      </c>
      <c r="AJ436" s="4" t="s">
        <v>803</v>
      </c>
      <c r="AK436" s="3"/>
      <c r="AL436" s="4">
        <v>48623</v>
      </c>
      <c r="AM436" s="5">
        <v>1210000</v>
      </c>
      <c r="AN436" s="4" t="s">
        <v>31</v>
      </c>
      <c r="AO436" s="4">
        <v>99</v>
      </c>
      <c r="AP436" s="4">
        <v>82111800</v>
      </c>
    </row>
    <row r="437" spans="1:42" s="4" customFormat="1" x14ac:dyDescent="0.25">
      <c r="A437" s="3">
        <v>4600099</v>
      </c>
      <c r="B437" s="28">
        <v>39759</v>
      </c>
      <c r="C437" s="3" t="s">
        <v>2273</v>
      </c>
      <c r="D437" s="3">
        <v>10000115</v>
      </c>
      <c r="E437" s="4">
        <v>4529449</v>
      </c>
      <c r="F437" s="3" t="s">
        <v>49</v>
      </c>
      <c r="G437" s="4" t="s">
        <v>2274</v>
      </c>
      <c r="H437" s="4" t="s">
        <v>2275</v>
      </c>
      <c r="I437" s="5">
        <v>1254250</v>
      </c>
      <c r="J437" s="3" t="s">
        <v>2272</v>
      </c>
      <c r="K437" s="3" t="s">
        <v>77</v>
      </c>
      <c r="L437" s="3" t="s">
        <v>119</v>
      </c>
      <c r="M437" s="4" t="s">
        <v>2276</v>
      </c>
      <c r="N437" s="3" t="s">
        <v>56</v>
      </c>
      <c r="O437" s="3" t="s">
        <v>139</v>
      </c>
      <c r="P437" s="4" t="s">
        <v>282</v>
      </c>
      <c r="Q437" s="3"/>
      <c r="R437" s="3"/>
      <c r="Y437" s="4" t="s">
        <v>2277</v>
      </c>
      <c r="Z437" s="4" t="s">
        <v>1048</v>
      </c>
      <c r="AA437" s="4" t="s">
        <v>2278</v>
      </c>
      <c r="AB437" s="3" t="s">
        <v>2279</v>
      </c>
      <c r="AC437" s="3" t="s">
        <v>2280</v>
      </c>
      <c r="AD437" s="3" t="s">
        <v>441</v>
      </c>
      <c r="AE437" s="3">
        <v>1000</v>
      </c>
      <c r="AF437" s="4">
        <v>14642</v>
      </c>
      <c r="AG437" s="4">
        <v>35358</v>
      </c>
      <c r="AH437" s="4">
        <v>4527640</v>
      </c>
      <c r="AI437" s="4" t="s">
        <v>2281</v>
      </c>
      <c r="AJ437" s="4" t="s">
        <v>1051</v>
      </c>
      <c r="AK437" s="3" t="s">
        <v>286</v>
      </c>
      <c r="AL437" s="4">
        <v>48301</v>
      </c>
      <c r="AM437" s="5">
        <v>1254250</v>
      </c>
      <c r="AN437" s="4" t="s">
        <v>2282</v>
      </c>
      <c r="AO437" s="4">
        <v>88</v>
      </c>
      <c r="AP437" s="4">
        <v>80120000</v>
      </c>
    </row>
    <row r="438" spans="1:42" s="4" customFormat="1" x14ac:dyDescent="0.25">
      <c r="A438" s="3">
        <v>4601430</v>
      </c>
      <c r="B438" s="28">
        <v>41831</v>
      </c>
      <c r="C438" s="3" t="s">
        <v>1042</v>
      </c>
      <c r="D438" s="3">
        <v>10001460</v>
      </c>
      <c r="E438" s="4">
        <v>4530780</v>
      </c>
      <c r="F438" s="3" t="s">
        <v>49</v>
      </c>
      <c r="G438" s="4" t="s">
        <v>1073</v>
      </c>
      <c r="H438" s="4" t="s">
        <v>1074</v>
      </c>
      <c r="I438" s="5">
        <v>1261000</v>
      </c>
      <c r="J438" s="3" t="s">
        <v>1075</v>
      </c>
      <c r="K438" s="3" t="s">
        <v>77</v>
      </c>
      <c r="L438" s="3" t="s">
        <v>119</v>
      </c>
      <c r="M438" s="4" t="s">
        <v>1074</v>
      </c>
      <c r="N438" s="3" t="s">
        <v>25</v>
      </c>
      <c r="O438" s="3"/>
      <c r="Q438" s="3"/>
      <c r="R438" s="3"/>
      <c r="Y438" s="4" t="s">
        <v>604</v>
      </c>
      <c r="Z438" s="4" t="s">
        <v>605</v>
      </c>
      <c r="AA438" s="4" t="s">
        <v>1076</v>
      </c>
      <c r="AB438" s="3"/>
      <c r="AC438" s="3"/>
      <c r="AD438" s="3" t="s">
        <v>1052</v>
      </c>
      <c r="AE438" s="3">
        <v>1000</v>
      </c>
      <c r="AI438" s="4" t="s">
        <v>608</v>
      </c>
      <c r="AJ438" s="4" t="s">
        <v>609</v>
      </c>
      <c r="AK438" s="3"/>
      <c r="AL438" s="4">
        <v>40523</v>
      </c>
      <c r="AM438" s="5">
        <v>1261000</v>
      </c>
      <c r="AN438" s="4" t="s">
        <v>124</v>
      </c>
      <c r="AO438" s="4">
        <v>96</v>
      </c>
      <c r="AP438" s="4">
        <v>76110000</v>
      </c>
    </row>
    <row r="439" spans="1:42" s="4" customFormat="1" x14ac:dyDescent="0.25">
      <c r="A439" s="3">
        <v>4600329</v>
      </c>
      <c r="B439" s="28">
        <v>41575</v>
      </c>
      <c r="C439" s="3" t="s">
        <v>560</v>
      </c>
      <c r="D439" s="3">
        <v>10000392</v>
      </c>
      <c r="E439" s="4">
        <v>4529679</v>
      </c>
      <c r="F439" s="3" t="s">
        <v>49</v>
      </c>
      <c r="G439" s="4" t="s">
        <v>584</v>
      </c>
      <c r="H439" s="4" t="s">
        <v>562</v>
      </c>
      <c r="I439" s="5">
        <v>1264953.1000000001</v>
      </c>
      <c r="J439" s="3" t="s">
        <v>585</v>
      </c>
      <c r="K439" s="3" t="s">
        <v>77</v>
      </c>
      <c r="L439" s="3" t="s">
        <v>119</v>
      </c>
      <c r="M439" s="4" t="s">
        <v>564</v>
      </c>
      <c r="N439" s="3" t="s">
        <v>56</v>
      </c>
      <c r="O439" s="3"/>
      <c r="Q439" s="3"/>
      <c r="R439" s="3"/>
      <c r="Y439" s="4" t="s">
        <v>565</v>
      </c>
      <c r="Z439" s="4" t="s">
        <v>566</v>
      </c>
      <c r="AA439" s="4" t="s">
        <v>567</v>
      </c>
      <c r="AB439" s="3" t="s">
        <v>586</v>
      </c>
      <c r="AC439" s="3" t="s">
        <v>582</v>
      </c>
      <c r="AD439" s="3" t="s">
        <v>583</v>
      </c>
      <c r="AE439" s="3">
        <v>5000</v>
      </c>
      <c r="AF439" s="4">
        <v>48699.8</v>
      </c>
      <c r="AG439" s="4">
        <v>101537.76</v>
      </c>
      <c r="AH439" s="4">
        <v>4528566</v>
      </c>
      <c r="AI439" s="4" t="s">
        <v>569</v>
      </c>
      <c r="AJ439" s="4" t="s">
        <v>570</v>
      </c>
      <c r="AK439" s="3"/>
      <c r="AL439" s="4">
        <v>49597</v>
      </c>
      <c r="AM439" s="5">
        <v>1264953.1000000001</v>
      </c>
      <c r="AN439" s="4" t="s">
        <v>31</v>
      </c>
      <c r="AO439" s="4">
        <v>93</v>
      </c>
      <c r="AP439" s="4">
        <v>80101600</v>
      </c>
    </row>
    <row r="440" spans="1:42" s="4" customFormat="1" x14ac:dyDescent="0.25">
      <c r="A440" s="3">
        <v>4604609</v>
      </c>
      <c r="B440" s="28">
        <v>42143</v>
      </c>
      <c r="C440" s="3" t="s">
        <v>1278</v>
      </c>
      <c r="D440" s="3">
        <v>10004394</v>
      </c>
      <c r="E440" s="4">
        <v>4533960</v>
      </c>
      <c r="F440" s="3" t="s">
        <v>49</v>
      </c>
      <c r="G440" s="4" t="s">
        <v>1494</v>
      </c>
      <c r="H440" s="4" t="s">
        <v>1495</v>
      </c>
      <c r="I440" s="5">
        <v>1324400</v>
      </c>
      <c r="J440" s="3" t="s">
        <v>76</v>
      </c>
      <c r="K440" s="3" t="s">
        <v>294</v>
      </c>
      <c r="L440" s="3" t="s">
        <v>196</v>
      </c>
      <c r="M440" s="4" t="s">
        <v>1495</v>
      </c>
      <c r="N440" s="3" t="s">
        <v>25</v>
      </c>
      <c r="O440" s="3"/>
      <c r="Q440" s="3"/>
      <c r="R440" s="3"/>
      <c r="Y440" s="4" t="s">
        <v>1079</v>
      </c>
      <c r="Z440" s="4" t="s">
        <v>1090</v>
      </c>
      <c r="AB440" s="3"/>
      <c r="AC440" s="3"/>
      <c r="AD440" s="3" t="s">
        <v>516</v>
      </c>
      <c r="AE440" s="3">
        <v>1000</v>
      </c>
      <c r="AI440" s="4" t="s">
        <v>1083</v>
      </c>
      <c r="AJ440" s="4" t="s">
        <v>1091</v>
      </c>
      <c r="AK440" s="3"/>
      <c r="AL440" s="4">
        <v>49295</v>
      </c>
      <c r="AM440" s="5">
        <v>1324400</v>
      </c>
      <c r="AN440" s="4" t="s">
        <v>124</v>
      </c>
      <c r="AO440" s="4">
        <v>99</v>
      </c>
      <c r="AP440" s="4">
        <v>80131500</v>
      </c>
    </row>
    <row r="441" spans="1:42" s="4" customFormat="1" x14ac:dyDescent="0.25">
      <c r="A441" s="3">
        <v>4603323</v>
      </c>
      <c r="B441" s="28">
        <v>41834</v>
      </c>
      <c r="C441" s="3" t="s">
        <v>1042</v>
      </c>
      <c r="D441" s="3">
        <v>10003119</v>
      </c>
      <c r="E441" s="4">
        <v>4532674</v>
      </c>
      <c r="F441" s="3" t="s">
        <v>49</v>
      </c>
      <c r="G441" s="4" t="s">
        <v>1122</v>
      </c>
      <c r="H441" s="4" t="s">
        <v>1123</v>
      </c>
      <c r="I441" s="5">
        <v>1350000</v>
      </c>
      <c r="J441" s="3" t="s">
        <v>1124</v>
      </c>
      <c r="K441" s="3" t="s">
        <v>1125</v>
      </c>
      <c r="L441" s="3" t="s">
        <v>119</v>
      </c>
      <c r="M441" s="4" t="s">
        <v>1126</v>
      </c>
      <c r="N441" s="3" t="s">
        <v>56</v>
      </c>
      <c r="O441" s="3"/>
      <c r="Q441" s="3"/>
      <c r="R441" s="3"/>
      <c r="Y441" s="4" t="s">
        <v>1056</v>
      </c>
      <c r="Z441" s="4" t="s">
        <v>1090</v>
      </c>
      <c r="AA441" s="4" t="s">
        <v>1127</v>
      </c>
      <c r="AB441" s="3" t="s">
        <v>1128</v>
      </c>
      <c r="AC441" s="3" t="s">
        <v>1129</v>
      </c>
      <c r="AD441" s="3" t="s">
        <v>1121</v>
      </c>
      <c r="AE441" s="3">
        <v>1000</v>
      </c>
      <c r="AI441" s="4" t="s">
        <v>1058</v>
      </c>
      <c r="AJ441" s="4" t="s">
        <v>1091</v>
      </c>
      <c r="AK441" s="3"/>
      <c r="AL441" s="4">
        <v>140258</v>
      </c>
      <c r="AM441" s="5">
        <v>1350000</v>
      </c>
      <c r="AN441" s="4" t="s">
        <v>124</v>
      </c>
      <c r="AO441" s="4">
        <v>99</v>
      </c>
      <c r="AP441" s="4">
        <v>80131500</v>
      </c>
    </row>
    <row r="442" spans="1:42" s="4" customFormat="1" x14ac:dyDescent="0.25">
      <c r="A442" s="3">
        <v>4603096</v>
      </c>
      <c r="B442" s="28">
        <v>41817</v>
      </c>
      <c r="C442" s="3" t="s">
        <v>1042</v>
      </c>
      <c r="D442" s="3">
        <v>10002915</v>
      </c>
      <c r="E442" s="4">
        <v>4532447</v>
      </c>
      <c r="F442" s="3" t="s">
        <v>49</v>
      </c>
      <c r="G442" s="4" t="s">
        <v>1099</v>
      </c>
      <c r="H442" s="4" t="s">
        <v>1100</v>
      </c>
      <c r="I442" s="5">
        <v>1417890.72</v>
      </c>
      <c r="J442" s="3" t="s">
        <v>1101</v>
      </c>
      <c r="K442" s="3" t="s">
        <v>1102</v>
      </c>
      <c r="L442" s="3" t="s">
        <v>54</v>
      </c>
      <c r="M442" s="4" t="s">
        <v>1103</v>
      </c>
      <c r="N442" s="3" t="s">
        <v>56</v>
      </c>
      <c r="O442" s="3"/>
      <c r="Q442" s="3"/>
      <c r="R442" s="3"/>
      <c r="Y442" s="4" t="s">
        <v>1056</v>
      </c>
      <c r="Z442" s="4" t="s">
        <v>1090</v>
      </c>
      <c r="AA442" s="4" t="s">
        <v>1104</v>
      </c>
      <c r="AB442" s="3" t="s">
        <v>1104</v>
      </c>
      <c r="AC442" s="3" t="s">
        <v>1105</v>
      </c>
      <c r="AD442" s="3" t="s">
        <v>1098</v>
      </c>
      <c r="AE442" s="3">
        <v>1000</v>
      </c>
      <c r="AI442" s="4" t="s">
        <v>1058</v>
      </c>
      <c r="AJ442" s="4" t="s">
        <v>1091</v>
      </c>
      <c r="AK442" s="3"/>
      <c r="AL442" s="4">
        <v>140163</v>
      </c>
      <c r="AM442" s="5">
        <v>1417890.72</v>
      </c>
      <c r="AN442" s="4" t="s">
        <v>124</v>
      </c>
      <c r="AO442" s="4">
        <v>99</v>
      </c>
      <c r="AP442" s="4">
        <v>43222500</v>
      </c>
    </row>
    <row r="443" spans="1:42" s="4" customFormat="1" x14ac:dyDescent="0.25">
      <c r="A443" s="3">
        <v>4604087</v>
      </c>
      <c r="B443" s="28">
        <v>42129</v>
      </c>
      <c r="C443" s="3" t="s">
        <v>1042</v>
      </c>
      <c r="D443" s="3">
        <v>10003840</v>
      </c>
      <c r="E443" s="4">
        <v>4533438</v>
      </c>
      <c r="F443" s="3" t="s">
        <v>49</v>
      </c>
      <c r="G443" s="4" t="s">
        <v>1242</v>
      </c>
      <c r="H443" s="4" t="s">
        <v>1243</v>
      </c>
      <c r="I443" s="5">
        <v>1706550</v>
      </c>
      <c r="J443" s="3" t="s">
        <v>650</v>
      </c>
      <c r="K443" s="3" t="s">
        <v>374</v>
      </c>
      <c r="L443" s="3" t="s">
        <v>196</v>
      </c>
      <c r="M443" s="4" t="s">
        <v>1244</v>
      </c>
      <c r="N443" s="3" t="s">
        <v>25</v>
      </c>
      <c r="O443" s="3"/>
      <c r="Q443" s="3"/>
      <c r="R443" s="3"/>
      <c r="Y443" s="4" t="s">
        <v>540</v>
      </c>
      <c r="Z443" s="4" t="s">
        <v>605</v>
      </c>
      <c r="AB443" s="3"/>
      <c r="AC443" s="3"/>
      <c r="AD443" s="3" t="s">
        <v>527</v>
      </c>
      <c r="AE443" s="3">
        <v>1000</v>
      </c>
      <c r="AI443" s="4" t="s">
        <v>542</v>
      </c>
      <c r="AJ443" s="4" t="s">
        <v>609</v>
      </c>
      <c r="AK443" s="3"/>
      <c r="AL443" s="4">
        <v>46975</v>
      </c>
      <c r="AM443" s="5">
        <v>1706550</v>
      </c>
      <c r="AN443" s="4" t="s">
        <v>124</v>
      </c>
      <c r="AO443" s="4">
        <v>96</v>
      </c>
      <c r="AP443" s="4">
        <v>80131500</v>
      </c>
    </row>
    <row r="444" spans="1:42" s="4" customFormat="1" x14ac:dyDescent="0.25">
      <c r="A444" s="3">
        <v>4602209</v>
      </c>
      <c r="B444" s="28">
        <v>41450</v>
      </c>
      <c r="C444" s="3" t="s">
        <v>560</v>
      </c>
      <c r="D444" s="3">
        <v>10002146</v>
      </c>
      <c r="E444" s="4">
        <v>4531560</v>
      </c>
      <c r="F444" s="3" t="s">
        <v>49</v>
      </c>
      <c r="G444" s="4" t="s">
        <v>590</v>
      </c>
      <c r="H444" s="4" t="s">
        <v>591</v>
      </c>
      <c r="I444" s="5">
        <v>1964582.8</v>
      </c>
      <c r="J444" s="3" t="s">
        <v>592</v>
      </c>
      <c r="K444" s="3" t="s">
        <v>77</v>
      </c>
      <c r="L444" s="3" t="s">
        <v>119</v>
      </c>
      <c r="M444" s="4" t="s">
        <v>593</v>
      </c>
      <c r="N444" s="3" t="s">
        <v>25</v>
      </c>
      <c r="O444" s="3"/>
      <c r="Q444" s="3"/>
      <c r="R444" s="3"/>
      <c r="Y444" s="4" t="s">
        <v>594</v>
      </c>
      <c r="Z444" s="4" t="s">
        <v>594</v>
      </c>
      <c r="AA444" s="4" t="s">
        <v>595</v>
      </c>
      <c r="AB444" s="3"/>
      <c r="AC444" s="3"/>
      <c r="AD444" s="3" t="s">
        <v>596</v>
      </c>
      <c r="AE444" s="3">
        <v>5000</v>
      </c>
      <c r="AI444" s="4" t="s">
        <v>597</v>
      </c>
      <c r="AJ444" s="4" t="s">
        <v>597</v>
      </c>
      <c r="AK444" s="3"/>
      <c r="AL444" s="4">
        <v>48114</v>
      </c>
      <c r="AM444" s="5">
        <v>1964582.8</v>
      </c>
      <c r="AN444" s="4" t="s">
        <v>31</v>
      </c>
      <c r="AO444" s="4">
        <v>98</v>
      </c>
      <c r="AP444" s="4">
        <v>43222800</v>
      </c>
    </row>
    <row r="445" spans="1:42" s="4" customFormat="1" x14ac:dyDescent="0.25">
      <c r="A445" s="3">
        <v>4603965</v>
      </c>
      <c r="B445" s="28">
        <v>41792</v>
      </c>
      <c r="C445" s="3" t="s">
        <v>1042</v>
      </c>
      <c r="D445" s="3">
        <v>10003725</v>
      </c>
      <c r="E445" s="4">
        <v>4533316</v>
      </c>
      <c r="F445" s="3" t="s">
        <v>49</v>
      </c>
      <c r="G445" s="4" t="s">
        <v>1210</v>
      </c>
      <c r="H445" s="4" t="s">
        <v>1211</v>
      </c>
      <c r="I445" s="5">
        <v>2352000</v>
      </c>
      <c r="J445" s="3" t="s">
        <v>631</v>
      </c>
      <c r="K445" s="3" t="s">
        <v>807</v>
      </c>
      <c r="L445" s="3" t="s">
        <v>1046</v>
      </c>
      <c r="M445" s="4" t="s">
        <v>1212</v>
      </c>
      <c r="N445" s="3" t="s">
        <v>56</v>
      </c>
      <c r="O445" s="3"/>
      <c r="Q445" s="3"/>
      <c r="R445" s="3"/>
      <c r="U445" s="4" t="s">
        <v>139</v>
      </c>
      <c r="V445" s="4" t="s">
        <v>427</v>
      </c>
      <c r="W445" s="4" t="s">
        <v>428</v>
      </c>
      <c r="Y445" s="4" t="s">
        <v>1213</v>
      </c>
      <c r="Z445" s="4" t="s">
        <v>1191</v>
      </c>
      <c r="AA445" s="4" t="s">
        <v>1214</v>
      </c>
      <c r="AB445" s="3" t="s">
        <v>1215</v>
      </c>
      <c r="AC445" s="3" t="s">
        <v>1216</v>
      </c>
      <c r="AD445" s="3" t="s">
        <v>518</v>
      </c>
      <c r="AE445" s="3">
        <v>5000</v>
      </c>
      <c r="AI445" s="4" t="s">
        <v>1217</v>
      </c>
      <c r="AJ445" s="4" t="s">
        <v>1196</v>
      </c>
      <c r="AK445" s="3"/>
      <c r="AL445" s="4">
        <v>140037</v>
      </c>
      <c r="AM445" s="5">
        <v>2352000</v>
      </c>
      <c r="AN445" s="4" t="s">
        <v>31</v>
      </c>
      <c r="AO445" s="4">
        <v>96</v>
      </c>
      <c r="AP445" s="4">
        <v>83110000</v>
      </c>
    </row>
    <row r="446" spans="1:42" s="4" customFormat="1" x14ac:dyDescent="0.25">
      <c r="A446" s="3">
        <v>4604212</v>
      </c>
      <c r="B446" s="28">
        <v>41540</v>
      </c>
      <c r="C446" s="3" t="s">
        <v>2273</v>
      </c>
      <c r="D446" s="3">
        <v>10003961</v>
      </c>
      <c r="E446" s="4">
        <v>4533563</v>
      </c>
      <c r="F446" s="3" t="s">
        <v>49</v>
      </c>
      <c r="G446" s="4" t="s">
        <v>2333</v>
      </c>
      <c r="H446" s="4" t="s">
        <v>2301</v>
      </c>
      <c r="I446" s="5">
        <v>3000000</v>
      </c>
      <c r="J446" s="3" t="s">
        <v>718</v>
      </c>
      <c r="K446" s="3" t="s">
        <v>77</v>
      </c>
      <c r="L446" s="3" t="s">
        <v>1046</v>
      </c>
      <c r="M446" s="4" t="s">
        <v>2334</v>
      </c>
      <c r="N446" s="3" t="s">
        <v>25</v>
      </c>
      <c r="O446" s="3" t="s">
        <v>139</v>
      </c>
      <c r="P446" s="4" t="s">
        <v>2207</v>
      </c>
      <c r="Q446" s="3" t="s">
        <v>139</v>
      </c>
      <c r="R446" s="3" t="s">
        <v>427</v>
      </c>
      <c r="S446" s="4" t="s">
        <v>428</v>
      </c>
      <c r="U446" s="4" t="s">
        <v>139</v>
      </c>
      <c r="V446" s="4" t="s">
        <v>427</v>
      </c>
      <c r="W446" s="4" t="s">
        <v>428</v>
      </c>
      <c r="Y446" s="4" t="s">
        <v>2277</v>
      </c>
      <c r="Z446" s="4" t="s">
        <v>2293</v>
      </c>
      <c r="AB446" s="3"/>
      <c r="AC446" s="3"/>
      <c r="AD446" s="3" t="s">
        <v>543</v>
      </c>
      <c r="AE446" s="3">
        <v>1000</v>
      </c>
      <c r="AI446" s="4" t="s">
        <v>2281</v>
      </c>
      <c r="AJ446" s="4" t="s">
        <v>2298</v>
      </c>
      <c r="AK446" s="3" t="s">
        <v>2210</v>
      </c>
      <c r="AL446" s="4">
        <v>141591</v>
      </c>
      <c r="AM446" s="5">
        <v>3000000</v>
      </c>
      <c r="AN446" s="4" t="s">
        <v>2282</v>
      </c>
      <c r="AO446" s="4">
        <v>94</v>
      </c>
      <c r="AP446" s="4">
        <v>80120000</v>
      </c>
    </row>
    <row r="447" spans="1:42" s="4" customFormat="1" x14ac:dyDescent="0.25">
      <c r="A447" s="3">
        <v>4603854</v>
      </c>
      <c r="B447" s="28">
        <v>41450</v>
      </c>
      <c r="C447" s="3" t="s">
        <v>560</v>
      </c>
      <c r="D447" s="3">
        <v>10003685</v>
      </c>
      <c r="E447" s="4">
        <v>4533205</v>
      </c>
      <c r="F447" s="3" t="s">
        <v>49</v>
      </c>
      <c r="G447" s="4" t="s">
        <v>629</v>
      </c>
      <c r="H447" s="4" t="s">
        <v>630</v>
      </c>
      <c r="I447" s="5">
        <v>4494081.2</v>
      </c>
      <c r="J447" s="3" t="s">
        <v>631</v>
      </c>
      <c r="K447" s="3" t="s">
        <v>77</v>
      </c>
      <c r="L447" s="3" t="s">
        <v>119</v>
      </c>
      <c r="M447" s="4" t="s">
        <v>630</v>
      </c>
      <c r="N447" s="3" t="s">
        <v>25</v>
      </c>
      <c r="O447" s="3"/>
      <c r="Q447" s="3"/>
      <c r="R447" s="3"/>
      <c r="Y447" s="4" t="s">
        <v>632</v>
      </c>
      <c r="Z447" s="4" t="s">
        <v>632</v>
      </c>
      <c r="AA447" s="4" t="s">
        <v>633</v>
      </c>
      <c r="AB447" s="3"/>
      <c r="AC447" s="3"/>
      <c r="AD447" s="3" t="s">
        <v>634</v>
      </c>
      <c r="AE447" s="3">
        <v>5000</v>
      </c>
      <c r="AI447" s="4" t="s">
        <v>635</v>
      </c>
      <c r="AJ447" s="4" t="s">
        <v>635</v>
      </c>
      <c r="AK447" s="3"/>
      <c r="AL447" s="4">
        <v>140045</v>
      </c>
      <c r="AM447" s="5">
        <v>4494081.2</v>
      </c>
      <c r="AN447" s="4" t="s">
        <v>31</v>
      </c>
      <c r="AO447" s="4">
        <v>99</v>
      </c>
      <c r="AP447" s="4">
        <v>43222800</v>
      </c>
    </row>
    <row r="448" spans="1:42" s="4" customFormat="1" x14ac:dyDescent="0.25">
      <c r="A448" s="3">
        <v>4604601</v>
      </c>
      <c r="B448" s="28">
        <v>41827</v>
      </c>
      <c r="C448" s="3" t="s">
        <v>1278</v>
      </c>
      <c r="D448" s="3">
        <v>10004311</v>
      </c>
      <c r="E448" s="4">
        <v>4533952</v>
      </c>
      <c r="F448" s="3" t="s">
        <v>49</v>
      </c>
      <c r="G448" s="4" t="s">
        <v>1477</v>
      </c>
      <c r="H448" s="4" t="s">
        <v>1478</v>
      </c>
      <c r="I448" s="5">
        <v>5340963.29</v>
      </c>
      <c r="J448" s="3" t="s">
        <v>1462</v>
      </c>
      <c r="K448" s="3" t="s">
        <v>807</v>
      </c>
      <c r="L448" s="3" t="s">
        <v>119</v>
      </c>
      <c r="M448" s="4" t="s">
        <v>1478</v>
      </c>
      <c r="N448" s="3" t="s">
        <v>56</v>
      </c>
      <c r="O448" s="3"/>
      <c r="Q448" s="3"/>
      <c r="R448" s="3"/>
      <c r="Y448" s="4" t="s">
        <v>1309</v>
      </c>
      <c r="Z448" s="4" t="s">
        <v>1309</v>
      </c>
      <c r="AA448" s="4" t="s">
        <v>338</v>
      </c>
      <c r="AB448" s="3" t="s">
        <v>338</v>
      </c>
      <c r="AC448" s="3" t="s">
        <v>339</v>
      </c>
      <c r="AD448" s="3" t="s">
        <v>1462</v>
      </c>
      <c r="AE448" s="3">
        <v>5000</v>
      </c>
      <c r="AI448" s="4" t="s">
        <v>1313</v>
      </c>
      <c r="AJ448" s="4" t="s">
        <v>1313</v>
      </c>
      <c r="AK448" s="3"/>
      <c r="AL448" s="4">
        <v>141770</v>
      </c>
      <c r="AM448" s="5">
        <v>5340963.29</v>
      </c>
      <c r="AN448" s="4" t="s">
        <v>31</v>
      </c>
      <c r="AO448" s="4">
        <v>99</v>
      </c>
      <c r="AP448" s="4">
        <v>82100000</v>
      </c>
    </row>
    <row r="449" spans="1:42" s="4" customFormat="1" x14ac:dyDescent="0.25">
      <c r="A449" s="3">
        <v>4603367</v>
      </c>
      <c r="B449" s="28">
        <v>41192</v>
      </c>
      <c r="C449" s="3" t="s">
        <v>18</v>
      </c>
      <c r="D449" s="3">
        <v>10002504</v>
      </c>
      <c r="E449" s="4">
        <v>4532718</v>
      </c>
      <c r="F449" s="3" t="s">
        <v>49</v>
      </c>
      <c r="G449" s="4" t="s">
        <v>50</v>
      </c>
      <c r="H449" s="4" t="s">
        <v>99</v>
      </c>
      <c r="I449" s="5">
        <v>5412237.9900000002</v>
      </c>
      <c r="J449" s="3" t="s">
        <v>52</v>
      </c>
      <c r="K449" s="3" t="s">
        <v>53</v>
      </c>
      <c r="L449" s="3" t="s">
        <v>54</v>
      </c>
      <c r="M449" s="4" t="s">
        <v>99</v>
      </c>
      <c r="N449" s="3" t="s">
        <v>56</v>
      </c>
      <c r="O449" s="3"/>
      <c r="Q449" s="3"/>
      <c r="R449" s="3"/>
      <c r="Y449" s="4" t="s">
        <v>100</v>
      </c>
      <c r="Z449" s="4" t="s">
        <v>100</v>
      </c>
      <c r="AA449" s="4" t="s">
        <v>59</v>
      </c>
      <c r="AB449" s="3" t="s">
        <v>60</v>
      </c>
      <c r="AC449" s="3" t="s">
        <v>61</v>
      </c>
      <c r="AD449" s="3" t="s">
        <v>101</v>
      </c>
      <c r="AE449" s="3">
        <v>5000</v>
      </c>
      <c r="AI449" s="4" t="s">
        <v>102</v>
      </c>
      <c r="AJ449" s="4" t="s">
        <v>102</v>
      </c>
      <c r="AK449" s="3"/>
      <c r="AL449" s="4">
        <v>140189</v>
      </c>
      <c r="AM449" s="5">
        <v>5412237.9900000002</v>
      </c>
      <c r="AN449" s="4" t="s">
        <v>31</v>
      </c>
      <c r="AO449" s="4">
        <v>99</v>
      </c>
      <c r="AP449" s="4">
        <v>80101604</v>
      </c>
    </row>
    <row r="450" spans="1:42" s="4" customFormat="1" x14ac:dyDescent="0.25">
      <c r="A450" s="3">
        <v>4604319</v>
      </c>
      <c r="B450" s="28">
        <v>41831</v>
      </c>
      <c r="C450" s="3" t="s">
        <v>2158</v>
      </c>
      <c r="D450" s="3">
        <v>10004087</v>
      </c>
      <c r="E450" s="4">
        <v>4533670</v>
      </c>
      <c r="F450" s="3" t="s">
        <v>49</v>
      </c>
      <c r="G450" s="4" t="s">
        <v>2159</v>
      </c>
      <c r="H450" s="4" t="s">
        <v>2160</v>
      </c>
      <c r="I450" s="5">
        <v>5800000</v>
      </c>
      <c r="J450" s="3" t="s">
        <v>1282</v>
      </c>
      <c r="K450" s="3" t="s">
        <v>374</v>
      </c>
      <c r="L450" s="3" t="s">
        <v>119</v>
      </c>
      <c r="M450" s="4" t="s">
        <v>2161</v>
      </c>
      <c r="N450" s="3" t="s">
        <v>25</v>
      </c>
      <c r="O450" s="3" t="s">
        <v>139</v>
      </c>
      <c r="P450" s="4" t="s">
        <v>282</v>
      </c>
      <c r="Q450" s="3"/>
      <c r="R450" s="3"/>
      <c r="U450" s="4" t="s">
        <v>139</v>
      </c>
      <c r="V450" s="4" t="s">
        <v>119</v>
      </c>
      <c r="W450" s="4" t="s">
        <v>217</v>
      </c>
      <c r="X450" s="4" t="s">
        <v>2162</v>
      </c>
      <c r="Y450" s="4" t="s">
        <v>2163</v>
      </c>
      <c r="Z450" s="4" t="s">
        <v>2164</v>
      </c>
      <c r="AA450" s="4" t="s">
        <v>2165</v>
      </c>
      <c r="AB450" s="3"/>
      <c r="AC450" s="3"/>
      <c r="AD450" s="3" t="s">
        <v>1052</v>
      </c>
      <c r="AE450" s="3">
        <v>1000</v>
      </c>
      <c r="AI450" s="4" t="s">
        <v>2166</v>
      </c>
      <c r="AJ450" s="4" t="s">
        <v>2167</v>
      </c>
      <c r="AK450" s="3" t="s">
        <v>286</v>
      </c>
      <c r="AL450" s="4">
        <v>141658</v>
      </c>
      <c r="AM450" s="5">
        <v>5800000</v>
      </c>
      <c r="AN450" s="4" t="s">
        <v>124</v>
      </c>
      <c r="AO450" s="4">
        <v>98</v>
      </c>
      <c r="AP450" s="4">
        <v>80101504</v>
      </c>
    </row>
    <row r="451" spans="1:42" s="4" customFormat="1" x14ac:dyDescent="0.25">
      <c r="A451" s="3">
        <v>4603845</v>
      </c>
      <c r="B451" s="28">
        <v>41450</v>
      </c>
      <c r="C451" s="3" t="s">
        <v>1042</v>
      </c>
      <c r="D451" s="3">
        <v>10003666</v>
      </c>
      <c r="E451" s="4">
        <v>4533196</v>
      </c>
      <c r="F451" s="3" t="s">
        <v>49</v>
      </c>
      <c r="G451" s="4" t="s">
        <v>1187</v>
      </c>
      <c r="H451" s="4" t="s">
        <v>1188</v>
      </c>
      <c r="I451" s="5">
        <v>6174004.0999999996</v>
      </c>
      <c r="J451" s="3" t="s">
        <v>631</v>
      </c>
      <c r="K451" s="3" t="s">
        <v>77</v>
      </c>
      <c r="L451" s="3" t="s">
        <v>1046</v>
      </c>
      <c r="M451" s="4" t="s">
        <v>1189</v>
      </c>
      <c r="N451" s="3" t="s">
        <v>56</v>
      </c>
      <c r="O451" s="3"/>
      <c r="Q451" s="3"/>
      <c r="R451" s="3"/>
      <c r="Y451" s="4" t="s">
        <v>1190</v>
      </c>
      <c r="Z451" s="4" t="s">
        <v>1191</v>
      </c>
      <c r="AA451" s="4" t="s">
        <v>1192</v>
      </c>
      <c r="AB451" s="3" t="s">
        <v>1192</v>
      </c>
      <c r="AC451" s="3" t="s">
        <v>1193</v>
      </c>
      <c r="AD451" s="3" t="s">
        <v>1194</v>
      </c>
      <c r="AE451" s="3">
        <v>5000</v>
      </c>
      <c r="AI451" s="4" t="s">
        <v>1195</v>
      </c>
      <c r="AJ451" s="4" t="s">
        <v>1196</v>
      </c>
      <c r="AK451" s="3"/>
      <c r="AL451" s="4">
        <v>140182</v>
      </c>
      <c r="AM451" s="5">
        <v>6174004.0999999996</v>
      </c>
      <c r="AN451" s="4" t="s">
        <v>31</v>
      </c>
      <c r="AO451" s="4">
        <v>98</v>
      </c>
      <c r="AP451" s="4">
        <v>80141602</v>
      </c>
    </row>
    <row r="452" spans="1:42" s="4" customFormat="1" x14ac:dyDescent="0.25">
      <c r="A452" s="3">
        <v>4600043</v>
      </c>
      <c r="B452" s="28">
        <v>41831</v>
      </c>
      <c r="C452" s="3" t="s">
        <v>1042</v>
      </c>
      <c r="D452" s="3">
        <v>10000047</v>
      </c>
      <c r="E452" s="4">
        <v>4529393</v>
      </c>
      <c r="F452" s="3" t="s">
        <v>49</v>
      </c>
      <c r="G452" s="4" t="s">
        <v>1053</v>
      </c>
      <c r="H452" s="4" t="s">
        <v>1054</v>
      </c>
      <c r="I452" s="5">
        <v>13400000</v>
      </c>
      <c r="J452" s="3" t="s">
        <v>1055</v>
      </c>
      <c r="K452" s="3" t="s">
        <v>208</v>
      </c>
      <c r="L452" s="3" t="s">
        <v>54</v>
      </c>
      <c r="M452" s="4" t="s">
        <v>1054</v>
      </c>
      <c r="N452" s="3" t="s">
        <v>25</v>
      </c>
      <c r="O452" s="3"/>
      <c r="Q452" s="3"/>
      <c r="R452" s="3"/>
      <c r="Y452" s="4" t="s">
        <v>1056</v>
      </c>
      <c r="Z452" s="4" t="s">
        <v>1048</v>
      </c>
      <c r="AA452" s="4" t="s">
        <v>1057</v>
      </c>
      <c r="AB452" s="3"/>
      <c r="AC452" s="3"/>
      <c r="AD452" s="3" t="s">
        <v>369</v>
      </c>
      <c r="AE452" s="3">
        <v>1000</v>
      </c>
      <c r="AF452" s="4">
        <v>365340.27</v>
      </c>
      <c r="AG452" s="4">
        <v>6798959.7300000004</v>
      </c>
      <c r="AH452" s="4">
        <v>4528912</v>
      </c>
      <c r="AI452" s="4" t="s">
        <v>1058</v>
      </c>
      <c r="AJ452" s="4" t="s">
        <v>1051</v>
      </c>
      <c r="AK452" s="3"/>
      <c r="AL452" s="4">
        <v>140248</v>
      </c>
      <c r="AM452" s="5">
        <v>13400000</v>
      </c>
      <c r="AN452" s="4" t="s">
        <v>124</v>
      </c>
      <c r="AO452" s="4">
        <v>98</v>
      </c>
      <c r="AP452" s="4">
        <v>43210000</v>
      </c>
    </row>
    <row r="453" spans="1:42" s="4" customFormat="1" x14ac:dyDescent="0.25">
      <c r="A453" s="3">
        <v>4604705</v>
      </c>
      <c r="B453" s="28">
        <v>42077</v>
      </c>
      <c r="C453" s="3" t="s">
        <v>1042</v>
      </c>
      <c r="D453" s="3">
        <v>10003002</v>
      </c>
      <c r="E453" s="4">
        <v>4534056</v>
      </c>
      <c r="F453" s="3" t="s">
        <v>49</v>
      </c>
      <c r="G453" s="4" t="s">
        <v>1273</v>
      </c>
      <c r="H453" s="4" t="s">
        <v>1274</v>
      </c>
      <c r="I453" s="5">
        <v>19738418.68</v>
      </c>
      <c r="J453" s="3" t="s">
        <v>1275</v>
      </c>
      <c r="K453" s="3" t="s">
        <v>1276</v>
      </c>
      <c r="L453" s="3" t="s">
        <v>1115</v>
      </c>
      <c r="M453" s="4" t="s">
        <v>1274</v>
      </c>
      <c r="N453" s="3" t="s">
        <v>25</v>
      </c>
      <c r="O453" s="3"/>
      <c r="Q453" s="3"/>
      <c r="R453" s="3"/>
      <c r="Y453" s="4" t="s">
        <v>1079</v>
      </c>
      <c r="Z453" s="4" t="s">
        <v>540</v>
      </c>
      <c r="AB453" s="3"/>
      <c r="AC453" s="3"/>
      <c r="AD453" s="3" t="s">
        <v>441</v>
      </c>
      <c r="AE453" s="3">
        <v>1000</v>
      </c>
      <c r="AI453" s="4" t="s">
        <v>1083</v>
      </c>
      <c r="AJ453" s="4" t="s">
        <v>542</v>
      </c>
      <c r="AK453" s="3"/>
      <c r="AL453" s="4">
        <v>141802</v>
      </c>
      <c r="AM453" s="5">
        <v>19738418.68</v>
      </c>
      <c r="AN453" s="4" t="s">
        <v>124</v>
      </c>
      <c r="AO453" s="4">
        <v>99</v>
      </c>
    </row>
    <row r="454" spans="1:42" s="4" customFormat="1" x14ac:dyDescent="0.25">
      <c r="A454" s="3">
        <v>4604983</v>
      </c>
      <c r="B454" s="28">
        <v>42144</v>
      </c>
      <c r="C454" s="3" t="s">
        <v>1278</v>
      </c>
      <c r="D454" s="3">
        <v>10004812</v>
      </c>
      <c r="E454" s="4">
        <v>4534334</v>
      </c>
      <c r="F454" s="3" t="s">
        <v>49</v>
      </c>
      <c r="G454" s="4" t="s">
        <v>1053</v>
      </c>
      <c r="H454" s="4" t="s">
        <v>1054</v>
      </c>
      <c r="I454" s="5">
        <v>23520566</v>
      </c>
      <c r="J454" s="3" t="s">
        <v>419</v>
      </c>
      <c r="K454" s="3" t="s">
        <v>1986</v>
      </c>
      <c r="L454" s="3" t="s">
        <v>196</v>
      </c>
      <c r="M454" s="4" t="s">
        <v>1054</v>
      </c>
      <c r="N454" s="3" t="s">
        <v>25</v>
      </c>
      <c r="O454" s="3"/>
      <c r="Q454" s="3"/>
      <c r="R454" s="3"/>
      <c r="Y454" s="4" t="s">
        <v>1056</v>
      </c>
      <c r="Z454" s="4" t="s">
        <v>1056</v>
      </c>
      <c r="AB454" s="3"/>
      <c r="AC454" s="3"/>
      <c r="AD454" s="3" t="s">
        <v>287</v>
      </c>
      <c r="AE454" s="3">
        <v>1000</v>
      </c>
      <c r="AI454" s="4" t="s">
        <v>1058</v>
      </c>
      <c r="AJ454" s="4" t="s">
        <v>1058</v>
      </c>
      <c r="AK454" s="3"/>
      <c r="AL454" s="4">
        <v>140248</v>
      </c>
      <c r="AM454" s="5">
        <v>23520566</v>
      </c>
      <c r="AN454" s="4" t="s">
        <v>124</v>
      </c>
      <c r="AO454" s="4">
        <v>99</v>
      </c>
      <c r="AP454" s="4">
        <v>81111700</v>
      </c>
    </row>
    <row r="455" spans="1:42" s="4" customFormat="1" x14ac:dyDescent="0.25">
      <c r="A455" s="3">
        <v>4600204</v>
      </c>
      <c r="B455" s="28">
        <v>40151</v>
      </c>
      <c r="C455" s="3" t="s">
        <v>2151</v>
      </c>
      <c r="D455" s="3">
        <v>10000237</v>
      </c>
      <c r="E455" s="4">
        <v>4529554</v>
      </c>
      <c r="F455" s="3" t="s">
        <v>49</v>
      </c>
      <c r="G455" s="4" t="s">
        <v>2152</v>
      </c>
      <c r="H455" s="4" t="s">
        <v>2153</v>
      </c>
      <c r="I455" s="5">
        <v>274637000</v>
      </c>
      <c r="J455" s="3" t="s">
        <v>2150</v>
      </c>
      <c r="K455" s="3" t="s">
        <v>2154</v>
      </c>
      <c r="L455" s="3" t="s">
        <v>54</v>
      </c>
      <c r="M455" s="4" t="s">
        <v>2153</v>
      </c>
      <c r="N455" s="3" t="s">
        <v>25</v>
      </c>
      <c r="O455" s="3"/>
      <c r="Q455" s="3"/>
      <c r="R455" s="3"/>
      <c r="Y455" s="4" t="s">
        <v>2155</v>
      </c>
      <c r="Z455" s="4" t="s">
        <v>1048</v>
      </c>
      <c r="AB455" s="3"/>
      <c r="AC455" s="3"/>
      <c r="AD455" s="3" t="s">
        <v>2156</v>
      </c>
      <c r="AE455" s="3">
        <v>5000</v>
      </c>
      <c r="AF455" s="4">
        <v>29942429</v>
      </c>
      <c r="AG455" s="4">
        <v>244694571</v>
      </c>
      <c r="AH455" s="4">
        <v>4528763</v>
      </c>
      <c r="AI455" s="4" t="s">
        <v>2157</v>
      </c>
      <c r="AJ455" s="4" t="s">
        <v>1051</v>
      </c>
      <c r="AK455" s="3"/>
      <c r="AL455" s="4">
        <v>47956</v>
      </c>
      <c r="AM455" s="5">
        <v>274637000</v>
      </c>
      <c r="AN455" s="4" t="s">
        <v>31</v>
      </c>
      <c r="AO455" s="4">
        <v>99</v>
      </c>
    </row>
    <row r="456" spans="1:42" ht="18.75" x14ac:dyDescent="0.25">
      <c r="E456" s="7"/>
      <c r="F456" s="8"/>
      <c r="I456" s="15"/>
    </row>
    <row r="458" spans="1:42" ht="18.75" x14ac:dyDescent="0.3">
      <c r="E458" s="17"/>
      <c r="F458" s="8"/>
      <c r="G458" s="19"/>
      <c r="H458" s="17"/>
      <c r="I458" s="15"/>
      <c r="J458" s="19"/>
    </row>
    <row r="459" spans="1:42" ht="18.75" x14ac:dyDescent="0.3">
      <c r="E459" s="17"/>
      <c r="F459" s="8"/>
      <c r="G459" s="19"/>
      <c r="H459" s="17"/>
      <c r="I459" s="15"/>
      <c r="J459" s="19"/>
    </row>
    <row r="460" spans="1:42" ht="18.75" x14ac:dyDescent="0.3">
      <c r="E460" s="17"/>
      <c r="F460" s="8"/>
      <c r="G460" s="19"/>
      <c r="H460" s="17"/>
      <c r="I460" s="15"/>
      <c r="J460" s="19"/>
    </row>
    <row r="461" spans="1:42" ht="18.75" x14ac:dyDescent="0.3">
      <c r="F461" s="8"/>
      <c r="G461" s="19"/>
      <c r="I461" s="15"/>
      <c r="J461" s="19"/>
    </row>
    <row r="463" spans="1:42" ht="18.75" x14ac:dyDescent="0.3">
      <c r="E463" s="17"/>
      <c r="F463" s="8"/>
      <c r="G463" s="19"/>
      <c r="H463" s="17"/>
      <c r="I463" s="15"/>
      <c r="J463" s="22"/>
      <c r="K463" s="23"/>
    </row>
    <row r="464" spans="1:42" ht="18.75" x14ac:dyDescent="0.3">
      <c r="F464" s="18"/>
      <c r="G464" s="23"/>
    </row>
  </sheetData>
  <sortState ref="A3:AP118">
    <sortCondition ref="A3:A118"/>
  </sortState>
  <mergeCells count="1">
    <mergeCell ref="A1:A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6"/>
  <sheetViews>
    <sheetView workbookViewId="0">
      <selection activeCell="J12" sqref="J12"/>
    </sheetView>
  </sheetViews>
  <sheetFormatPr defaultRowHeight="15" x14ac:dyDescent="0.25"/>
  <cols>
    <col min="1" max="1" width="30" bestFit="1" customWidth="1"/>
    <col min="2" max="2" width="12.140625" bestFit="1" customWidth="1"/>
    <col min="3" max="3" width="13.7109375" bestFit="1" customWidth="1"/>
    <col min="4" max="4" width="16.28515625" bestFit="1" customWidth="1"/>
    <col min="5" max="5" width="15.85546875" bestFit="1" customWidth="1"/>
    <col min="6" max="6" width="16.85546875" bestFit="1" customWidth="1"/>
    <col min="7" max="7" width="9.85546875" bestFit="1" customWidth="1"/>
    <col min="8" max="9" width="10.140625" bestFit="1" customWidth="1"/>
    <col min="10" max="10" width="14.28515625" bestFit="1" customWidth="1"/>
    <col min="11" max="11" width="75" bestFit="1" customWidth="1"/>
    <col min="12" max="12" width="13.85546875" bestFit="1" customWidth="1"/>
    <col min="13" max="13" width="73.5703125" bestFit="1" customWidth="1"/>
    <col min="14" max="14" width="20.28515625" bestFit="1" customWidth="1"/>
    <col min="15" max="15" width="21.42578125" bestFit="1" customWidth="1"/>
    <col min="16" max="16" width="11.85546875" bestFit="1" customWidth="1"/>
    <col min="17" max="17" width="23.7109375" bestFit="1" customWidth="1"/>
    <col min="18" max="18" width="62" bestFit="1" customWidth="1"/>
    <col min="19" max="19" width="23.42578125" bestFit="1" customWidth="1"/>
    <col min="20" max="20" width="75" bestFit="1" customWidth="1"/>
    <col min="21" max="21" width="11.7109375" bestFit="1" customWidth="1"/>
    <col min="22" max="22" width="43" bestFit="1" customWidth="1"/>
    <col min="23" max="23" width="23.42578125" bestFit="1" customWidth="1"/>
    <col min="24" max="24" width="40" bestFit="1" customWidth="1"/>
    <col min="25" max="25" width="38.42578125" bestFit="1" customWidth="1"/>
    <col min="26" max="26" width="32.5703125" bestFit="1" customWidth="1"/>
    <col min="27" max="27" width="17.28515625" bestFit="1" customWidth="1"/>
    <col min="28" max="28" width="17" bestFit="1" customWidth="1"/>
    <col min="29" max="29" width="19.7109375" bestFit="1" customWidth="1"/>
    <col min="30" max="30" width="12.7109375" bestFit="1" customWidth="1"/>
    <col min="31" max="31" width="24.42578125" bestFit="1" customWidth="1"/>
    <col min="32" max="32" width="21" bestFit="1" customWidth="1"/>
    <col min="33" max="33" width="32.5703125" bestFit="1" customWidth="1"/>
    <col min="34" max="34" width="14" bestFit="1" customWidth="1"/>
    <col min="35" max="35" width="91.85546875" bestFit="1" customWidth="1"/>
    <col min="36" max="36" width="16.140625" bestFit="1" customWidth="1"/>
  </cols>
  <sheetData>
    <row r="1" spans="1:36" ht="18.75" x14ac:dyDescent="0.3">
      <c r="A1" s="51" t="s">
        <v>2470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</row>
    <row r="2" spans="1:36" ht="18.75" x14ac:dyDescent="0.3">
      <c r="A2" s="51" t="s">
        <v>2471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</row>
    <row r="3" spans="1:36" s="43" customFormat="1" x14ac:dyDescent="0.25">
      <c r="A3" s="42" t="s">
        <v>2472</v>
      </c>
      <c r="B3" s="42" t="s">
        <v>2473</v>
      </c>
      <c r="C3" s="42" t="s">
        <v>2474</v>
      </c>
      <c r="D3" s="42" t="s">
        <v>2475</v>
      </c>
      <c r="E3" s="42" t="s">
        <v>2476</v>
      </c>
      <c r="F3" s="42" t="s">
        <v>2477</v>
      </c>
      <c r="G3" s="42" t="s">
        <v>2478</v>
      </c>
      <c r="H3" s="42" t="s">
        <v>2479</v>
      </c>
      <c r="I3" s="42" t="s">
        <v>2480</v>
      </c>
      <c r="J3" s="42" t="s">
        <v>2481</v>
      </c>
      <c r="K3" s="42" t="s">
        <v>2482</v>
      </c>
      <c r="L3" s="42" t="s">
        <v>2483</v>
      </c>
      <c r="M3" s="42" t="s">
        <v>2484</v>
      </c>
      <c r="N3" s="42" t="s">
        <v>2485</v>
      </c>
      <c r="O3" s="42" t="s">
        <v>2486</v>
      </c>
      <c r="P3" s="42" t="s">
        <v>2487</v>
      </c>
      <c r="Q3" s="42" t="s">
        <v>2488</v>
      </c>
      <c r="R3" s="42" t="s">
        <v>2489</v>
      </c>
      <c r="S3" s="42" t="s">
        <v>2490</v>
      </c>
      <c r="T3" s="42" t="s">
        <v>2491</v>
      </c>
      <c r="U3" s="42" t="s">
        <v>2492</v>
      </c>
      <c r="V3" s="42" t="s">
        <v>2493</v>
      </c>
      <c r="W3" s="42" t="s">
        <v>2494</v>
      </c>
      <c r="X3" s="42" t="s">
        <v>2495</v>
      </c>
      <c r="Y3" s="42" t="s">
        <v>2496</v>
      </c>
      <c r="Z3" s="42" t="s">
        <v>2497</v>
      </c>
      <c r="AA3" s="42" t="s">
        <v>2498</v>
      </c>
      <c r="AB3" s="42" t="s">
        <v>2499</v>
      </c>
      <c r="AC3" s="42" t="s">
        <v>2500</v>
      </c>
      <c r="AD3" s="42" t="s">
        <v>2501</v>
      </c>
      <c r="AE3" s="42" t="s">
        <v>2502</v>
      </c>
      <c r="AF3" s="42" t="s">
        <v>2503</v>
      </c>
      <c r="AG3" s="42" t="s">
        <v>2504</v>
      </c>
      <c r="AH3" s="42" t="s">
        <v>2505</v>
      </c>
      <c r="AI3" s="42" t="s">
        <v>2506</v>
      </c>
      <c r="AJ3" s="42" t="s">
        <v>2507</v>
      </c>
    </row>
    <row r="4" spans="1:36" x14ac:dyDescent="0.25">
      <c r="A4" t="str">
        <f t="shared" ref="A4:A67" si="0">"Department of Communications"</f>
        <v>Department of Communications</v>
      </c>
      <c r="B4" t="str">
        <f>""</f>
        <v/>
      </c>
      <c r="C4" t="str">
        <f>"CN2497291"</f>
        <v>CN2497291</v>
      </c>
      <c r="D4" t="str">
        <f>"Thomas Lonsdale"</f>
        <v>Thomas Lonsdale</v>
      </c>
      <c r="E4" s="44">
        <v>41864.474305555559</v>
      </c>
      <c r="F4" t="s">
        <v>2508</v>
      </c>
      <c r="G4" t="str">
        <f t="shared" ref="G4:G67" si="1">"published"</f>
        <v>published</v>
      </c>
      <c r="H4" s="45">
        <v>39759</v>
      </c>
      <c r="I4" s="45">
        <v>42185</v>
      </c>
      <c r="J4" s="46">
        <v>63398</v>
      </c>
      <c r="K4" t="s">
        <v>2275</v>
      </c>
      <c r="L4" t="str">
        <f>"0004600099"</f>
        <v>0004600099</v>
      </c>
      <c r="M4" t="str">
        <f>"Legal services"</f>
        <v>Legal services</v>
      </c>
      <c r="N4" t="str">
        <f t="shared" ref="N4:N13" si="2">"Open tender"</f>
        <v>Open tender</v>
      </c>
      <c r="O4" t="str">
        <f>"DCON/06/45"</f>
        <v>DCON/06/45</v>
      </c>
      <c r="P4" t="str">
        <f>"SON339"</f>
        <v>SON339</v>
      </c>
      <c r="Q4" t="str">
        <f t="shared" ref="Q4:Q16" si="3">"No"</f>
        <v>No</v>
      </c>
      <c r="R4" t="str">
        <f>""</f>
        <v/>
      </c>
      <c r="S4" t="str">
        <f t="shared" ref="S4:S12" si="4">"No"</f>
        <v>No</v>
      </c>
      <c r="T4" t="str">
        <f>""</f>
        <v/>
      </c>
      <c r="U4" t="str">
        <f>"Yes"</f>
        <v>Yes</v>
      </c>
      <c r="V4" t="str">
        <f>"Need for specialised or professional skills"</f>
        <v>Need for specialised or professional skills</v>
      </c>
      <c r="X4" t="str">
        <f>"Minter Ellison Lawyers"</f>
        <v>Minter Ellison Lawyers</v>
      </c>
      <c r="Y4" t="str">
        <f>"25 National Cct"</f>
        <v>25 National Cct</v>
      </c>
      <c r="Z4" t="str">
        <f>"Forrest"</f>
        <v>Forrest</v>
      </c>
      <c r="AA4" t="str">
        <f>"2603"</f>
        <v>2603</v>
      </c>
      <c r="AB4" t="str">
        <f t="shared" ref="AB4:AB12" si="5">"Australia"</f>
        <v>Australia</v>
      </c>
      <c r="AC4" t="str">
        <f t="shared" ref="AC4:AC35" si="6">"No"</f>
        <v>No</v>
      </c>
      <c r="AD4" t="str">
        <f>"91556716819"</f>
        <v>91556716819</v>
      </c>
      <c r="AE4" t="str">
        <f t="shared" ref="AE4:AE15" si="7">"ADMIN OFFICER"</f>
        <v>ADMIN OFFICER</v>
      </c>
      <c r="AF4" t="str">
        <f t="shared" ref="AF4:AF15" si="8">"(02) 6271 1000"</f>
        <v>(02) 6271 1000</v>
      </c>
      <c r="AG4" t="str">
        <f>""</f>
        <v/>
      </c>
      <c r="AH4" t="str">
        <f>""</f>
        <v/>
      </c>
      <c r="AI4" t="str">
        <f>"LEGAL SERVICES [OLD] Legal Group"</f>
        <v>LEGAL SERVICES [OLD] Legal Group</v>
      </c>
      <c r="AJ4" t="str">
        <f t="shared" ref="AJ4:AJ37" si="9">"2603"</f>
        <v>2603</v>
      </c>
    </row>
    <row r="5" spans="1:36" x14ac:dyDescent="0.25">
      <c r="A5" t="str">
        <f t="shared" si="0"/>
        <v>Department of Communications</v>
      </c>
      <c r="B5" t="str">
        <f>""</f>
        <v/>
      </c>
      <c r="C5" t="str">
        <f>"CN2800762"</f>
        <v>CN2800762</v>
      </c>
      <c r="D5" t="str">
        <f>"David Kenny"</f>
        <v>David Kenny</v>
      </c>
      <c r="E5" s="44">
        <v>42019.470138888886</v>
      </c>
      <c r="F5" t="s">
        <v>2508</v>
      </c>
      <c r="G5" t="str">
        <f t="shared" si="1"/>
        <v>published</v>
      </c>
      <c r="H5" s="45">
        <v>39759</v>
      </c>
      <c r="I5" s="45">
        <v>42185</v>
      </c>
      <c r="J5" s="46">
        <v>30000</v>
      </c>
      <c r="K5" t="s">
        <v>2275</v>
      </c>
      <c r="L5" t="str">
        <f>"0004600099"</f>
        <v>0004600099</v>
      </c>
      <c r="M5" t="str">
        <f>"Legal services"</f>
        <v>Legal services</v>
      </c>
      <c r="N5" t="str">
        <f t="shared" si="2"/>
        <v>Open tender</v>
      </c>
      <c r="O5" t="str">
        <f>"DCON/06/45"</f>
        <v>DCON/06/45</v>
      </c>
      <c r="P5" t="str">
        <f>"SON339"</f>
        <v>SON339</v>
      </c>
      <c r="Q5" t="str">
        <f t="shared" si="3"/>
        <v>No</v>
      </c>
      <c r="R5" t="str">
        <f>""</f>
        <v/>
      </c>
      <c r="S5" t="str">
        <f t="shared" si="4"/>
        <v>No</v>
      </c>
      <c r="T5" t="str">
        <f>""</f>
        <v/>
      </c>
      <c r="U5" t="str">
        <f>"Yes"</f>
        <v>Yes</v>
      </c>
      <c r="V5" t="str">
        <f>"Need for specialised or professional skills"</f>
        <v>Need for specialised or professional skills</v>
      </c>
      <c r="X5" t="str">
        <f>"Minter Ellison Lawyers"</f>
        <v>Minter Ellison Lawyers</v>
      </c>
      <c r="Y5" t="str">
        <f>"25 National Cct"</f>
        <v>25 National Cct</v>
      </c>
      <c r="Z5" t="str">
        <f>"Forrest"</f>
        <v>Forrest</v>
      </c>
      <c r="AA5" t="str">
        <f>"2603"</f>
        <v>2603</v>
      </c>
      <c r="AB5" t="str">
        <f t="shared" si="5"/>
        <v>Australia</v>
      </c>
      <c r="AC5" t="str">
        <f t="shared" si="6"/>
        <v>No</v>
      </c>
      <c r="AD5" t="str">
        <f>"91556716819"</f>
        <v>91556716819</v>
      </c>
      <c r="AE5" t="str">
        <f t="shared" si="7"/>
        <v>ADMIN OFFICER</v>
      </c>
      <c r="AF5" t="str">
        <f t="shared" si="8"/>
        <v>(02) 6271 1000</v>
      </c>
      <c r="AG5" t="str">
        <f>""</f>
        <v/>
      </c>
      <c r="AH5" t="str">
        <f>""</f>
        <v/>
      </c>
      <c r="AI5" t="str">
        <f>"LEGAL SERVICES [OLD] Legal Group"</f>
        <v>LEGAL SERVICES [OLD] Legal Group</v>
      </c>
      <c r="AJ5" t="str">
        <f t="shared" si="9"/>
        <v>2603</v>
      </c>
    </row>
    <row r="6" spans="1:36" x14ac:dyDescent="0.25">
      <c r="A6" t="str">
        <f t="shared" si="0"/>
        <v>Department of Communications</v>
      </c>
      <c r="B6" t="str">
        <f>""</f>
        <v/>
      </c>
      <c r="C6" t="str">
        <f>"CN2988832"</f>
        <v>CN2988832</v>
      </c>
      <c r="D6" t="str">
        <f>"Leesa O'connor"</f>
        <v>Leesa O'connor</v>
      </c>
      <c r="E6" s="44">
        <v>42109.617361111108</v>
      </c>
      <c r="F6" t="s">
        <v>2508</v>
      </c>
      <c r="G6" t="str">
        <f t="shared" si="1"/>
        <v>published</v>
      </c>
      <c r="H6" s="45">
        <v>39759</v>
      </c>
      <c r="I6" s="45">
        <v>42185</v>
      </c>
      <c r="J6" s="46">
        <v>240000</v>
      </c>
      <c r="K6" t="s">
        <v>2275</v>
      </c>
      <c r="L6" t="str">
        <f>"0004600099"</f>
        <v>0004600099</v>
      </c>
      <c r="M6" t="str">
        <f>"Legal services"</f>
        <v>Legal services</v>
      </c>
      <c r="N6" t="str">
        <f t="shared" si="2"/>
        <v>Open tender</v>
      </c>
      <c r="O6" t="str">
        <f>"DCON/06/45"</f>
        <v>DCON/06/45</v>
      </c>
      <c r="P6" t="str">
        <f>"SON339"</f>
        <v>SON339</v>
      </c>
      <c r="Q6" t="str">
        <f t="shared" si="3"/>
        <v>No</v>
      </c>
      <c r="R6" t="str">
        <f>""</f>
        <v/>
      </c>
      <c r="S6" t="str">
        <f t="shared" si="4"/>
        <v>No</v>
      </c>
      <c r="T6" t="str">
        <f>""</f>
        <v/>
      </c>
      <c r="U6" t="str">
        <f>"Yes"</f>
        <v>Yes</v>
      </c>
      <c r="V6" t="str">
        <f>"Need for specialised or professional skills"</f>
        <v>Need for specialised or professional skills</v>
      </c>
      <c r="X6" t="str">
        <f>"Minter Ellison Lawyers"</f>
        <v>Minter Ellison Lawyers</v>
      </c>
      <c r="Y6" t="str">
        <f>"25 National Cct"</f>
        <v>25 National Cct</v>
      </c>
      <c r="Z6" t="str">
        <f>"Forrest"</f>
        <v>Forrest</v>
      </c>
      <c r="AA6" t="str">
        <f>"2603"</f>
        <v>2603</v>
      </c>
      <c r="AB6" t="str">
        <f t="shared" si="5"/>
        <v>Australia</v>
      </c>
      <c r="AC6" t="str">
        <f t="shared" si="6"/>
        <v>No</v>
      </c>
      <c r="AD6" t="str">
        <f>"91556716819"</f>
        <v>91556716819</v>
      </c>
      <c r="AE6" t="str">
        <f t="shared" si="7"/>
        <v>ADMIN OFFICER</v>
      </c>
      <c r="AF6" t="str">
        <f t="shared" si="8"/>
        <v>(02) 6271 1000</v>
      </c>
      <c r="AG6" t="str">
        <f>""</f>
        <v/>
      </c>
      <c r="AH6" t="str">
        <f>""</f>
        <v/>
      </c>
      <c r="AI6" t="str">
        <f>"LEGAL SERVICES [OLD] Legal Group"</f>
        <v>LEGAL SERVICES [OLD] Legal Group</v>
      </c>
      <c r="AJ6" t="str">
        <f t="shared" si="9"/>
        <v>2603</v>
      </c>
    </row>
    <row r="7" spans="1:36" x14ac:dyDescent="0.25">
      <c r="A7" t="str">
        <f t="shared" si="0"/>
        <v>Department of Communications</v>
      </c>
      <c r="B7" t="str">
        <f>""</f>
        <v/>
      </c>
      <c r="C7" t="str">
        <f>"CN2756852"</f>
        <v>CN2756852</v>
      </c>
      <c r="D7" t="str">
        <f>"David Kenny"</f>
        <v>David Kenny</v>
      </c>
      <c r="E7" s="44">
        <v>41990.524305555555</v>
      </c>
      <c r="F7" t="s">
        <v>2508</v>
      </c>
      <c r="G7" t="str">
        <f t="shared" si="1"/>
        <v>published</v>
      </c>
      <c r="H7" s="45">
        <v>39759</v>
      </c>
      <c r="I7" s="45">
        <v>42185</v>
      </c>
      <c r="J7" s="46">
        <v>40000</v>
      </c>
      <c r="K7" t="s">
        <v>2275</v>
      </c>
      <c r="L7" t="str">
        <f>"0004600099"</f>
        <v>0004600099</v>
      </c>
      <c r="M7" t="str">
        <f>"Legal services"</f>
        <v>Legal services</v>
      </c>
      <c r="N7" t="str">
        <f t="shared" si="2"/>
        <v>Open tender</v>
      </c>
      <c r="O7" t="str">
        <f>"DCON/06/45"</f>
        <v>DCON/06/45</v>
      </c>
      <c r="P7" t="str">
        <f>"SON339"</f>
        <v>SON339</v>
      </c>
      <c r="Q7" t="str">
        <f t="shared" si="3"/>
        <v>No</v>
      </c>
      <c r="R7" t="str">
        <f>""</f>
        <v/>
      </c>
      <c r="S7" t="str">
        <f t="shared" si="4"/>
        <v>No</v>
      </c>
      <c r="T7" t="str">
        <f>""</f>
        <v/>
      </c>
      <c r="U7" t="str">
        <f>"Yes"</f>
        <v>Yes</v>
      </c>
      <c r="V7" t="str">
        <f>"Need for specialised or professional skills"</f>
        <v>Need for specialised or professional skills</v>
      </c>
      <c r="X7" t="str">
        <f>"Minter Ellison Lawyers"</f>
        <v>Minter Ellison Lawyers</v>
      </c>
      <c r="Y7" t="str">
        <f>"25 National Cct"</f>
        <v>25 National Cct</v>
      </c>
      <c r="Z7" t="str">
        <f>"Forrest"</f>
        <v>Forrest</v>
      </c>
      <c r="AA7" t="str">
        <f>"2603"</f>
        <v>2603</v>
      </c>
      <c r="AB7" t="str">
        <f t="shared" si="5"/>
        <v>Australia</v>
      </c>
      <c r="AC7" t="str">
        <f t="shared" si="6"/>
        <v>No</v>
      </c>
      <c r="AD7" t="str">
        <f>"91556716819"</f>
        <v>91556716819</v>
      </c>
      <c r="AE7" t="str">
        <f t="shared" si="7"/>
        <v>ADMIN OFFICER</v>
      </c>
      <c r="AF7" t="str">
        <f t="shared" si="8"/>
        <v>(02) 6271 1000</v>
      </c>
      <c r="AG7" t="str">
        <f>""</f>
        <v/>
      </c>
      <c r="AH7" t="str">
        <f>""</f>
        <v/>
      </c>
      <c r="AI7" t="str">
        <f>"LEGAL SERVICES [OLD] Legal Group"</f>
        <v>LEGAL SERVICES [OLD] Legal Group</v>
      </c>
      <c r="AJ7" t="str">
        <f t="shared" si="9"/>
        <v>2603</v>
      </c>
    </row>
    <row r="8" spans="1:36" x14ac:dyDescent="0.25">
      <c r="A8" t="str">
        <f t="shared" si="0"/>
        <v>Department of Communications</v>
      </c>
      <c r="B8" t="str">
        <f>""</f>
        <v/>
      </c>
      <c r="C8" t="str">
        <f>"CN2935512"</f>
        <v>CN2935512</v>
      </c>
      <c r="D8" t="str">
        <f>"Leesa O'connor"</f>
        <v>Leesa O'connor</v>
      </c>
      <c r="E8" s="44">
        <v>42086.618055555555</v>
      </c>
      <c r="F8" t="s">
        <v>2508</v>
      </c>
      <c r="G8" t="str">
        <f t="shared" si="1"/>
        <v>published</v>
      </c>
      <c r="H8" s="45">
        <v>39759</v>
      </c>
      <c r="I8" s="45">
        <v>42185</v>
      </c>
      <c r="J8" s="46">
        <v>515000</v>
      </c>
      <c r="K8" t="s">
        <v>2275</v>
      </c>
      <c r="L8" t="str">
        <f>"0004600099"</f>
        <v>0004600099</v>
      </c>
      <c r="M8" t="str">
        <f>"Legal services"</f>
        <v>Legal services</v>
      </c>
      <c r="N8" t="str">
        <f t="shared" si="2"/>
        <v>Open tender</v>
      </c>
      <c r="O8" t="str">
        <f>"DCON/06/45"</f>
        <v>DCON/06/45</v>
      </c>
      <c r="P8" t="str">
        <f>"SON339"</f>
        <v>SON339</v>
      </c>
      <c r="Q8" t="str">
        <f t="shared" si="3"/>
        <v>No</v>
      </c>
      <c r="R8" t="str">
        <f>""</f>
        <v/>
      </c>
      <c r="S8" t="str">
        <f t="shared" si="4"/>
        <v>No</v>
      </c>
      <c r="T8" t="str">
        <f>""</f>
        <v/>
      </c>
      <c r="U8" t="str">
        <f>"Yes"</f>
        <v>Yes</v>
      </c>
      <c r="V8" t="str">
        <f>"Need for specialised or professional skills"</f>
        <v>Need for specialised or professional skills</v>
      </c>
      <c r="X8" t="str">
        <f>"Minter Ellison Lawyers"</f>
        <v>Minter Ellison Lawyers</v>
      </c>
      <c r="Y8" t="str">
        <f>"25 National Cct"</f>
        <v>25 National Cct</v>
      </c>
      <c r="Z8" t="str">
        <f>"Forrest"</f>
        <v>Forrest</v>
      </c>
      <c r="AA8" t="str">
        <f>"2603"</f>
        <v>2603</v>
      </c>
      <c r="AB8" t="str">
        <f t="shared" si="5"/>
        <v>Australia</v>
      </c>
      <c r="AC8" t="str">
        <f t="shared" si="6"/>
        <v>No</v>
      </c>
      <c r="AD8" t="str">
        <f>"91556716819"</f>
        <v>91556716819</v>
      </c>
      <c r="AE8" t="str">
        <f t="shared" si="7"/>
        <v>ADMIN OFFICER</v>
      </c>
      <c r="AF8" t="str">
        <f t="shared" si="8"/>
        <v>(02) 6271 1000</v>
      </c>
      <c r="AG8" t="str">
        <f>""</f>
        <v/>
      </c>
      <c r="AH8" t="str">
        <f>""</f>
        <v/>
      </c>
      <c r="AI8" t="str">
        <f>"LEGAL SERVICES [OLD] Legal Group"</f>
        <v>LEGAL SERVICES [OLD] Legal Group</v>
      </c>
      <c r="AJ8" t="str">
        <f t="shared" si="9"/>
        <v>2603</v>
      </c>
    </row>
    <row r="9" spans="1:36" x14ac:dyDescent="0.25">
      <c r="A9" t="str">
        <f t="shared" si="0"/>
        <v>Department of Communications</v>
      </c>
      <c r="B9" t="str">
        <f>""</f>
        <v/>
      </c>
      <c r="C9" t="str">
        <f>"CN2440162"</f>
        <v>CN2440162</v>
      </c>
      <c r="D9" t="str">
        <f>"Thomas Lonsdale"</f>
        <v>Thomas Lonsdale</v>
      </c>
      <c r="E9" s="44">
        <v>41843.574999999997</v>
      </c>
      <c r="F9" t="s">
        <v>2508</v>
      </c>
      <c r="G9" t="str">
        <f t="shared" si="1"/>
        <v>published</v>
      </c>
      <c r="H9" s="45">
        <v>40721</v>
      </c>
      <c r="I9" s="45">
        <v>42185</v>
      </c>
      <c r="J9" s="46">
        <v>314360</v>
      </c>
      <c r="K9" t="s">
        <v>1074</v>
      </c>
      <c r="L9" t="str">
        <f>"0004601430"</f>
        <v>0004601430</v>
      </c>
      <c r="M9" t="str">
        <f>"Cleaning and janitorial services"</f>
        <v>Cleaning and janitorial services</v>
      </c>
      <c r="N9" t="str">
        <f t="shared" si="2"/>
        <v>Open tender</v>
      </c>
      <c r="O9" t="str">
        <f>"ATM/07/253"</f>
        <v>ATM/07/253</v>
      </c>
      <c r="Q9" t="str">
        <f t="shared" si="3"/>
        <v>No</v>
      </c>
      <c r="R9" t="str">
        <f>""</f>
        <v/>
      </c>
      <c r="S9" t="str">
        <f t="shared" si="4"/>
        <v>No</v>
      </c>
      <c r="T9" t="str">
        <f>""</f>
        <v/>
      </c>
      <c r="U9" t="str">
        <f>"No"</f>
        <v>No</v>
      </c>
      <c r="V9" t="str">
        <f>""</f>
        <v/>
      </c>
      <c r="X9" t="str">
        <f>"QUAD SERVICES PTY LTD"</f>
        <v>QUAD SERVICES PTY LTD</v>
      </c>
      <c r="Y9" t="str">
        <f>"12 Carlotta Street"</f>
        <v>12 Carlotta Street</v>
      </c>
      <c r="Z9" t="str">
        <f>"ARTARMON"</f>
        <v>ARTARMON</v>
      </c>
      <c r="AA9" t="str">
        <f>"2064"</f>
        <v>2064</v>
      </c>
      <c r="AB9" t="str">
        <f t="shared" si="5"/>
        <v>Australia</v>
      </c>
      <c r="AC9" t="str">
        <f t="shared" si="6"/>
        <v>No</v>
      </c>
      <c r="AD9" t="str">
        <f>"58000308592"</f>
        <v>58000308592</v>
      </c>
      <c r="AE9" t="str">
        <f t="shared" si="7"/>
        <v>ADMIN OFFICER</v>
      </c>
      <c r="AF9" t="str">
        <f t="shared" si="8"/>
        <v>(02) 6271 1000</v>
      </c>
      <c r="AG9" t="str">
        <f>""</f>
        <v/>
      </c>
      <c r="AH9" t="str">
        <f>""</f>
        <v/>
      </c>
      <c r="AI9" t="str">
        <f>"CORPORATE AND BUSINESS [OLD] Corporate and Business Division"</f>
        <v>CORPORATE AND BUSINESS [OLD] Corporate and Business Division</v>
      </c>
      <c r="AJ9" t="str">
        <f t="shared" si="9"/>
        <v>2603</v>
      </c>
    </row>
    <row r="10" spans="1:36" x14ac:dyDescent="0.25">
      <c r="A10" t="str">
        <f t="shared" si="0"/>
        <v>Department of Communications</v>
      </c>
      <c r="B10" t="str">
        <f>""</f>
        <v/>
      </c>
      <c r="C10" t="str">
        <f>"CN3139752"</f>
        <v>CN3139752</v>
      </c>
      <c r="D10" t="str">
        <f>"David Kenny"</f>
        <v>David Kenny</v>
      </c>
      <c r="E10" s="44">
        <v>42164.625</v>
      </c>
      <c r="F10" t="s">
        <v>2508</v>
      </c>
      <c r="G10" t="str">
        <f t="shared" si="1"/>
        <v>published</v>
      </c>
      <c r="H10" s="45">
        <v>40725</v>
      </c>
      <c r="I10" s="45">
        <v>42551</v>
      </c>
      <c r="J10" s="46">
        <v>156745.60000000001</v>
      </c>
      <c r="K10" t="s">
        <v>1078</v>
      </c>
      <c r="L10" t="str">
        <f>"0004601453"</f>
        <v>0004601453</v>
      </c>
      <c r="M10" t="str">
        <f>"Utilities"</f>
        <v>Utilities</v>
      </c>
      <c r="N10" t="str">
        <f t="shared" si="2"/>
        <v>Open tender</v>
      </c>
      <c r="O10" t="str">
        <f>"RFT DES/2011/WOG/01"</f>
        <v>RFT DES/2011/WOG/01</v>
      </c>
      <c r="P10" t="str">
        <f>"SON387299"</f>
        <v>SON387299</v>
      </c>
      <c r="Q10" t="str">
        <f t="shared" si="3"/>
        <v>No</v>
      </c>
      <c r="R10" t="str">
        <f>""</f>
        <v/>
      </c>
      <c r="S10" t="str">
        <f t="shared" si="4"/>
        <v>No</v>
      </c>
      <c r="T10" t="str">
        <f>""</f>
        <v/>
      </c>
      <c r="U10" t="str">
        <f>"No"</f>
        <v>No</v>
      </c>
      <c r="V10" t="str">
        <f>""</f>
        <v/>
      </c>
      <c r="X10" t="str">
        <f>"ERM Power Retail Pty Ltd"</f>
        <v>ERM Power Retail Pty Ltd</v>
      </c>
      <c r="Y10" t="str">
        <f>"PO Box 7152"</f>
        <v>PO Box 7152</v>
      </c>
      <c r="Z10" t="str">
        <f>"Riverside Centre"</f>
        <v>Riverside Centre</v>
      </c>
      <c r="AA10" t="str">
        <f>"4000"</f>
        <v>4000</v>
      </c>
      <c r="AB10" t="str">
        <f t="shared" si="5"/>
        <v>Australia</v>
      </c>
      <c r="AC10" t="str">
        <f t="shared" si="6"/>
        <v>No</v>
      </c>
      <c r="AD10" t="str">
        <f>"87126175460"</f>
        <v>87126175460</v>
      </c>
      <c r="AE10" t="str">
        <f t="shared" si="7"/>
        <v>ADMIN OFFICER</v>
      </c>
      <c r="AF10" t="str">
        <f t="shared" si="8"/>
        <v>(02) 6271 1000</v>
      </c>
      <c r="AG10" t="str">
        <f>""</f>
        <v/>
      </c>
      <c r="AH10" t="str">
        <f>""</f>
        <v/>
      </c>
      <c r="AI10" t="str">
        <f>"CORPORATE Corporate Division"</f>
        <v>CORPORATE Corporate Division</v>
      </c>
      <c r="AJ10" t="str">
        <f t="shared" si="9"/>
        <v>2603</v>
      </c>
    </row>
    <row r="11" spans="1:36" x14ac:dyDescent="0.25">
      <c r="A11" t="str">
        <f t="shared" si="0"/>
        <v>Department of Communications</v>
      </c>
      <c r="B11" t="str">
        <f>""</f>
        <v/>
      </c>
      <c r="C11" t="str">
        <f>"CN2819602"</f>
        <v>CN2819602</v>
      </c>
      <c r="D11" t="str">
        <f>"David Kenny"</f>
        <v>David Kenny</v>
      </c>
      <c r="E11" s="44">
        <v>42031.442361111112</v>
      </c>
      <c r="F11" t="s">
        <v>2508</v>
      </c>
      <c r="G11" t="str">
        <f t="shared" si="1"/>
        <v>published</v>
      </c>
      <c r="H11" s="45">
        <v>40725</v>
      </c>
      <c r="I11" s="45">
        <v>42185</v>
      </c>
      <c r="J11" s="46">
        <v>48983</v>
      </c>
      <c r="K11" t="s">
        <v>1078</v>
      </c>
      <c r="L11" t="str">
        <f>"0004601453"</f>
        <v>0004601453</v>
      </c>
      <c r="M11" t="str">
        <f>"Utilities"</f>
        <v>Utilities</v>
      </c>
      <c r="N11" t="str">
        <f t="shared" si="2"/>
        <v>Open tender</v>
      </c>
      <c r="O11" t="str">
        <f>"RFT DES/2011/WOG/01"</f>
        <v>RFT DES/2011/WOG/01</v>
      </c>
      <c r="P11" t="str">
        <f>"SON387299"</f>
        <v>SON387299</v>
      </c>
      <c r="Q11" t="str">
        <f t="shared" si="3"/>
        <v>No</v>
      </c>
      <c r="R11" t="str">
        <f>""</f>
        <v/>
      </c>
      <c r="S11" t="str">
        <f t="shared" si="4"/>
        <v>No</v>
      </c>
      <c r="T11" t="str">
        <f>""</f>
        <v/>
      </c>
      <c r="U11" t="str">
        <f>"No"</f>
        <v>No</v>
      </c>
      <c r="V11" t="str">
        <f>""</f>
        <v/>
      </c>
      <c r="X11" t="str">
        <f>"ERM Power Retail Pty Ltd"</f>
        <v>ERM Power Retail Pty Ltd</v>
      </c>
      <c r="Y11" t="str">
        <f>"PO Box 7152"</f>
        <v>PO Box 7152</v>
      </c>
      <c r="Z11" t="str">
        <f>"Riverside Centre"</f>
        <v>Riverside Centre</v>
      </c>
      <c r="AA11" t="str">
        <f>"4000"</f>
        <v>4000</v>
      </c>
      <c r="AB11" t="str">
        <f t="shared" si="5"/>
        <v>Australia</v>
      </c>
      <c r="AC11" t="str">
        <f t="shared" si="6"/>
        <v>No</v>
      </c>
      <c r="AD11" t="str">
        <f>"87126175460"</f>
        <v>87126175460</v>
      </c>
      <c r="AE11" t="str">
        <f t="shared" si="7"/>
        <v>ADMIN OFFICER</v>
      </c>
      <c r="AF11" t="str">
        <f t="shared" si="8"/>
        <v>(02) 6271 1000</v>
      </c>
      <c r="AG11" t="str">
        <f>""</f>
        <v/>
      </c>
      <c r="AH11" t="str">
        <f>""</f>
        <v/>
      </c>
      <c r="AI11" t="str">
        <f>"CORPORATE Corporate Division"</f>
        <v>CORPORATE Corporate Division</v>
      </c>
      <c r="AJ11" t="str">
        <f t="shared" si="9"/>
        <v>2603</v>
      </c>
    </row>
    <row r="12" spans="1:36" x14ac:dyDescent="0.25">
      <c r="A12" t="str">
        <f t="shared" si="0"/>
        <v>Department of Communications</v>
      </c>
      <c r="B12" t="str">
        <f>""</f>
        <v/>
      </c>
      <c r="C12" t="str">
        <f>"CN2577861"</f>
        <v>CN2577861</v>
      </c>
      <c r="D12" t="str">
        <f>"David Kenny"</f>
        <v>David Kenny</v>
      </c>
      <c r="E12" s="44">
        <v>41901.636111111111</v>
      </c>
      <c r="F12" t="s">
        <v>2508</v>
      </c>
      <c r="G12" t="str">
        <f t="shared" si="1"/>
        <v>published</v>
      </c>
      <c r="H12" s="45">
        <v>41052</v>
      </c>
      <c r="I12" s="45">
        <v>41820</v>
      </c>
      <c r="J12" s="46">
        <v>14190</v>
      </c>
      <c r="K12" t="s">
        <v>2301</v>
      </c>
      <c r="L12" t="str">
        <f>"0004602575"</f>
        <v>0004602575</v>
      </c>
      <c r="M12" t="str">
        <f>"Legal services"</f>
        <v>Legal services</v>
      </c>
      <c r="N12" t="str">
        <f t="shared" si="2"/>
        <v>Open tender</v>
      </c>
      <c r="O12" t="str">
        <f>"DCON/10/65"</f>
        <v>DCON/10/65</v>
      </c>
      <c r="P12" t="str">
        <f>"SON347233"</f>
        <v>SON347233</v>
      </c>
      <c r="Q12" t="str">
        <f t="shared" si="3"/>
        <v>No</v>
      </c>
      <c r="R12" t="str">
        <f>""</f>
        <v/>
      </c>
      <c r="S12" t="str">
        <f t="shared" si="4"/>
        <v>No</v>
      </c>
      <c r="T12" t="str">
        <f>""</f>
        <v/>
      </c>
      <c r="U12" t="str">
        <f>"Yes"</f>
        <v>Yes</v>
      </c>
      <c r="V12" t="str">
        <f>"Need for specialised or professional skills"</f>
        <v>Need for specialised or professional skills</v>
      </c>
      <c r="X12" t="str">
        <f>"AUSTRALIAN GOVERNMENT SOLICITOR"</f>
        <v>AUSTRALIAN GOVERNMENT SOLICITOR</v>
      </c>
      <c r="Y12" t="str">
        <f>"Locked Bag 7246"</f>
        <v>Locked Bag 7246</v>
      </c>
      <c r="Z12" t="str">
        <f>"Canberra Mail Centre"</f>
        <v>Canberra Mail Centre</v>
      </c>
      <c r="AA12" t="str">
        <f>"2610"</f>
        <v>2610</v>
      </c>
      <c r="AB12" t="str">
        <f t="shared" si="5"/>
        <v>Australia</v>
      </c>
      <c r="AC12" t="str">
        <f t="shared" si="6"/>
        <v>No</v>
      </c>
      <c r="AD12" t="str">
        <f>"69405937639"</f>
        <v>69405937639</v>
      </c>
      <c r="AE12" t="str">
        <f t="shared" si="7"/>
        <v>ADMIN OFFICER</v>
      </c>
      <c r="AF12" t="str">
        <f t="shared" si="8"/>
        <v>(02) 6271 1000</v>
      </c>
      <c r="AG12" t="str">
        <f>""</f>
        <v/>
      </c>
      <c r="AH12" t="str">
        <f>""</f>
        <v/>
      </c>
      <c r="AI12" t="str">
        <f>"LEGAL SERVICES [OLD] Legal Group"</f>
        <v>LEGAL SERVICES [OLD] Legal Group</v>
      </c>
      <c r="AJ12" t="str">
        <f t="shared" si="9"/>
        <v>2603</v>
      </c>
    </row>
    <row r="13" spans="1:36" x14ac:dyDescent="0.25">
      <c r="A13" t="str">
        <f t="shared" si="0"/>
        <v>Department of Communications</v>
      </c>
      <c r="B13" t="str">
        <f>""</f>
        <v/>
      </c>
      <c r="C13" t="str">
        <f>"CN2675062"</f>
        <v>CN2675062</v>
      </c>
      <c r="D13" t="str">
        <f>"Robert McGlynn"</f>
        <v>Robert McGlynn</v>
      </c>
      <c r="E13" s="44">
        <v>41955.359027777777</v>
      </c>
      <c r="F13" t="s">
        <v>2508</v>
      </c>
      <c r="G13" t="str">
        <f t="shared" si="1"/>
        <v>published</v>
      </c>
      <c r="H13" s="45">
        <v>41132</v>
      </c>
      <c r="I13" s="45">
        <v>42004</v>
      </c>
      <c r="J13" s="46">
        <v>10950</v>
      </c>
      <c r="K13" t="s">
        <v>2509</v>
      </c>
      <c r="L13" t="str">
        <f>"0004603022"</f>
        <v>0004603022</v>
      </c>
      <c r="M13" t="str">
        <f>"Legal services"</f>
        <v>Legal services</v>
      </c>
      <c r="N13" t="str">
        <f t="shared" si="2"/>
        <v>Open tender</v>
      </c>
      <c r="O13" t="str">
        <f>"DCON/10/65"</f>
        <v>DCON/10/65</v>
      </c>
      <c r="P13" t="str">
        <f>"SON347233"</f>
        <v>SON347233</v>
      </c>
      <c r="Q13" t="str">
        <f t="shared" si="3"/>
        <v>No</v>
      </c>
      <c r="R13" t="str">
        <f>""</f>
        <v/>
      </c>
      <c r="S13" t="str">
        <f>"Yes"</f>
        <v>Yes</v>
      </c>
      <c r="T13" t="str">
        <f>"Intellectual property"</f>
        <v>Intellectual property</v>
      </c>
      <c r="U13" t="str">
        <f>"Yes"</f>
        <v>Yes</v>
      </c>
      <c r="V13" t="str">
        <f>"Need for specialised or professional skills"</f>
        <v>Need for specialised or professional skills</v>
      </c>
      <c r="X13" t="str">
        <f>"AUSTRALIAN GOVERNMENT SOLICITOR"</f>
        <v>AUSTRALIAN GOVERNMENT SOLICITOR</v>
      </c>
      <c r="Y13" t="str">
        <f>"Locked Bag 7246"</f>
        <v>Locked Bag 7246</v>
      </c>
      <c r="Z13" t="str">
        <f>"Canberra Mail Centre"</f>
        <v>Canberra Mail Centre</v>
      </c>
      <c r="AA13" t="str">
        <f>"2610"</f>
        <v>2610</v>
      </c>
      <c r="AB13" t="str">
        <f>"AUSTRALIA"</f>
        <v>AUSTRALIA</v>
      </c>
      <c r="AC13" t="str">
        <f t="shared" si="6"/>
        <v>No</v>
      </c>
      <c r="AD13" t="str">
        <f>"69405937639"</f>
        <v>69405937639</v>
      </c>
      <c r="AE13" t="str">
        <f t="shared" si="7"/>
        <v>ADMIN OFFICER</v>
      </c>
      <c r="AF13" t="str">
        <f t="shared" si="8"/>
        <v>(02) 6271 1000</v>
      </c>
      <c r="AG13" t="str">
        <f>""</f>
        <v/>
      </c>
      <c r="AH13" t="str">
        <f>""</f>
        <v/>
      </c>
      <c r="AI13" t="str">
        <f>"LEGAL SERVICES [OLD] Legal Group"</f>
        <v>LEGAL SERVICES [OLD] Legal Group</v>
      </c>
      <c r="AJ13" t="str">
        <f t="shared" si="9"/>
        <v>2603</v>
      </c>
    </row>
    <row r="14" spans="1:36" x14ac:dyDescent="0.25">
      <c r="A14" t="str">
        <f t="shared" si="0"/>
        <v>Department of Communications</v>
      </c>
      <c r="B14" t="str">
        <f>""</f>
        <v/>
      </c>
      <c r="C14" t="str">
        <f>"CN3129542"</f>
        <v>CN3129542</v>
      </c>
      <c r="D14" t="str">
        <f>"Leesa O'connor"</f>
        <v>Leesa O'connor</v>
      </c>
      <c r="E14" s="44">
        <v>42160.527083333334</v>
      </c>
      <c r="F14" t="s">
        <v>2508</v>
      </c>
      <c r="G14" t="str">
        <f t="shared" si="1"/>
        <v>published</v>
      </c>
      <c r="H14" s="45">
        <v>41383</v>
      </c>
      <c r="I14" s="45">
        <v>42846</v>
      </c>
      <c r="J14" s="46">
        <v>79328</v>
      </c>
      <c r="K14" t="s">
        <v>1151</v>
      </c>
      <c r="L14" t="str">
        <f>"0004603609"</f>
        <v>0004603609</v>
      </c>
      <c r="M14" t="str">
        <f>"Security or access control systems"</f>
        <v>Security or access control systems</v>
      </c>
      <c r="N14" t="str">
        <f>"Limited tender"</f>
        <v>Limited tender</v>
      </c>
      <c r="O14" t="str">
        <f>""</f>
        <v/>
      </c>
      <c r="Q14" t="str">
        <f t="shared" si="3"/>
        <v>No</v>
      </c>
      <c r="R14" t="str">
        <f>""</f>
        <v/>
      </c>
      <c r="S14" t="str">
        <f>"No"</f>
        <v>No</v>
      </c>
      <c r="T14" t="str">
        <f>""</f>
        <v/>
      </c>
      <c r="U14" t="str">
        <f>"No"</f>
        <v>No</v>
      </c>
      <c r="V14" t="str">
        <f>""</f>
        <v/>
      </c>
      <c r="X14" t="str">
        <f>"Secom Technical Services"</f>
        <v>Secom Technical Services</v>
      </c>
      <c r="Y14" t="str">
        <f>"9 Penney Place"</f>
        <v>9 Penney Place</v>
      </c>
      <c r="Z14" t="str">
        <f>"Queanbeyan"</f>
        <v>Queanbeyan</v>
      </c>
      <c r="AA14" t="str">
        <f>"2620"</f>
        <v>2620</v>
      </c>
      <c r="AB14" t="str">
        <f>"Australia"</f>
        <v>Australia</v>
      </c>
      <c r="AC14" t="str">
        <f t="shared" si="6"/>
        <v>No</v>
      </c>
      <c r="AD14" t="str">
        <f>"97319699425"</f>
        <v>97319699425</v>
      </c>
      <c r="AE14" t="str">
        <f t="shared" si="7"/>
        <v>ADMIN OFFICER</v>
      </c>
      <c r="AF14" t="str">
        <f t="shared" si="8"/>
        <v>(02) 6271 1000</v>
      </c>
      <c r="AG14" t="str">
        <f>""</f>
        <v/>
      </c>
      <c r="AH14" t="str">
        <f>""</f>
        <v/>
      </c>
      <c r="AI14" t="str">
        <f>"CORPORATE Corporate Division"</f>
        <v>CORPORATE Corporate Division</v>
      </c>
      <c r="AJ14" t="str">
        <f t="shared" si="9"/>
        <v>2603</v>
      </c>
    </row>
    <row r="15" spans="1:36" x14ac:dyDescent="0.25">
      <c r="A15" t="str">
        <f t="shared" si="0"/>
        <v>Department of Communications</v>
      </c>
      <c r="B15" t="str">
        <f>""</f>
        <v/>
      </c>
      <c r="C15" t="str">
        <f>"CN2626971"</f>
        <v>CN2626971</v>
      </c>
      <c r="D15" t="str">
        <f>"David Kenny"</f>
        <v>David Kenny</v>
      </c>
      <c r="E15" s="44">
        <v>41929.376388888886</v>
      </c>
      <c r="F15" t="s">
        <v>2508</v>
      </c>
      <c r="G15" t="str">
        <f t="shared" si="1"/>
        <v>published</v>
      </c>
      <c r="H15" s="45">
        <v>41420</v>
      </c>
      <c r="I15" s="45">
        <v>41931</v>
      </c>
      <c r="J15" s="46">
        <v>53054.1</v>
      </c>
      <c r="K15" t="s">
        <v>1165</v>
      </c>
      <c r="L15" t="str">
        <f>"0004603694"</f>
        <v>0004603694</v>
      </c>
      <c r="M15" t="str">
        <f>"Enhanced telecommunications services"</f>
        <v>Enhanced telecommunications services</v>
      </c>
      <c r="N15" t="str">
        <f>"Limited tender"</f>
        <v>Limited tender</v>
      </c>
      <c r="O15" t="str">
        <f>""</f>
        <v/>
      </c>
      <c r="Q15" t="str">
        <f t="shared" si="3"/>
        <v>No</v>
      </c>
      <c r="R15" t="str">
        <f>""</f>
        <v/>
      </c>
      <c r="S15" t="str">
        <f>"No"</f>
        <v>No</v>
      </c>
      <c r="T15" t="str">
        <f>""</f>
        <v/>
      </c>
      <c r="U15" t="str">
        <f>"No"</f>
        <v>No</v>
      </c>
      <c r="V15" t="str">
        <f>""</f>
        <v/>
      </c>
      <c r="X15" t="str">
        <f>"MACQUARIE TELECOM"</f>
        <v>MACQUARIE TELECOM</v>
      </c>
      <c r="Y15" t="str">
        <f>"2 Market St"</f>
        <v>2 Market St</v>
      </c>
      <c r="Z15" t="str">
        <f>"SYDNEY"</f>
        <v>SYDNEY</v>
      </c>
      <c r="AA15" t="str">
        <f>"2000"</f>
        <v>2000</v>
      </c>
      <c r="AB15" t="str">
        <f>"Australia"</f>
        <v>Australia</v>
      </c>
      <c r="AC15" t="str">
        <f t="shared" si="6"/>
        <v>No</v>
      </c>
      <c r="AD15" t="str">
        <f>"21082930916"</f>
        <v>21082930916</v>
      </c>
      <c r="AE15" t="str">
        <f t="shared" si="7"/>
        <v>ADMIN OFFICER</v>
      </c>
      <c r="AF15" t="str">
        <f t="shared" si="8"/>
        <v>(02) 6271 1000</v>
      </c>
      <c r="AG15" t="str">
        <f>""</f>
        <v/>
      </c>
      <c r="AH15" t="str">
        <f>""</f>
        <v/>
      </c>
      <c r="AI15" t="str">
        <f>"CORPORATE Corporate Division"</f>
        <v>CORPORATE Corporate Division</v>
      </c>
      <c r="AJ15" t="str">
        <f t="shared" si="9"/>
        <v>2603</v>
      </c>
    </row>
    <row r="16" spans="1:36" x14ac:dyDescent="0.25">
      <c r="A16" t="str">
        <f t="shared" si="0"/>
        <v>Department of Communications</v>
      </c>
      <c r="B16" t="str">
        <f>""</f>
        <v/>
      </c>
      <c r="C16" t="str">
        <f>"CN2426322"</f>
        <v>CN2426322</v>
      </c>
      <c r="D16" t="str">
        <f>"Robert McGlynn"</f>
        <v>Robert McGlynn</v>
      </c>
      <c r="E16" s="44">
        <v>41837.464583333334</v>
      </c>
      <c r="F16" t="s">
        <v>2508</v>
      </c>
      <c r="G16" t="str">
        <f t="shared" si="1"/>
        <v>published</v>
      </c>
      <c r="H16" s="45">
        <v>41456</v>
      </c>
      <c r="I16" s="45">
        <v>41820</v>
      </c>
      <c r="J16" s="46">
        <v>163020</v>
      </c>
      <c r="K16" t="s">
        <v>2510</v>
      </c>
      <c r="L16" t="str">
        <f>"0004603793"</f>
        <v>0004603793</v>
      </c>
      <c r="M16" t="str">
        <f>"Software"</f>
        <v>Software</v>
      </c>
      <c r="N16" t="str">
        <f>"Open tender"</f>
        <v>Open tender</v>
      </c>
      <c r="O16" t="str">
        <f>"DCON/10/96"</f>
        <v>DCON/10/96</v>
      </c>
      <c r="P16" t="str">
        <f>"SON368749"</f>
        <v>SON368749</v>
      </c>
      <c r="Q16" t="str">
        <f t="shared" si="3"/>
        <v>No</v>
      </c>
      <c r="R16" t="str">
        <f>""</f>
        <v/>
      </c>
      <c r="S16" t="str">
        <f>"No"</f>
        <v>No</v>
      </c>
      <c r="T16" t="str">
        <f>""</f>
        <v/>
      </c>
      <c r="U16" t="str">
        <f>"No"</f>
        <v>No</v>
      </c>
      <c r="V16" t="str">
        <f>""</f>
        <v/>
      </c>
      <c r="X16" t="str">
        <f>"Haylix Pty Ltd"</f>
        <v>Haylix Pty Ltd</v>
      </c>
      <c r="Y16" t="str">
        <f>""</f>
        <v/>
      </c>
      <c r="Z16" t="str">
        <f>"Melbourne"</f>
        <v>Melbourne</v>
      </c>
      <c r="AA16" t="str">
        <f>"3004"</f>
        <v>3004</v>
      </c>
      <c r="AB16" t="str">
        <f>"AUSTRALIA"</f>
        <v>AUSTRALIA</v>
      </c>
      <c r="AC16" t="str">
        <f t="shared" si="6"/>
        <v>No</v>
      </c>
      <c r="AD16" t="str">
        <f>"67122582647"</f>
        <v>67122582647</v>
      </c>
      <c r="AE16" t="str">
        <f>"Admin Officer"</f>
        <v>Admin Officer</v>
      </c>
      <c r="AF16" t="str">
        <f>""</f>
        <v/>
      </c>
      <c r="AG16" t="str">
        <f>"contracts@communications.gov.au"</f>
        <v>contracts@communications.gov.au</v>
      </c>
      <c r="AH16" t="str">
        <f>""</f>
        <v/>
      </c>
      <c r="AI16" t="str">
        <f>""</f>
        <v/>
      </c>
      <c r="AJ16" t="str">
        <f t="shared" si="9"/>
        <v>2603</v>
      </c>
    </row>
    <row r="17" spans="1:36" x14ac:dyDescent="0.25">
      <c r="A17" t="str">
        <f t="shared" si="0"/>
        <v>Department of Communications</v>
      </c>
      <c r="B17" t="str">
        <f>""</f>
        <v/>
      </c>
      <c r="C17" t="str">
        <f>"CN2497281"</f>
        <v>CN2497281</v>
      </c>
      <c r="D17" t="str">
        <f>"Thomas Lonsdale"</f>
        <v>Thomas Lonsdale</v>
      </c>
      <c r="E17" s="44">
        <v>41864.474305555559</v>
      </c>
      <c r="F17" t="s">
        <v>2508</v>
      </c>
      <c r="G17" t="str">
        <f t="shared" si="1"/>
        <v>published</v>
      </c>
      <c r="H17" s="45">
        <v>41428</v>
      </c>
      <c r="I17" s="45">
        <v>41820</v>
      </c>
      <c r="J17" s="46">
        <v>15000</v>
      </c>
      <c r="K17" t="s">
        <v>2311</v>
      </c>
      <c r="L17" t="str">
        <f>"0004603796"</f>
        <v>0004603796</v>
      </c>
      <c r="M17" t="str">
        <f>"Legal services"</f>
        <v>Legal services</v>
      </c>
      <c r="N17" t="str">
        <f>"Prequalified tender"</f>
        <v>Prequalified tender</v>
      </c>
      <c r="O17" t="str">
        <f>""</f>
        <v/>
      </c>
      <c r="Q17" t="str">
        <f>"Yes"</f>
        <v>Yes</v>
      </c>
      <c r="R17" t="str">
        <f>"Intellectual property"</f>
        <v>Intellectual property</v>
      </c>
      <c r="S17" t="str">
        <f>"Yes"</f>
        <v>Yes</v>
      </c>
      <c r="T17" t="str">
        <f>"Intellectual property"</f>
        <v>Intellectual property</v>
      </c>
      <c r="U17" t="str">
        <f>"Yes"</f>
        <v>Yes</v>
      </c>
      <c r="V17" t="str">
        <f>"Skills currently unavailable within agency"</f>
        <v>Skills currently unavailable within agency</v>
      </c>
      <c r="X17" t="str">
        <f>"AUSTRALIAN GOVERNMENT SOLICITOR"</f>
        <v>AUSTRALIAN GOVERNMENT SOLICITOR</v>
      </c>
      <c r="Y17" t="str">
        <f>"Locked Bag 7246"</f>
        <v>Locked Bag 7246</v>
      </c>
      <c r="Z17" t="str">
        <f>"Canberra Mail Centre"</f>
        <v>Canberra Mail Centre</v>
      </c>
      <c r="AA17" t="str">
        <f>"2610"</f>
        <v>2610</v>
      </c>
      <c r="AB17" t="str">
        <f t="shared" ref="AB17:AB39" si="10">"Australia"</f>
        <v>Australia</v>
      </c>
      <c r="AC17" t="str">
        <f t="shared" si="6"/>
        <v>No</v>
      </c>
      <c r="AD17" t="str">
        <f>"69405937639"</f>
        <v>69405937639</v>
      </c>
      <c r="AE17" t="str">
        <f t="shared" ref="AE17:AE28" si="11">"ADMIN OFFICER"</f>
        <v>ADMIN OFFICER</v>
      </c>
      <c r="AF17" t="str">
        <f t="shared" ref="AF17:AF39" si="12">"(02) 6271 1000"</f>
        <v>(02) 6271 1000</v>
      </c>
      <c r="AG17" t="str">
        <f>""</f>
        <v/>
      </c>
      <c r="AH17" t="str">
        <f>""</f>
        <v/>
      </c>
      <c r="AI17" t="str">
        <f>"LEGAL SERVICES [OLD] Legal Group"</f>
        <v>LEGAL SERVICES [OLD] Legal Group</v>
      </c>
      <c r="AJ17" t="str">
        <f t="shared" si="9"/>
        <v>2603</v>
      </c>
    </row>
    <row r="18" spans="1:36" x14ac:dyDescent="0.25">
      <c r="A18" t="str">
        <f t="shared" si="0"/>
        <v>Department of Communications</v>
      </c>
      <c r="B18" t="str">
        <f>""</f>
        <v/>
      </c>
      <c r="C18" t="str">
        <f>"CN2497271"</f>
        <v>CN2497271</v>
      </c>
      <c r="D18" t="str">
        <f>"Thomas Lonsdale"</f>
        <v>Thomas Lonsdale</v>
      </c>
      <c r="E18" s="44">
        <v>41864.474305555559</v>
      </c>
      <c r="F18" t="s">
        <v>2508</v>
      </c>
      <c r="G18" t="str">
        <f t="shared" si="1"/>
        <v>published</v>
      </c>
      <c r="H18" s="45">
        <v>41456</v>
      </c>
      <c r="I18" s="45">
        <v>42185</v>
      </c>
      <c r="J18" s="46">
        <v>3526710</v>
      </c>
      <c r="K18" t="s">
        <v>1188</v>
      </c>
      <c r="L18" t="str">
        <f>"0004603845"</f>
        <v>0004603845</v>
      </c>
      <c r="M18" t="str">
        <f>"Public relation services"</f>
        <v>Public relation services</v>
      </c>
      <c r="N18" t="str">
        <f>"Prequalified tender"</f>
        <v>Prequalified tender</v>
      </c>
      <c r="O18" t="str">
        <f>"DCON/09/64"</f>
        <v>DCON/09/64</v>
      </c>
      <c r="P18" t="str">
        <f>"SON241347"</f>
        <v>SON241347</v>
      </c>
      <c r="Q18" t="str">
        <f>"No"</f>
        <v>No</v>
      </c>
      <c r="R18" t="str">
        <f>""</f>
        <v/>
      </c>
      <c r="S18" t="str">
        <f>"No"</f>
        <v>No</v>
      </c>
      <c r="T18" t="str">
        <f>""</f>
        <v/>
      </c>
      <c r="U18" t="str">
        <f>"No"</f>
        <v>No</v>
      </c>
      <c r="V18" t="str">
        <f>""</f>
        <v/>
      </c>
      <c r="X18" t="str">
        <f>"Big N Pty Ltd T/as"</f>
        <v>Big N Pty Ltd T/as</v>
      </c>
      <c r="Y18" t="str">
        <f>"Level 3, 79 Commonwealth Street"</f>
        <v>Level 3, 79 Commonwealth Street</v>
      </c>
      <c r="Z18" t="str">
        <f>"Surry Hills"</f>
        <v>Surry Hills</v>
      </c>
      <c r="AA18" t="str">
        <f>"2010"</f>
        <v>2010</v>
      </c>
      <c r="AB18" t="str">
        <f t="shared" si="10"/>
        <v>Australia</v>
      </c>
      <c r="AC18" t="str">
        <f t="shared" si="6"/>
        <v>No</v>
      </c>
      <c r="AD18" t="str">
        <f>"86091695019"</f>
        <v>86091695019</v>
      </c>
      <c r="AE18" t="str">
        <f t="shared" si="11"/>
        <v>ADMIN OFFICER</v>
      </c>
      <c r="AF18" t="str">
        <f t="shared" si="12"/>
        <v>(02) 6271 1000</v>
      </c>
      <c r="AG18" t="str">
        <f>""</f>
        <v/>
      </c>
      <c r="AH18" t="str">
        <f>""</f>
        <v/>
      </c>
      <c r="AI18" t="str">
        <f>"CORPORATE AND BUSINESS [OLD] Corporate and Business Division"</f>
        <v>CORPORATE AND BUSINESS [OLD] Corporate and Business Division</v>
      </c>
      <c r="AJ18" t="str">
        <f t="shared" si="9"/>
        <v>2603</v>
      </c>
    </row>
    <row r="19" spans="1:36" x14ac:dyDescent="0.25">
      <c r="A19" t="str">
        <f t="shared" si="0"/>
        <v>Department of Communications</v>
      </c>
      <c r="B19" t="str">
        <f>""</f>
        <v/>
      </c>
      <c r="C19" t="str">
        <f>"CN2836552"</f>
        <v>CN2836552</v>
      </c>
      <c r="D19" t="str">
        <f>"David Kenny"</f>
        <v>David Kenny</v>
      </c>
      <c r="E19" s="44">
        <v>42039.681944444441</v>
      </c>
      <c r="F19" t="s">
        <v>2508</v>
      </c>
      <c r="G19" t="str">
        <f t="shared" si="1"/>
        <v>published</v>
      </c>
      <c r="H19" s="45">
        <v>41456</v>
      </c>
      <c r="I19" s="45">
        <v>42004</v>
      </c>
      <c r="J19" s="46">
        <v>77000</v>
      </c>
      <c r="K19" t="s">
        <v>1211</v>
      </c>
      <c r="L19" t="str">
        <f>"0004603965"</f>
        <v>0004603965</v>
      </c>
      <c r="M19" t="str">
        <f>"Telecommunications media services"</f>
        <v>Telecommunications media services</v>
      </c>
      <c r="N19" t="str">
        <f>"Prequalified tender"</f>
        <v>Prequalified tender</v>
      </c>
      <c r="O19" t="str">
        <f>"DCON/07/222"</f>
        <v>DCON/07/222</v>
      </c>
      <c r="P19" t="str">
        <f>"SON106196"</f>
        <v>SON106196</v>
      </c>
      <c r="Q19" t="str">
        <f>"No"</f>
        <v>No</v>
      </c>
      <c r="R19" t="str">
        <f>""</f>
        <v/>
      </c>
      <c r="S19" t="str">
        <f>"Yes"</f>
        <v>Yes</v>
      </c>
      <c r="T19" t="str">
        <f>"Intellectual property"</f>
        <v>Intellectual property</v>
      </c>
      <c r="U19" t="str">
        <f>"No"</f>
        <v>No</v>
      </c>
      <c r="V19" t="str">
        <f>""</f>
        <v/>
      </c>
      <c r="X19" t="str">
        <f>"Service Stream Solutions Pty Ltd"</f>
        <v>Service Stream Solutions Pty Ltd</v>
      </c>
      <c r="Y19" t="str">
        <f>"Level 12, 555 Collins Street"</f>
        <v>Level 12, 555 Collins Street</v>
      </c>
      <c r="Z19" t="str">
        <f>"Melbourne"</f>
        <v>Melbourne</v>
      </c>
      <c r="AA19" t="str">
        <f>"3000"</f>
        <v>3000</v>
      </c>
      <c r="AB19" t="str">
        <f t="shared" si="10"/>
        <v>Australia</v>
      </c>
      <c r="AC19" t="str">
        <f t="shared" si="6"/>
        <v>No</v>
      </c>
      <c r="AD19" t="str">
        <f>"15112410358"</f>
        <v>15112410358</v>
      </c>
      <c r="AE19" t="str">
        <f t="shared" si="11"/>
        <v>ADMIN OFFICER</v>
      </c>
      <c r="AF19" t="str">
        <f t="shared" si="12"/>
        <v>(02) 6271 1000</v>
      </c>
      <c r="AG19" t="str">
        <f>""</f>
        <v/>
      </c>
      <c r="AH19" t="str">
        <f>""</f>
        <v/>
      </c>
      <c r="AI19" t="str">
        <f>"CORPORATE Corporate Division"</f>
        <v>CORPORATE Corporate Division</v>
      </c>
      <c r="AJ19" t="str">
        <f t="shared" si="9"/>
        <v>2603</v>
      </c>
    </row>
    <row r="20" spans="1:36" x14ac:dyDescent="0.25">
      <c r="A20" t="str">
        <f t="shared" si="0"/>
        <v>Department of Communications</v>
      </c>
      <c r="B20" t="str">
        <f>""</f>
        <v/>
      </c>
      <c r="C20" t="str">
        <f>"CN2645721"</f>
        <v>CN2645721</v>
      </c>
      <c r="D20" t="str">
        <f>"David Kenny"</f>
        <v>David Kenny</v>
      </c>
      <c r="E20" s="44">
        <v>41940.561111111114</v>
      </c>
      <c r="F20" t="s">
        <v>2508</v>
      </c>
      <c r="G20" t="str">
        <f t="shared" si="1"/>
        <v>published</v>
      </c>
      <c r="H20" s="45">
        <v>41456</v>
      </c>
      <c r="I20" s="45">
        <v>42004</v>
      </c>
      <c r="J20" s="46">
        <v>275000</v>
      </c>
      <c r="K20" t="s">
        <v>1211</v>
      </c>
      <c r="L20" t="str">
        <f>"0004603965"</f>
        <v>0004603965</v>
      </c>
      <c r="M20" t="str">
        <f>"Telecommunications media services"</f>
        <v>Telecommunications media services</v>
      </c>
      <c r="N20" t="str">
        <f>"Prequalified tender"</f>
        <v>Prequalified tender</v>
      </c>
      <c r="O20" t="str">
        <f>"DCON/07/222"</f>
        <v>DCON/07/222</v>
      </c>
      <c r="P20" t="str">
        <f>"SON106196"</f>
        <v>SON106196</v>
      </c>
      <c r="Q20" t="str">
        <f>"No"</f>
        <v>No</v>
      </c>
      <c r="R20" t="str">
        <f>""</f>
        <v/>
      </c>
      <c r="S20" t="str">
        <f>"Yes"</f>
        <v>Yes</v>
      </c>
      <c r="T20" t="str">
        <f>"Intellectual property"</f>
        <v>Intellectual property</v>
      </c>
      <c r="U20" t="str">
        <f>"No"</f>
        <v>No</v>
      </c>
      <c r="V20" t="str">
        <f>""</f>
        <v/>
      </c>
      <c r="X20" t="str">
        <f>"Service Stream Solutions Pty Ltd"</f>
        <v>Service Stream Solutions Pty Ltd</v>
      </c>
      <c r="Y20" t="str">
        <f>"Level 12, 555 Collins Street"</f>
        <v>Level 12, 555 Collins Street</v>
      </c>
      <c r="Z20" t="str">
        <f>"Melbourne"</f>
        <v>Melbourne</v>
      </c>
      <c r="AA20" t="str">
        <f>"3000"</f>
        <v>3000</v>
      </c>
      <c r="AB20" t="str">
        <f t="shared" si="10"/>
        <v>Australia</v>
      </c>
      <c r="AC20" t="str">
        <f t="shared" si="6"/>
        <v>No</v>
      </c>
      <c r="AD20" t="str">
        <f>"15112410358"</f>
        <v>15112410358</v>
      </c>
      <c r="AE20" t="str">
        <f t="shared" si="11"/>
        <v>ADMIN OFFICER</v>
      </c>
      <c r="AF20" t="str">
        <f t="shared" si="12"/>
        <v>(02) 6271 1000</v>
      </c>
      <c r="AG20" t="str">
        <f>""</f>
        <v/>
      </c>
      <c r="AH20" t="str">
        <f>""</f>
        <v/>
      </c>
      <c r="AI20" t="str">
        <f>"CORPORATE Corporate Division"</f>
        <v>CORPORATE Corporate Division</v>
      </c>
      <c r="AJ20" t="str">
        <f t="shared" si="9"/>
        <v>2603</v>
      </c>
    </row>
    <row r="21" spans="1:36" x14ac:dyDescent="0.25">
      <c r="A21" t="str">
        <f t="shared" si="0"/>
        <v>Department of Communications</v>
      </c>
      <c r="B21" t="str">
        <f>""</f>
        <v/>
      </c>
      <c r="C21" t="str">
        <f>"CN2454661"</f>
        <v>CN2454661</v>
      </c>
      <c r="D21" t="str">
        <f>"Thomas Lonsdale"</f>
        <v>Thomas Lonsdale</v>
      </c>
      <c r="E21" s="44">
        <v>41850.395833333336</v>
      </c>
      <c r="F21" t="s">
        <v>2508</v>
      </c>
      <c r="G21" t="str">
        <f t="shared" si="1"/>
        <v>published</v>
      </c>
      <c r="H21" s="45">
        <v>41487</v>
      </c>
      <c r="I21" s="45">
        <v>42216</v>
      </c>
      <c r="J21" s="46">
        <v>780450</v>
      </c>
      <c r="K21" t="s">
        <v>1243</v>
      </c>
      <c r="L21" t="str">
        <f>"0004604087"</f>
        <v>0004604087</v>
      </c>
      <c r="M21" t="str">
        <f>"Lease and rental of property or building"</f>
        <v>Lease and rental of property or building</v>
      </c>
      <c r="N21" t="str">
        <f>"Limited tender"</f>
        <v>Limited tender</v>
      </c>
      <c r="O21" t="str">
        <f>""</f>
        <v/>
      </c>
      <c r="Q21" t="str">
        <f>"No"</f>
        <v>No</v>
      </c>
      <c r="R21" t="str">
        <f>""</f>
        <v/>
      </c>
      <c r="S21" t="str">
        <f>"No"</f>
        <v>No</v>
      </c>
      <c r="T21" t="str">
        <f>""</f>
        <v/>
      </c>
      <c r="U21" t="str">
        <f>"No"</f>
        <v>No</v>
      </c>
      <c r="V21" t="str">
        <f>""</f>
        <v/>
      </c>
      <c r="X21" t="str">
        <f>"Colliers International (ACT) Pty Lt"</f>
        <v>Colliers International (ACT) Pty Lt</v>
      </c>
      <c r="Y21" t="str">
        <f>"GPO Box 449"</f>
        <v>GPO Box 449</v>
      </c>
      <c r="Z21" t="str">
        <f>"Canberra"</f>
        <v>Canberra</v>
      </c>
      <c r="AA21" t="str">
        <f>"2601"</f>
        <v>2601</v>
      </c>
      <c r="AB21" t="str">
        <f t="shared" si="10"/>
        <v>Australia</v>
      </c>
      <c r="AC21" t="str">
        <f t="shared" si="6"/>
        <v>No</v>
      </c>
      <c r="AD21" t="str">
        <f>"90008480475"</f>
        <v>90008480475</v>
      </c>
      <c r="AE21" t="str">
        <f t="shared" si="11"/>
        <v>ADMIN OFFICER</v>
      </c>
      <c r="AF21" t="str">
        <f t="shared" si="12"/>
        <v>(02) 6271 1000</v>
      </c>
      <c r="AG21" t="str">
        <f>""</f>
        <v/>
      </c>
      <c r="AH21" t="str">
        <f>""</f>
        <v/>
      </c>
      <c r="AI21" t="str">
        <f>"CORPORATE AND BUSINESS [OLD] Corporate and Business Division"</f>
        <v>CORPORATE AND BUSINESS [OLD] Corporate and Business Division</v>
      </c>
      <c r="AJ21" t="str">
        <f t="shared" si="9"/>
        <v>2603</v>
      </c>
    </row>
    <row r="22" spans="1:36" x14ac:dyDescent="0.25">
      <c r="A22" t="str">
        <f t="shared" si="0"/>
        <v>Department of Communications</v>
      </c>
      <c r="B22" t="str">
        <f>""</f>
        <v/>
      </c>
      <c r="C22" t="str">
        <f>"CN3038002"</f>
        <v>CN3038002</v>
      </c>
      <c r="D22" t="str">
        <f>"Leesa O'connor"</f>
        <v>Leesa O'connor</v>
      </c>
      <c r="E22" s="44">
        <v>42130.60833333333</v>
      </c>
      <c r="F22" t="s">
        <v>2508</v>
      </c>
      <c r="G22" t="str">
        <f t="shared" si="1"/>
        <v>published</v>
      </c>
      <c r="H22" s="45">
        <v>41487</v>
      </c>
      <c r="I22" s="45">
        <v>42216</v>
      </c>
      <c r="J22" s="46">
        <v>20000</v>
      </c>
      <c r="K22" t="s">
        <v>1243</v>
      </c>
      <c r="L22" t="str">
        <f>"0004604087"</f>
        <v>0004604087</v>
      </c>
      <c r="M22" t="str">
        <f>"Lease and rental of property or building"</f>
        <v>Lease and rental of property or building</v>
      </c>
      <c r="N22" t="str">
        <f>"Limited tender"</f>
        <v>Limited tender</v>
      </c>
      <c r="O22" t="str">
        <f>""</f>
        <v/>
      </c>
      <c r="Q22" t="str">
        <f>"No"</f>
        <v>No</v>
      </c>
      <c r="R22" t="str">
        <f>""</f>
        <v/>
      </c>
      <c r="S22" t="str">
        <f>"No"</f>
        <v>No</v>
      </c>
      <c r="T22" t="str">
        <f>""</f>
        <v/>
      </c>
      <c r="U22" t="str">
        <f>"No"</f>
        <v>No</v>
      </c>
      <c r="V22" t="str">
        <f>""</f>
        <v/>
      </c>
      <c r="X22" t="str">
        <f>"Colliers International (ACT) Pty Lt"</f>
        <v>Colliers International (ACT) Pty Lt</v>
      </c>
      <c r="Y22" t="str">
        <f>"GPO Box 449"</f>
        <v>GPO Box 449</v>
      </c>
      <c r="Z22" t="str">
        <f>"Canberra"</f>
        <v>Canberra</v>
      </c>
      <c r="AA22" t="str">
        <f>"2601"</f>
        <v>2601</v>
      </c>
      <c r="AB22" t="str">
        <f t="shared" si="10"/>
        <v>Australia</v>
      </c>
      <c r="AC22" t="str">
        <f t="shared" si="6"/>
        <v>No</v>
      </c>
      <c r="AD22" t="str">
        <f>"90008480475"</f>
        <v>90008480475</v>
      </c>
      <c r="AE22" t="str">
        <f t="shared" si="11"/>
        <v>ADMIN OFFICER</v>
      </c>
      <c r="AF22" t="str">
        <f t="shared" si="12"/>
        <v>(02) 6271 1000</v>
      </c>
      <c r="AG22" t="str">
        <f>""</f>
        <v/>
      </c>
      <c r="AH22" t="str">
        <f>""</f>
        <v/>
      </c>
      <c r="AI22" t="str">
        <f>"CORPORATE Corporate Division"</f>
        <v>CORPORATE Corporate Division</v>
      </c>
      <c r="AJ22" t="str">
        <f t="shared" si="9"/>
        <v>2603</v>
      </c>
    </row>
    <row r="23" spans="1:36" x14ac:dyDescent="0.25">
      <c r="A23" t="str">
        <f t="shared" si="0"/>
        <v>Department of Communications</v>
      </c>
      <c r="B23" t="str">
        <f>""</f>
        <v/>
      </c>
      <c r="C23" t="str">
        <f>"CN3071052"</f>
        <v>CN3071052</v>
      </c>
      <c r="D23" t="str">
        <f>"Leesa O'connor"</f>
        <v>Leesa O'connor</v>
      </c>
      <c r="E23" s="44">
        <v>42143.462500000001</v>
      </c>
      <c r="F23" t="s">
        <v>2508</v>
      </c>
      <c r="G23" t="str">
        <f t="shared" si="1"/>
        <v>published</v>
      </c>
      <c r="H23" s="45">
        <v>41540</v>
      </c>
      <c r="I23" s="45">
        <v>42185</v>
      </c>
      <c r="J23" s="46">
        <v>1000000</v>
      </c>
      <c r="K23" t="s">
        <v>2301</v>
      </c>
      <c r="L23" t="str">
        <f>"0004604212"</f>
        <v>0004604212</v>
      </c>
      <c r="M23" t="str">
        <f>"Legal services"</f>
        <v>Legal services</v>
      </c>
      <c r="N23" t="str">
        <f>"Prequalified tender"</f>
        <v>Prequalified tender</v>
      </c>
      <c r="O23" t="str">
        <f>""</f>
        <v/>
      </c>
      <c r="Q23" t="str">
        <f>"Yes"</f>
        <v>Yes</v>
      </c>
      <c r="R23" t="str">
        <f>"Intellectual property"</f>
        <v>Intellectual property</v>
      </c>
      <c r="S23" t="str">
        <f>"Yes"</f>
        <v>Yes</v>
      </c>
      <c r="T23" t="str">
        <f>"Intellectual property"</f>
        <v>Intellectual property</v>
      </c>
      <c r="U23" t="str">
        <f>"Yes"</f>
        <v>Yes</v>
      </c>
      <c r="V23" t="str">
        <f>"Skills currently unavailable within agency"</f>
        <v>Skills currently unavailable within agency</v>
      </c>
      <c r="X23" t="str">
        <f>"Henry Davis York Lawyers"</f>
        <v>Henry Davis York Lawyers</v>
      </c>
      <c r="Y23" t="str">
        <f>"44 Martin Place"</f>
        <v>44 Martin Place</v>
      </c>
      <c r="Z23" t="str">
        <f>"Sydney"</f>
        <v>Sydney</v>
      </c>
      <c r="AA23" t="str">
        <f>"2000"</f>
        <v>2000</v>
      </c>
      <c r="AB23" t="str">
        <f t="shared" si="10"/>
        <v>Australia</v>
      </c>
      <c r="AC23" t="str">
        <f t="shared" si="6"/>
        <v>No</v>
      </c>
      <c r="AD23" t="str">
        <f>"94516079651"</f>
        <v>94516079651</v>
      </c>
      <c r="AE23" t="str">
        <f t="shared" si="11"/>
        <v>ADMIN OFFICER</v>
      </c>
      <c r="AF23" t="str">
        <f t="shared" si="12"/>
        <v>(02) 6271 1000</v>
      </c>
      <c r="AG23" t="str">
        <f>""</f>
        <v/>
      </c>
      <c r="AH23" t="str">
        <f>""</f>
        <v/>
      </c>
      <c r="AI23" t="str">
        <f>"LEGAL SERVICES [OLD] Legal Group"</f>
        <v>LEGAL SERVICES [OLD] Legal Group</v>
      </c>
      <c r="AJ23" t="str">
        <f t="shared" si="9"/>
        <v>2603</v>
      </c>
    </row>
    <row r="24" spans="1:36" x14ac:dyDescent="0.25">
      <c r="A24" t="str">
        <f t="shared" si="0"/>
        <v>Department of Communications</v>
      </c>
      <c r="B24" t="str">
        <f>""</f>
        <v/>
      </c>
      <c r="C24" t="str">
        <f>"CN2756842"</f>
        <v>CN2756842</v>
      </c>
      <c r="D24" t="str">
        <f>"David Kenny"</f>
        <v>David Kenny</v>
      </c>
      <c r="E24" s="44">
        <v>41990.524305555555</v>
      </c>
      <c r="F24" t="s">
        <v>2508</v>
      </c>
      <c r="G24" t="str">
        <f t="shared" si="1"/>
        <v>published</v>
      </c>
      <c r="H24" s="45">
        <v>41540</v>
      </c>
      <c r="I24" s="45">
        <v>42185</v>
      </c>
      <c r="J24" s="46">
        <v>200000</v>
      </c>
      <c r="K24" t="s">
        <v>2301</v>
      </c>
      <c r="L24" t="str">
        <f>"0004604212"</f>
        <v>0004604212</v>
      </c>
      <c r="M24" t="str">
        <f>"Legal services"</f>
        <v>Legal services</v>
      </c>
      <c r="N24" t="str">
        <f>"Prequalified tender"</f>
        <v>Prequalified tender</v>
      </c>
      <c r="O24" t="str">
        <f>""</f>
        <v/>
      </c>
      <c r="Q24" t="str">
        <f>"Yes"</f>
        <v>Yes</v>
      </c>
      <c r="R24" t="str">
        <f>"Intellectual property"</f>
        <v>Intellectual property</v>
      </c>
      <c r="S24" t="str">
        <f>"Yes"</f>
        <v>Yes</v>
      </c>
      <c r="T24" t="str">
        <f>"Intellectual property"</f>
        <v>Intellectual property</v>
      </c>
      <c r="U24" t="str">
        <f>"Yes"</f>
        <v>Yes</v>
      </c>
      <c r="V24" t="str">
        <f>"Skills currently unavailable within agency"</f>
        <v>Skills currently unavailable within agency</v>
      </c>
      <c r="X24" t="str">
        <f>"Henry Davis York Lawyers"</f>
        <v>Henry Davis York Lawyers</v>
      </c>
      <c r="Y24" t="str">
        <f>"44 Martin Place"</f>
        <v>44 Martin Place</v>
      </c>
      <c r="Z24" t="str">
        <f>"Sydney"</f>
        <v>Sydney</v>
      </c>
      <c r="AA24" t="str">
        <f>"2000"</f>
        <v>2000</v>
      </c>
      <c r="AB24" t="str">
        <f t="shared" si="10"/>
        <v>Australia</v>
      </c>
      <c r="AC24" t="str">
        <f t="shared" si="6"/>
        <v>No</v>
      </c>
      <c r="AD24" t="str">
        <f>"94516079651"</f>
        <v>94516079651</v>
      </c>
      <c r="AE24" t="str">
        <f t="shared" si="11"/>
        <v>ADMIN OFFICER</v>
      </c>
      <c r="AF24" t="str">
        <f t="shared" si="12"/>
        <v>(02) 6271 1000</v>
      </c>
      <c r="AG24" t="str">
        <f>""</f>
        <v/>
      </c>
      <c r="AH24" t="str">
        <f>""</f>
        <v/>
      </c>
      <c r="AI24" t="str">
        <f>"LEGAL SERVICES [OLD] Legal Group"</f>
        <v>LEGAL SERVICES [OLD] Legal Group</v>
      </c>
      <c r="AJ24" t="str">
        <f t="shared" si="9"/>
        <v>2603</v>
      </c>
    </row>
    <row r="25" spans="1:36" x14ac:dyDescent="0.25">
      <c r="A25" t="str">
        <f t="shared" si="0"/>
        <v>Department of Communications</v>
      </c>
      <c r="B25" t="str">
        <f>""</f>
        <v/>
      </c>
      <c r="C25" t="str">
        <f>"CN2935502"</f>
        <v>CN2935502</v>
      </c>
      <c r="D25" t="str">
        <f>"Leesa O'connor"</f>
        <v>Leesa O'connor</v>
      </c>
      <c r="E25" s="44">
        <v>42086.618055555555</v>
      </c>
      <c r="F25" t="s">
        <v>2508</v>
      </c>
      <c r="G25" t="str">
        <f t="shared" si="1"/>
        <v>published</v>
      </c>
      <c r="H25" s="45">
        <v>41540</v>
      </c>
      <c r="I25" s="45">
        <v>42185</v>
      </c>
      <c r="J25" s="46">
        <v>725257</v>
      </c>
      <c r="K25" t="s">
        <v>2301</v>
      </c>
      <c r="L25" t="str">
        <f>"0004604212"</f>
        <v>0004604212</v>
      </c>
      <c r="M25" t="str">
        <f>"Legal services"</f>
        <v>Legal services</v>
      </c>
      <c r="N25" t="str">
        <f>"Prequalified tender"</f>
        <v>Prequalified tender</v>
      </c>
      <c r="O25" t="str">
        <f>""</f>
        <v/>
      </c>
      <c r="Q25" t="str">
        <f>"Yes"</f>
        <v>Yes</v>
      </c>
      <c r="R25" t="str">
        <f>"Intellectual property"</f>
        <v>Intellectual property</v>
      </c>
      <c r="S25" t="str">
        <f>"Yes"</f>
        <v>Yes</v>
      </c>
      <c r="T25" t="str">
        <f>"Intellectual property"</f>
        <v>Intellectual property</v>
      </c>
      <c r="U25" t="str">
        <f>"Yes"</f>
        <v>Yes</v>
      </c>
      <c r="V25" t="str">
        <f>"Skills currently unavailable within agency"</f>
        <v>Skills currently unavailable within agency</v>
      </c>
      <c r="X25" t="str">
        <f>"Henry Davis York Lawyers"</f>
        <v>Henry Davis York Lawyers</v>
      </c>
      <c r="Y25" t="str">
        <f>"44 Martin Place"</f>
        <v>44 Martin Place</v>
      </c>
      <c r="Z25" t="str">
        <f>"Sydney"</f>
        <v>Sydney</v>
      </c>
      <c r="AA25" t="str">
        <f>"2000"</f>
        <v>2000</v>
      </c>
      <c r="AB25" t="str">
        <f t="shared" si="10"/>
        <v>Australia</v>
      </c>
      <c r="AC25" t="str">
        <f t="shared" si="6"/>
        <v>No</v>
      </c>
      <c r="AD25" t="str">
        <f>"94516079651"</f>
        <v>94516079651</v>
      </c>
      <c r="AE25" t="str">
        <f t="shared" si="11"/>
        <v>ADMIN OFFICER</v>
      </c>
      <c r="AF25" t="str">
        <f t="shared" si="12"/>
        <v>(02) 6271 1000</v>
      </c>
      <c r="AG25" t="str">
        <f>""</f>
        <v/>
      </c>
      <c r="AH25" t="str">
        <f>""</f>
        <v/>
      </c>
      <c r="AI25" t="str">
        <f>"LEGAL SERVICES [OLD] Legal Group"</f>
        <v>LEGAL SERVICES [OLD] Legal Group</v>
      </c>
      <c r="AJ25" t="str">
        <f t="shared" si="9"/>
        <v>2603</v>
      </c>
    </row>
    <row r="26" spans="1:36" x14ac:dyDescent="0.25">
      <c r="A26" t="str">
        <f t="shared" si="0"/>
        <v>Department of Communications</v>
      </c>
      <c r="B26" t="str">
        <f>""</f>
        <v/>
      </c>
      <c r="C26" t="str">
        <f>"CN2700401"</f>
        <v>CN2700401</v>
      </c>
      <c r="D26" t="str">
        <f>"David Kenny"</f>
        <v>David Kenny</v>
      </c>
      <c r="E26" s="44">
        <v>41967.613194444442</v>
      </c>
      <c r="F26" t="s">
        <v>2508</v>
      </c>
      <c r="G26" t="str">
        <f t="shared" si="1"/>
        <v>published</v>
      </c>
      <c r="H26" s="45">
        <v>41540</v>
      </c>
      <c r="I26" s="45">
        <v>42185</v>
      </c>
      <c r="J26" s="46">
        <v>300000</v>
      </c>
      <c r="K26" t="s">
        <v>2301</v>
      </c>
      <c r="L26" t="str">
        <f>"0004604212"</f>
        <v>0004604212</v>
      </c>
      <c r="M26" t="str">
        <f>"Legal services"</f>
        <v>Legal services</v>
      </c>
      <c r="N26" t="str">
        <f>"Prequalified tender"</f>
        <v>Prequalified tender</v>
      </c>
      <c r="O26" t="str">
        <f>""</f>
        <v/>
      </c>
      <c r="Q26" t="str">
        <f>"Yes"</f>
        <v>Yes</v>
      </c>
      <c r="R26" t="str">
        <f>"Intellectual property"</f>
        <v>Intellectual property</v>
      </c>
      <c r="S26" t="str">
        <f>"Yes"</f>
        <v>Yes</v>
      </c>
      <c r="T26" t="str">
        <f>"Intellectual property"</f>
        <v>Intellectual property</v>
      </c>
      <c r="U26" t="str">
        <f>"Yes"</f>
        <v>Yes</v>
      </c>
      <c r="V26" t="str">
        <f>"Skills currently unavailable within agency"</f>
        <v>Skills currently unavailable within agency</v>
      </c>
      <c r="X26" t="str">
        <f>"Henry Davis York Lawyers"</f>
        <v>Henry Davis York Lawyers</v>
      </c>
      <c r="Y26" t="str">
        <f>"44 Martin Place"</f>
        <v>44 Martin Place</v>
      </c>
      <c r="Z26" t="str">
        <f>"Sydney"</f>
        <v>Sydney</v>
      </c>
      <c r="AA26" t="str">
        <f>"2000"</f>
        <v>2000</v>
      </c>
      <c r="AB26" t="str">
        <f t="shared" si="10"/>
        <v>Australia</v>
      </c>
      <c r="AC26" t="str">
        <f t="shared" si="6"/>
        <v>No</v>
      </c>
      <c r="AD26" t="str">
        <f>"94516079651"</f>
        <v>94516079651</v>
      </c>
      <c r="AE26" t="str">
        <f t="shared" si="11"/>
        <v>ADMIN OFFICER</v>
      </c>
      <c r="AF26" t="str">
        <f t="shared" si="12"/>
        <v>(02) 6271 1000</v>
      </c>
      <c r="AG26" t="str">
        <f>""</f>
        <v/>
      </c>
      <c r="AH26" t="str">
        <f>""</f>
        <v/>
      </c>
      <c r="AI26" t="str">
        <f>"LEGAL SERVICES [OLD] Legal Group"</f>
        <v>LEGAL SERVICES [OLD] Legal Group</v>
      </c>
      <c r="AJ26" t="str">
        <f t="shared" si="9"/>
        <v>2603</v>
      </c>
    </row>
    <row r="27" spans="1:36" x14ac:dyDescent="0.25">
      <c r="A27" t="str">
        <f t="shared" si="0"/>
        <v>Department of Communications</v>
      </c>
      <c r="B27" t="str">
        <f>""</f>
        <v/>
      </c>
      <c r="C27" t="str">
        <f>"CN2611351"</f>
        <v>CN2611351</v>
      </c>
      <c r="D27" t="str">
        <f>"David Kenny"</f>
        <v>David Kenny</v>
      </c>
      <c r="E27" s="44">
        <v>41920.474305555559</v>
      </c>
      <c r="F27" t="s">
        <v>2508</v>
      </c>
      <c r="G27" t="str">
        <f t="shared" si="1"/>
        <v>published</v>
      </c>
      <c r="H27" s="45">
        <v>41548</v>
      </c>
      <c r="I27" s="45">
        <v>42185</v>
      </c>
      <c r="J27" s="46">
        <v>24300</v>
      </c>
      <c r="K27" t="s">
        <v>2301</v>
      </c>
      <c r="L27" t="str">
        <f>"0004604247"</f>
        <v>0004604247</v>
      </c>
      <c r="M27" t="str">
        <f>"Legal services"</f>
        <v>Legal services</v>
      </c>
      <c r="N27" t="str">
        <f>"Prequalified tender"</f>
        <v>Prequalified tender</v>
      </c>
      <c r="O27" t="str">
        <f>""</f>
        <v/>
      </c>
      <c r="Q27" t="str">
        <f>"No"</f>
        <v>No</v>
      </c>
      <c r="R27" t="str">
        <f>""</f>
        <v/>
      </c>
      <c r="S27" t="str">
        <f>"Yes"</f>
        <v>Yes</v>
      </c>
      <c r="T27" t="str">
        <f>"Intellectual property"</f>
        <v>Intellectual property</v>
      </c>
      <c r="U27" t="str">
        <f>"Yes"</f>
        <v>Yes</v>
      </c>
      <c r="V27" t="str">
        <f>"Need for specialised or professional skills"</f>
        <v>Need for specialised or professional skills</v>
      </c>
      <c r="X27" t="str">
        <f>"AUSTRALIAN GOVERNMENT SOLICITOR"</f>
        <v>AUSTRALIAN GOVERNMENT SOLICITOR</v>
      </c>
      <c r="Y27" t="str">
        <f>"Locked Bag 7246"</f>
        <v>Locked Bag 7246</v>
      </c>
      <c r="Z27" t="str">
        <f>"Canberra Mail Centre"</f>
        <v>Canberra Mail Centre</v>
      </c>
      <c r="AA27" t="str">
        <f>"2610"</f>
        <v>2610</v>
      </c>
      <c r="AB27" t="str">
        <f t="shared" si="10"/>
        <v>Australia</v>
      </c>
      <c r="AC27" t="str">
        <f t="shared" si="6"/>
        <v>No</v>
      </c>
      <c r="AD27" t="str">
        <f>"69405937639"</f>
        <v>69405937639</v>
      </c>
      <c r="AE27" t="str">
        <f t="shared" si="11"/>
        <v>ADMIN OFFICER</v>
      </c>
      <c r="AF27" t="str">
        <f t="shared" si="12"/>
        <v>(02) 6271 1000</v>
      </c>
      <c r="AG27" t="str">
        <f>""</f>
        <v/>
      </c>
      <c r="AH27" t="str">
        <f>""</f>
        <v/>
      </c>
      <c r="AI27" t="str">
        <f>"LEGAL SERVICES [OLD] Legal Group"</f>
        <v>LEGAL SERVICES [OLD] Legal Group</v>
      </c>
      <c r="AJ27" t="str">
        <f t="shared" si="9"/>
        <v>2603</v>
      </c>
    </row>
    <row r="28" spans="1:36" x14ac:dyDescent="0.25">
      <c r="A28" t="str">
        <f t="shared" si="0"/>
        <v>Department of Communications</v>
      </c>
      <c r="B28" t="str">
        <f>""</f>
        <v/>
      </c>
      <c r="C28" t="str">
        <f>"CN2611341"</f>
        <v>CN2611341</v>
      </c>
      <c r="D28" t="str">
        <f>"David Kenny"</f>
        <v>David Kenny</v>
      </c>
      <c r="E28" s="44">
        <v>41920.474305555559</v>
      </c>
      <c r="F28" t="s">
        <v>2508</v>
      </c>
      <c r="G28" t="str">
        <f t="shared" si="1"/>
        <v>published</v>
      </c>
      <c r="H28" s="45">
        <v>41592</v>
      </c>
      <c r="I28" s="45">
        <v>42290</v>
      </c>
      <c r="J28" s="46">
        <v>49011</v>
      </c>
      <c r="K28" t="s">
        <v>1262</v>
      </c>
      <c r="L28" t="str">
        <f>"0004604258"</f>
        <v>0004604258</v>
      </c>
      <c r="M28" t="str">
        <f>"Personnel recruitment"</f>
        <v>Personnel recruitment</v>
      </c>
      <c r="N28" t="str">
        <f>"Open tender"</f>
        <v>Open tender</v>
      </c>
      <c r="O28" t="str">
        <f>"C11/0403"</f>
        <v>C11/0403</v>
      </c>
      <c r="Q28" t="str">
        <f>"No"</f>
        <v>No</v>
      </c>
      <c r="R28" t="str">
        <f>""</f>
        <v/>
      </c>
      <c r="S28" t="str">
        <f>"No"</f>
        <v>No</v>
      </c>
      <c r="T28" t="str">
        <f>""</f>
        <v/>
      </c>
      <c r="U28" t="str">
        <f>"No"</f>
        <v>No</v>
      </c>
      <c r="V28" t="str">
        <f>""</f>
        <v/>
      </c>
      <c r="X28" t="str">
        <f>"NGA.NET Pty Ltd"</f>
        <v>NGA.NET Pty Ltd</v>
      </c>
      <c r="Y28" t="str">
        <f>"Lvl 2, 17 Reglan Street"</f>
        <v>Lvl 2, 17 Reglan Street</v>
      </c>
      <c r="Z28" t="str">
        <f>"SOUTH MELBOURNE"</f>
        <v>SOUTH MELBOURNE</v>
      </c>
      <c r="AA28" t="str">
        <f>"3205"</f>
        <v>3205</v>
      </c>
      <c r="AB28" t="str">
        <f t="shared" si="10"/>
        <v>Australia</v>
      </c>
      <c r="AC28" t="str">
        <f t="shared" si="6"/>
        <v>No</v>
      </c>
      <c r="AD28" t="str">
        <f>"26079099282"</f>
        <v>26079099282</v>
      </c>
      <c r="AE28" t="str">
        <f t="shared" si="11"/>
        <v>ADMIN OFFICER</v>
      </c>
      <c r="AF28" t="str">
        <f t="shared" si="12"/>
        <v>(02) 6271 1000</v>
      </c>
      <c r="AG28" t="str">
        <f>""</f>
        <v/>
      </c>
      <c r="AH28" t="str">
        <f>""</f>
        <v/>
      </c>
      <c r="AI28" t="str">
        <f>"CORPORATE Corporate Division"</f>
        <v>CORPORATE Corporate Division</v>
      </c>
      <c r="AJ28" t="str">
        <f t="shared" si="9"/>
        <v>2603</v>
      </c>
    </row>
    <row r="29" spans="1:36" x14ac:dyDescent="0.25">
      <c r="A29" t="str">
        <f t="shared" si="0"/>
        <v>Department of Communications</v>
      </c>
      <c r="B29" t="str">
        <f>""</f>
        <v/>
      </c>
      <c r="C29" t="str">
        <f>"CN2675052"</f>
        <v>CN2675052</v>
      </c>
      <c r="D29" t="str">
        <f>"Robert McGlynn"</f>
        <v>Robert McGlynn</v>
      </c>
      <c r="E29" s="44">
        <v>41955.359027777777</v>
      </c>
      <c r="F29" t="s">
        <v>2508</v>
      </c>
      <c r="G29" t="str">
        <f t="shared" si="1"/>
        <v>published</v>
      </c>
      <c r="H29" s="45">
        <v>41589</v>
      </c>
      <c r="I29" s="45">
        <v>42004</v>
      </c>
      <c r="J29" s="46">
        <v>29824.7</v>
      </c>
      <c r="K29" t="s">
        <v>2301</v>
      </c>
      <c r="L29" t="str">
        <f>"0004604269"</f>
        <v>0004604269</v>
      </c>
      <c r="M29" t="str">
        <f t="shared" ref="M29:M34" si="13">"Legal services"</f>
        <v>Legal services</v>
      </c>
      <c r="N29" t="str">
        <f t="shared" ref="N29:N34" si="14">"Prequalified tender"</f>
        <v>Prequalified tender</v>
      </c>
      <c r="O29" t="str">
        <f>""</f>
        <v/>
      </c>
      <c r="Q29" t="str">
        <f t="shared" ref="Q29:Q34" si="15">"Yes"</f>
        <v>Yes</v>
      </c>
      <c r="R29" t="str">
        <f t="shared" ref="R29:R34" si="16">"Intellectual property"</f>
        <v>Intellectual property</v>
      </c>
      <c r="S29" t="str">
        <f t="shared" ref="S29:S35" si="17">"Yes"</f>
        <v>Yes</v>
      </c>
      <c r="T29" t="str">
        <f t="shared" ref="T29:T34" si="18">"Intellectual property"</f>
        <v>Intellectual property</v>
      </c>
      <c r="U29" t="str">
        <f t="shared" ref="U29:U37" si="19">"Yes"</f>
        <v>Yes</v>
      </c>
      <c r="V29" t="str">
        <f t="shared" ref="V29:V35" si="20">"Need for specialised or professional skills"</f>
        <v>Need for specialised or professional skills</v>
      </c>
      <c r="X29" t="str">
        <f>"AUSTRALIAN GOVERNMENT SOLICITOR"</f>
        <v>AUSTRALIAN GOVERNMENT SOLICITOR</v>
      </c>
      <c r="Y29" t="str">
        <f>"Locked Bag 7246"</f>
        <v>Locked Bag 7246</v>
      </c>
      <c r="Z29" t="str">
        <f>"Canberra Mail Centre"</f>
        <v>Canberra Mail Centre</v>
      </c>
      <c r="AA29" t="str">
        <f>"2610"</f>
        <v>2610</v>
      </c>
      <c r="AB29" t="str">
        <f t="shared" si="10"/>
        <v>Australia</v>
      </c>
      <c r="AC29" t="str">
        <f t="shared" si="6"/>
        <v>No</v>
      </c>
      <c r="AD29" t="str">
        <f>"69405937639"</f>
        <v>69405937639</v>
      </c>
      <c r="AE29" t="str">
        <f>"PROCUREMENT MANAGER"</f>
        <v>PROCUREMENT MANAGER</v>
      </c>
      <c r="AF29" t="str">
        <f t="shared" si="12"/>
        <v>(02) 6271 1000</v>
      </c>
      <c r="AG29" t="str">
        <f>""</f>
        <v/>
      </c>
      <c r="AH29" t="str">
        <f>""</f>
        <v/>
      </c>
      <c r="AI29" t="str">
        <f>"GENERAL COUNSEL Office of the General Counsel"</f>
        <v>GENERAL COUNSEL Office of the General Counsel</v>
      </c>
      <c r="AJ29" t="str">
        <f t="shared" si="9"/>
        <v>2603</v>
      </c>
    </row>
    <row r="30" spans="1:36" x14ac:dyDescent="0.25">
      <c r="A30" t="str">
        <f t="shared" si="0"/>
        <v>Department of Communications</v>
      </c>
      <c r="B30" t="str">
        <f>""</f>
        <v/>
      </c>
      <c r="C30" t="str">
        <f>"CN2756832"</f>
        <v>CN2756832</v>
      </c>
      <c r="D30" t="str">
        <f>"David Kenny"</f>
        <v>David Kenny</v>
      </c>
      <c r="E30" s="44">
        <v>41990.524305555555</v>
      </c>
      <c r="F30" t="s">
        <v>2508</v>
      </c>
      <c r="G30" t="str">
        <f t="shared" si="1"/>
        <v>published</v>
      </c>
      <c r="H30" s="45">
        <v>41589</v>
      </c>
      <c r="I30" s="45">
        <v>42004</v>
      </c>
      <c r="J30" s="46">
        <v>38000</v>
      </c>
      <c r="K30" t="s">
        <v>2301</v>
      </c>
      <c r="L30" t="str">
        <f>"0004604269"</f>
        <v>0004604269</v>
      </c>
      <c r="M30" t="str">
        <f t="shared" si="13"/>
        <v>Legal services</v>
      </c>
      <c r="N30" t="str">
        <f t="shared" si="14"/>
        <v>Prequalified tender</v>
      </c>
      <c r="O30" t="str">
        <f>""</f>
        <v/>
      </c>
      <c r="Q30" t="str">
        <f t="shared" si="15"/>
        <v>Yes</v>
      </c>
      <c r="R30" t="str">
        <f t="shared" si="16"/>
        <v>Intellectual property</v>
      </c>
      <c r="S30" t="str">
        <f t="shared" si="17"/>
        <v>Yes</v>
      </c>
      <c r="T30" t="str">
        <f t="shared" si="18"/>
        <v>Intellectual property</v>
      </c>
      <c r="U30" t="str">
        <f t="shared" si="19"/>
        <v>Yes</v>
      </c>
      <c r="V30" t="str">
        <f t="shared" si="20"/>
        <v>Need for specialised or professional skills</v>
      </c>
      <c r="X30" t="str">
        <f>"AUSTRALIAN GOVERNMENT SOLICITOR"</f>
        <v>AUSTRALIAN GOVERNMENT SOLICITOR</v>
      </c>
      <c r="Y30" t="str">
        <f>"Locked Bag 7246"</f>
        <v>Locked Bag 7246</v>
      </c>
      <c r="Z30" t="str">
        <f>"Canberra Mail Centre"</f>
        <v>Canberra Mail Centre</v>
      </c>
      <c r="AA30" t="str">
        <f>"2610"</f>
        <v>2610</v>
      </c>
      <c r="AB30" t="str">
        <f t="shared" si="10"/>
        <v>Australia</v>
      </c>
      <c r="AC30" t="str">
        <f t="shared" si="6"/>
        <v>No</v>
      </c>
      <c r="AD30" t="str">
        <f>"69405937639"</f>
        <v>69405937639</v>
      </c>
      <c r="AE30" t="str">
        <f>"PROCUREMENT MANAGER"</f>
        <v>PROCUREMENT MANAGER</v>
      </c>
      <c r="AF30" t="str">
        <f t="shared" si="12"/>
        <v>(02) 6271 1000</v>
      </c>
      <c r="AG30" t="str">
        <f>""</f>
        <v/>
      </c>
      <c r="AH30" t="str">
        <f>""</f>
        <v/>
      </c>
      <c r="AI30" t="str">
        <f>"GENERAL COUNSEL Office of the General Counsel"</f>
        <v>GENERAL COUNSEL Office of the General Counsel</v>
      </c>
      <c r="AJ30" t="str">
        <f t="shared" si="9"/>
        <v>2603</v>
      </c>
    </row>
    <row r="31" spans="1:36" x14ac:dyDescent="0.25">
      <c r="A31" t="str">
        <f t="shared" si="0"/>
        <v>Department of Communications</v>
      </c>
      <c r="B31" t="str">
        <f>""</f>
        <v/>
      </c>
      <c r="C31" t="str">
        <f>"CN2510851"</f>
        <v>CN2510851</v>
      </c>
      <c r="D31" t="str">
        <f>"Thomas Lonsdale"</f>
        <v>Thomas Lonsdale</v>
      </c>
      <c r="E31" s="44">
        <v>41871.431250000001</v>
      </c>
      <c r="F31" t="s">
        <v>2508</v>
      </c>
      <c r="G31" t="str">
        <f t="shared" si="1"/>
        <v>published</v>
      </c>
      <c r="H31" s="45">
        <v>41589</v>
      </c>
      <c r="I31" s="45">
        <v>42004</v>
      </c>
      <c r="J31" s="46">
        <v>27725.3</v>
      </c>
      <c r="K31" t="s">
        <v>2301</v>
      </c>
      <c r="L31" t="str">
        <f>"0004604269"</f>
        <v>0004604269</v>
      </c>
      <c r="M31" t="str">
        <f t="shared" si="13"/>
        <v>Legal services</v>
      </c>
      <c r="N31" t="str">
        <f t="shared" si="14"/>
        <v>Prequalified tender</v>
      </c>
      <c r="O31" t="str">
        <f>""</f>
        <v/>
      </c>
      <c r="Q31" t="str">
        <f t="shared" si="15"/>
        <v>Yes</v>
      </c>
      <c r="R31" t="str">
        <f t="shared" si="16"/>
        <v>Intellectual property</v>
      </c>
      <c r="S31" t="str">
        <f t="shared" si="17"/>
        <v>Yes</v>
      </c>
      <c r="T31" t="str">
        <f t="shared" si="18"/>
        <v>Intellectual property</v>
      </c>
      <c r="U31" t="str">
        <f t="shared" si="19"/>
        <v>Yes</v>
      </c>
      <c r="V31" t="str">
        <f t="shared" si="20"/>
        <v>Need for specialised or professional skills</v>
      </c>
      <c r="X31" t="str">
        <f>"AUSTRALIAN GOVERNMENT SOLICITOR"</f>
        <v>AUSTRALIAN GOVERNMENT SOLICITOR</v>
      </c>
      <c r="Y31" t="str">
        <f>"Locked Bag 7246"</f>
        <v>Locked Bag 7246</v>
      </c>
      <c r="Z31" t="str">
        <f>"Canberra Mail Centre"</f>
        <v>Canberra Mail Centre</v>
      </c>
      <c r="AA31" t="str">
        <f>"2610"</f>
        <v>2610</v>
      </c>
      <c r="AB31" t="str">
        <f t="shared" si="10"/>
        <v>Australia</v>
      </c>
      <c r="AC31" t="str">
        <f t="shared" si="6"/>
        <v>No</v>
      </c>
      <c r="AD31" t="str">
        <f>"69405937639"</f>
        <v>69405937639</v>
      </c>
      <c r="AE31" t="str">
        <f>"ADMIN OFFICER"</f>
        <v>ADMIN OFFICER</v>
      </c>
      <c r="AF31" t="str">
        <f t="shared" si="12"/>
        <v>(02) 6271 1000</v>
      </c>
      <c r="AG31" t="str">
        <f>""</f>
        <v/>
      </c>
      <c r="AH31" t="str">
        <f>""</f>
        <v/>
      </c>
      <c r="AI31" t="str">
        <f>"LEGAL Legal"</f>
        <v>LEGAL Legal</v>
      </c>
      <c r="AJ31" t="str">
        <f t="shared" si="9"/>
        <v>2603</v>
      </c>
    </row>
    <row r="32" spans="1:36" x14ac:dyDescent="0.25">
      <c r="A32" t="str">
        <f t="shared" si="0"/>
        <v>Department of Communications</v>
      </c>
      <c r="B32" t="str">
        <f>""</f>
        <v/>
      </c>
      <c r="C32" t="str">
        <f>"CN2577851"</f>
        <v>CN2577851</v>
      </c>
      <c r="D32" t="str">
        <f>"David Kenny"</f>
        <v>David Kenny</v>
      </c>
      <c r="E32" s="44">
        <v>41901.635416666664</v>
      </c>
      <c r="F32" t="s">
        <v>2508</v>
      </c>
      <c r="G32" t="str">
        <f t="shared" si="1"/>
        <v>published</v>
      </c>
      <c r="H32" s="45">
        <v>41589</v>
      </c>
      <c r="I32" s="45">
        <v>42004</v>
      </c>
      <c r="J32" s="46">
        <v>35000</v>
      </c>
      <c r="K32" t="s">
        <v>2301</v>
      </c>
      <c r="L32" t="str">
        <f>"0004604269"</f>
        <v>0004604269</v>
      </c>
      <c r="M32" t="str">
        <f t="shared" si="13"/>
        <v>Legal services</v>
      </c>
      <c r="N32" t="str">
        <f t="shared" si="14"/>
        <v>Prequalified tender</v>
      </c>
      <c r="O32" t="str">
        <f>""</f>
        <v/>
      </c>
      <c r="Q32" t="str">
        <f t="shared" si="15"/>
        <v>Yes</v>
      </c>
      <c r="R32" t="str">
        <f t="shared" si="16"/>
        <v>Intellectual property</v>
      </c>
      <c r="S32" t="str">
        <f t="shared" si="17"/>
        <v>Yes</v>
      </c>
      <c r="T32" t="str">
        <f t="shared" si="18"/>
        <v>Intellectual property</v>
      </c>
      <c r="U32" t="str">
        <f t="shared" si="19"/>
        <v>Yes</v>
      </c>
      <c r="V32" t="str">
        <f t="shared" si="20"/>
        <v>Need for specialised or professional skills</v>
      </c>
      <c r="X32" t="str">
        <f>"AUSTRALIAN GOVERNMENT SOLICITOR"</f>
        <v>AUSTRALIAN GOVERNMENT SOLICITOR</v>
      </c>
      <c r="Y32" t="str">
        <f>"Locked Bag 7246"</f>
        <v>Locked Bag 7246</v>
      </c>
      <c r="Z32" t="str">
        <f>"Canberra Mail Centre"</f>
        <v>Canberra Mail Centre</v>
      </c>
      <c r="AA32" t="str">
        <f>"2610"</f>
        <v>2610</v>
      </c>
      <c r="AB32" t="str">
        <f t="shared" si="10"/>
        <v>Australia</v>
      </c>
      <c r="AC32" t="str">
        <f t="shared" si="6"/>
        <v>No</v>
      </c>
      <c r="AD32" t="str">
        <f>"69405937639"</f>
        <v>69405937639</v>
      </c>
      <c r="AE32" t="str">
        <f>"PROCUREMENT MANAGER"</f>
        <v>PROCUREMENT MANAGER</v>
      </c>
      <c r="AF32" t="str">
        <f t="shared" si="12"/>
        <v>(02) 6271 1000</v>
      </c>
      <c r="AG32" t="str">
        <f>""</f>
        <v/>
      </c>
      <c r="AH32" t="str">
        <f>""</f>
        <v/>
      </c>
      <c r="AI32" t="str">
        <f>"GENERAL COUNSEL Office of the General Counsel"</f>
        <v>GENERAL COUNSEL Office of the General Counsel</v>
      </c>
      <c r="AJ32" t="str">
        <f t="shared" si="9"/>
        <v>2603</v>
      </c>
    </row>
    <row r="33" spans="1:36" x14ac:dyDescent="0.25">
      <c r="A33" t="str">
        <f t="shared" si="0"/>
        <v>Department of Communications</v>
      </c>
      <c r="B33" t="str">
        <f>""</f>
        <v/>
      </c>
      <c r="C33" t="str">
        <f>"CN2951932"</f>
        <v>CN2951932</v>
      </c>
      <c r="D33" t="str">
        <f>"Leesa O'connor"</f>
        <v>Leesa O'connor</v>
      </c>
      <c r="E33" s="44">
        <v>42094.418749999997</v>
      </c>
      <c r="F33" t="s">
        <v>2508</v>
      </c>
      <c r="G33" t="str">
        <f t="shared" si="1"/>
        <v>published</v>
      </c>
      <c r="H33" s="45">
        <v>41540</v>
      </c>
      <c r="I33" s="45">
        <v>42185</v>
      </c>
      <c r="J33" s="46">
        <v>12000</v>
      </c>
      <c r="K33" t="s">
        <v>2305</v>
      </c>
      <c r="L33" t="str">
        <f>"0004604273"</f>
        <v>0004604273</v>
      </c>
      <c r="M33" t="str">
        <f t="shared" si="13"/>
        <v>Legal services</v>
      </c>
      <c r="N33" t="str">
        <f t="shared" si="14"/>
        <v>Prequalified tender</v>
      </c>
      <c r="O33" t="str">
        <f>""</f>
        <v/>
      </c>
      <c r="Q33" t="str">
        <f t="shared" si="15"/>
        <v>Yes</v>
      </c>
      <c r="R33" t="str">
        <f t="shared" si="16"/>
        <v>Intellectual property</v>
      </c>
      <c r="S33" t="str">
        <f t="shared" si="17"/>
        <v>Yes</v>
      </c>
      <c r="T33" t="str">
        <f t="shared" si="18"/>
        <v>Intellectual property</v>
      </c>
      <c r="U33" t="str">
        <f t="shared" si="19"/>
        <v>Yes</v>
      </c>
      <c r="V33" t="str">
        <f t="shared" si="20"/>
        <v>Need for specialised or professional skills</v>
      </c>
      <c r="X33" t="str">
        <f>"Henry Davis York Lawyers"</f>
        <v>Henry Davis York Lawyers</v>
      </c>
      <c r="Y33" t="str">
        <f>"44 Martin Place"</f>
        <v>44 Martin Place</v>
      </c>
      <c r="Z33" t="str">
        <f>"Sydney"</f>
        <v>Sydney</v>
      </c>
      <c r="AA33" t="str">
        <f>"2000"</f>
        <v>2000</v>
      </c>
      <c r="AB33" t="str">
        <f t="shared" si="10"/>
        <v>Australia</v>
      </c>
      <c r="AC33" t="str">
        <f t="shared" si="6"/>
        <v>No</v>
      </c>
      <c r="AD33" t="str">
        <f>"94516079651"</f>
        <v>94516079651</v>
      </c>
      <c r="AE33" t="str">
        <f>"PROCUREMENT MANAGER"</f>
        <v>PROCUREMENT MANAGER</v>
      </c>
      <c r="AF33" t="str">
        <f t="shared" si="12"/>
        <v>(02) 6271 1000</v>
      </c>
      <c r="AG33" t="str">
        <f>""</f>
        <v/>
      </c>
      <c r="AH33" t="str">
        <f>""</f>
        <v/>
      </c>
      <c r="AI33" t="str">
        <f>"GENERAL COUNSEL Office of the General Counsel"</f>
        <v>GENERAL COUNSEL Office of the General Counsel</v>
      </c>
      <c r="AJ33" t="str">
        <f t="shared" si="9"/>
        <v>2603</v>
      </c>
    </row>
    <row r="34" spans="1:36" x14ac:dyDescent="0.25">
      <c r="A34" t="str">
        <f t="shared" si="0"/>
        <v>Department of Communications</v>
      </c>
      <c r="B34" t="str">
        <f>""</f>
        <v/>
      </c>
      <c r="C34" t="str">
        <f>"CN2756822"</f>
        <v>CN2756822</v>
      </c>
      <c r="D34" t="str">
        <f>"David Kenny"</f>
        <v>David Kenny</v>
      </c>
      <c r="E34" s="44">
        <v>41990.524305555555</v>
      </c>
      <c r="F34" t="s">
        <v>2508</v>
      </c>
      <c r="G34" t="str">
        <f t="shared" si="1"/>
        <v>published</v>
      </c>
      <c r="H34" s="45">
        <v>41540</v>
      </c>
      <c r="I34" s="45">
        <v>42185</v>
      </c>
      <c r="J34" s="46">
        <v>25000</v>
      </c>
      <c r="K34" t="s">
        <v>2305</v>
      </c>
      <c r="L34" t="str">
        <f>"0004604273"</f>
        <v>0004604273</v>
      </c>
      <c r="M34" t="str">
        <f t="shared" si="13"/>
        <v>Legal services</v>
      </c>
      <c r="N34" t="str">
        <f t="shared" si="14"/>
        <v>Prequalified tender</v>
      </c>
      <c r="O34" t="str">
        <f>""</f>
        <v/>
      </c>
      <c r="Q34" t="str">
        <f t="shared" si="15"/>
        <v>Yes</v>
      </c>
      <c r="R34" t="str">
        <f t="shared" si="16"/>
        <v>Intellectual property</v>
      </c>
      <c r="S34" t="str">
        <f t="shared" si="17"/>
        <v>Yes</v>
      </c>
      <c r="T34" t="str">
        <f t="shared" si="18"/>
        <v>Intellectual property</v>
      </c>
      <c r="U34" t="str">
        <f t="shared" si="19"/>
        <v>Yes</v>
      </c>
      <c r="V34" t="str">
        <f t="shared" si="20"/>
        <v>Need for specialised or professional skills</v>
      </c>
      <c r="X34" t="str">
        <f>"Henry Davis York Lawyers"</f>
        <v>Henry Davis York Lawyers</v>
      </c>
      <c r="Y34" t="str">
        <f>"44 Martin Place"</f>
        <v>44 Martin Place</v>
      </c>
      <c r="Z34" t="str">
        <f>"Sydney"</f>
        <v>Sydney</v>
      </c>
      <c r="AA34" t="str">
        <f>"2000"</f>
        <v>2000</v>
      </c>
      <c r="AB34" t="str">
        <f t="shared" si="10"/>
        <v>Australia</v>
      </c>
      <c r="AC34" t="str">
        <f t="shared" si="6"/>
        <v>No</v>
      </c>
      <c r="AD34" t="str">
        <f>"94516079651"</f>
        <v>94516079651</v>
      </c>
      <c r="AE34" t="str">
        <f>"PROCUREMENT MANAGER"</f>
        <v>PROCUREMENT MANAGER</v>
      </c>
      <c r="AF34" t="str">
        <f t="shared" si="12"/>
        <v>(02) 6271 1000</v>
      </c>
      <c r="AG34" t="str">
        <f>""</f>
        <v/>
      </c>
      <c r="AH34" t="str">
        <f>""</f>
        <v/>
      </c>
      <c r="AI34" t="str">
        <f>"GENERAL COUNSEL Office of the General Counsel"</f>
        <v>GENERAL COUNSEL Office of the General Counsel</v>
      </c>
      <c r="AJ34" t="str">
        <f t="shared" si="9"/>
        <v>2603</v>
      </c>
    </row>
    <row r="35" spans="1:36" x14ac:dyDescent="0.25">
      <c r="A35" t="str">
        <f t="shared" si="0"/>
        <v>Department of Communications</v>
      </c>
      <c r="B35" t="str">
        <f>""</f>
        <v/>
      </c>
      <c r="C35" t="str">
        <f>"CN2440172"</f>
        <v>CN2440172</v>
      </c>
      <c r="D35" t="str">
        <f>"Thomas Lonsdale"</f>
        <v>Thomas Lonsdale</v>
      </c>
      <c r="E35" s="44">
        <v>41843.574999999997</v>
      </c>
      <c r="F35" t="s">
        <v>2508</v>
      </c>
      <c r="G35" t="str">
        <f t="shared" si="1"/>
        <v>published</v>
      </c>
      <c r="H35" s="45">
        <v>41626</v>
      </c>
      <c r="I35" s="45">
        <v>42216</v>
      </c>
      <c r="J35" s="46">
        <v>3700000</v>
      </c>
      <c r="K35" t="s">
        <v>2160</v>
      </c>
      <c r="L35" t="str">
        <f>"0004604319"</f>
        <v>0004604319</v>
      </c>
      <c r="M35" t="str">
        <f>"Strategic planning consultation services"</f>
        <v>Strategic planning consultation services</v>
      </c>
      <c r="N35" t="str">
        <f>"Open tender"</f>
        <v>Open tender</v>
      </c>
      <c r="O35" t="str">
        <f>"DCON/13/234"</f>
        <v>DCON/13/234</v>
      </c>
      <c r="Q35" t="str">
        <f>"No"</f>
        <v>No</v>
      </c>
      <c r="R35" t="str">
        <f>""</f>
        <v/>
      </c>
      <c r="S35" t="str">
        <f t="shared" si="17"/>
        <v>Yes</v>
      </c>
      <c r="T35" t="str">
        <f>"Other - COMMERCIAL IN CONFIDENCE INFORMATION WILL BE INCLUDED"</f>
        <v>Other - COMMERCIAL IN CONFIDENCE INFORMATION WILL BE INCLUDED</v>
      </c>
      <c r="U35" t="str">
        <f t="shared" si="19"/>
        <v>Yes</v>
      </c>
      <c r="V35" t="str">
        <f t="shared" si="20"/>
        <v>Need for specialised or professional skills</v>
      </c>
      <c r="X35" t="str">
        <f>"Credit Suisse (Australia) Ltd"</f>
        <v>Credit Suisse (Australia) Ltd</v>
      </c>
      <c r="Y35" t="str">
        <f>"Level 31 Gateway, 1 Macquarie Place"</f>
        <v>Level 31 Gateway, 1 Macquarie Place</v>
      </c>
      <c r="Z35" t="str">
        <f>"Sydney"</f>
        <v>Sydney</v>
      </c>
      <c r="AA35" t="str">
        <f>"2000"</f>
        <v>2000</v>
      </c>
      <c r="AB35" t="str">
        <f t="shared" si="10"/>
        <v>Australia</v>
      </c>
      <c r="AC35" t="str">
        <f t="shared" si="6"/>
        <v>No</v>
      </c>
      <c r="AD35" t="str">
        <f>"94007016300"</f>
        <v>94007016300</v>
      </c>
      <c r="AE35" t="str">
        <f>"ADMIN OFFICER"</f>
        <v>ADMIN OFFICER</v>
      </c>
      <c r="AF35" t="str">
        <f t="shared" si="12"/>
        <v>(02) 6271 1000</v>
      </c>
      <c r="AG35" t="str">
        <f>""</f>
        <v/>
      </c>
      <c r="AH35" t="str">
        <f>""</f>
        <v/>
      </c>
      <c r="AI35" t="str">
        <f>"NPAR"</f>
        <v>NPAR</v>
      </c>
      <c r="AJ35" t="str">
        <f t="shared" si="9"/>
        <v>2603</v>
      </c>
    </row>
    <row r="36" spans="1:36" x14ac:dyDescent="0.25">
      <c r="A36" t="str">
        <f t="shared" si="0"/>
        <v>Department of Communications</v>
      </c>
      <c r="B36" t="str">
        <f>""</f>
        <v/>
      </c>
      <c r="C36" t="str">
        <f>"CN2611331"</f>
        <v>CN2611331</v>
      </c>
      <c r="D36" t="str">
        <f>"David Kenny"</f>
        <v>David Kenny</v>
      </c>
      <c r="E36" s="44">
        <v>41920.474305555559</v>
      </c>
      <c r="F36" t="s">
        <v>2508</v>
      </c>
      <c r="G36" t="str">
        <f t="shared" si="1"/>
        <v>published</v>
      </c>
      <c r="H36" s="45">
        <v>41684</v>
      </c>
      <c r="I36" s="45">
        <v>41918</v>
      </c>
      <c r="J36" s="46">
        <v>16500</v>
      </c>
      <c r="K36" t="s">
        <v>2180</v>
      </c>
      <c r="L36" t="str">
        <f>"0004604366"</f>
        <v>0004604366</v>
      </c>
      <c r="M36" t="str">
        <f>"Management advisory services"</f>
        <v>Management advisory services</v>
      </c>
      <c r="N36" t="str">
        <f>"Open tender"</f>
        <v>Open tender</v>
      </c>
      <c r="O36" t="str">
        <f>"DCON/12/133"</f>
        <v>DCON/12/133</v>
      </c>
      <c r="P36" t="str">
        <f>"SON1143842"</f>
        <v>SON1143842</v>
      </c>
      <c r="Q36" t="str">
        <f>"No"</f>
        <v>No</v>
      </c>
      <c r="R36" t="str">
        <f>""</f>
        <v/>
      </c>
      <c r="S36" t="str">
        <f>"No"</f>
        <v>No</v>
      </c>
      <c r="T36" t="str">
        <f>""</f>
        <v/>
      </c>
      <c r="U36" t="str">
        <f t="shared" si="19"/>
        <v>Yes</v>
      </c>
      <c r="V36" t="str">
        <f>"Need for independent research or assessment"</f>
        <v>Need for independent research or assessment</v>
      </c>
      <c r="X36" t="str">
        <f>"INTERNATIONAL ECONOMICS UNIT TRUST"</f>
        <v>INTERNATIONAL ECONOMICS UNIT TRUST</v>
      </c>
      <c r="Y36" t="str">
        <f>"PO Box 397"</f>
        <v>PO Box 397</v>
      </c>
      <c r="Z36" t="str">
        <f>"SYDNEY"</f>
        <v>SYDNEY</v>
      </c>
      <c r="AA36" t="str">
        <f>"1043"</f>
        <v>1043</v>
      </c>
      <c r="AB36" t="str">
        <f t="shared" si="10"/>
        <v>Australia</v>
      </c>
      <c r="AC36" t="str">
        <f t="shared" ref="AC36:AC67" si="21">"No"</f>
        <v>No</v>
      </c>
      <c r="AD36" t="str">
        <f>"11705723812"</f>
        <v>11705723812</v>
      </c>
      <c r="AE36" t="str">
        <f>"ADMIN OFFICER"</f>
        <v>ADMIN OFFICER</v>
      </c>
      <c r="AF36" t="str">
        <f t="shared" si="12"/>
        <v>(02) 6271 1000</v>
      </c>
      <c r="AG36" t="str">
        <f>""</f>
        <v/>
      </c>
      <c r="AH36" t="str">
        <f>""</f>
        <v/>
      </c>
      <c r="AI36" t="str">
        <f>"NPAR"</f>
        <v>NPAR</v>
      </c>
      <c r="AJ36" t="str">
        <f t="shared" si="9"/>
        <v>2603</v>
      </c>
    </row>
    <row r="37" spans="1:36" x14ac:dyDescent="0.25">
      <c r="A37" t="str">
        <f t="shared" si="0"/>
        <v>Department of Communications</v>
      </c>
      <c r="B37" t="str">
        <f>""</f>
        <v/>
      </c>
      <c r="C37" t="str">
        <f>"CN2380701"</f>
        <v>CN2380701</v>
      </c>
      <c r="D37" t="str">
        <f>"Thomas Lonsdale"</f>
        <v>Thomas Lonsdale</v>
      </c>
      <c r="E37" s="44">
        <v>41823.45416666667</v>
      </c>
      <c r="F37" t="s">
        <v>2508</v>
      </c>
      <c r="G37" t="str">
        <f t="shared" si="1"/>
        <v>published</v>
      </c>
      <c r="H37" s="45">
        <v>41691</v>
      </c>
      <c r="I37" s="45">
        <v>41820</v>
      </c>
      <c r="J37" s="46">
        <v>14410</v>
      </c>
      <c r="K37" t="s">
        <v>2301</v>
      </c>
      <c r="L37" t="str">
        <f>"0004604369"</f>
        <v>0004604369</v>
      </c>
      <c r="M37" t="str">
        <f>"Legal services"</f>
        <v>Legal services</v>
      </c>
      <c r="N37" t="str">
        <f>"Prequalified tender"</f>
        <v>Prequalified tender</v>
      </c>
      <c r="O37" t="str">
        <f>""</f>
        <v/>
      </c>
      <c r="Q37" t="str">
        <f>"Yes"</f>
        <v>Yes</v>
      </c>
      <c r="R37" t="str">
        <f>"Costing/profit information"</f>
        <v>Costing/profit information</v>
      </c>
      <c r="S37" t="str">
        <f>"Yes"</f>
        <v>Yes</v>
      </c>
      <c r="T37" t="str">
        <f>"Intellectual property"</f>
        <v>Intellectual property</v>
      </c>
      <c r="U37" t="str">
        <f t="shared" si="19"/>
        <v>Yes</v>
      </c>
      <c r="V37" t="str">
        <f>"Need for specialised or professional skills"</f>
        <v>Need for specialised or professional skills</v>
      </c>
      <c r="X37" t="str">
        <f>"Clayton Utz (Canberra)"</f>
        <v>Clayton Utz (Canberra)</v>
      </c>
      <c r="Y37" t="str">
        <f>"GPO Box 1940"</f>
        <v>GPO Box 1940</v>
      </c>
      <c r="Z37" t="str">
        <f>"Canberra"</f>
        <v>Canberra</v>
      </c>
      <c r="AA37" t="str">
        <f>"2601"</f>
        <v>2601</v>
      </c>
      <c r="AB37" t="str">
        <f t="shared" si="10"/>
        <v>Australia</v>
      </c>
      <c r="AC37" t="str">
        <f t="shared" si="21"/>
        <v>No</v>
      </c>
      <c r="AD37" t="str">
        <f>"35740217343"</f>
        <v>35740217343</v>
      </c>
      <c r="AE37" t="str">
        <f>"ADMIN OFFICER"</f>
        <v>ADMIN OFFICER</v>
      </c>
      <c r="AF37" t="str">
        <f t="shared" si="12"/>
        <v>(02) 6271 1000</v>
      </c>
      <c r="AG37" t="str">
        <f>""</f>
        <v/>
      </c>
      <c r="AH37" t="str">
        <f>""</f>
        <v/>
      </c>
      <c r="AI37" t="str">
        <f>"LEGAL Legal"</f>
        <v>LEGAL Legal</v>
      </c>
      <c r="AJ37" t="str">
        <f t="shared" si="9"/>
        <v>2603</v>
      </c>
    </row>
    <row r="38" spans="1:36" x14ac:dyDescent="0.25">
      <c r="A38" t="str">
        <f t="shared" si="0"/>
        <v>Department of Communications</v>
      </c>
      <c r="B38" t="str">
        <f>""</f>
        <v/>
      </c>
      <c r="C38" t="str">
        <f>"CN2979042"</f>
        <v>CN2979042</v>
      </c>
      <c r="D38" t="str">
        <f>"Leesa O'connor"</f>
        <v>Leesa O'connor</v>
      </c>
      <c r="E38" s="44">
        <v>42104.607638888891</v>
      </c>
      <c r="F38" t="s">
        <v>2508</v>
      </c>
      <c r="G38" t="str">
        <f t="shared" si="1"/>
        <v>published</v>
      </c>
      <c r="H38" s="45">
        <v>41696</v>
      </c>
      <c r="I38" s="45">
        <v>41820</v>
      </c>
      <c r="J38" s="46">
        <v>11619.58</v>
      </c>
      <c r="K38" t="s">
        <v>2511</v>
      </c>
      <c r="L38" t="str">
        <f>"0004604372"</f>
        <v>0004604372</v>
      </c>
      <c r="M38" t="str">
        <f>"Temporary personnel services"</f>
        <v>Temporary personnel services</v>
      </c>
      <c r="N38" t="str">
        <f t="shared" ref="N38:N44" si="22">"Open tender"</f>
        <v>Open tender</v>
      </c>
      <c r="O38" t="str">
        <f>"DCON/12/244"</f>
        <v>DCON/12/244</v>
      </c>
      <c r="P38" t="str">
        <f>"SON1180562"</f>
        <v>SON1180562</v>
      </c>
      <c r="Q38" t="str">
        <f t="shared" ref="Q38:Q44" si="23">"No"</f>
        <v>No</v>
      </c>
      <c r="R38" t="str">
        <f>""</f>
        <v/>
      </c>
      <c r="S38" t="str">
        <f t="shared" ref="S38:S44" si="24">"No"</f>
        <v>No</v>
      </c>
      <c r="T38" t="str">
        <f>""</f>
        <v/>
      </c>
      <c r="U38" t="str">
        <f>"No"</f>
        <v>No</v>
      </c>
      <c r="V38" t="str">
        <f>""</f>
        <v/>
      </c>
      <c r="X38" t="str">
        <f>"DFP Recruitment Services"</f>
        <v>DFP Recruitment Services</v>
      </c>
      <c r="Y38" t="str">
        <f>"388 Collins Street"</f>
        <v>388 Collins Street</v>
      </c>
      <c r="Z38" t="str">
        <f>"Melbourne"</f>
        <v>Melbourne</v>
      </c>
      <c r="AA38" t="str">
        <f>"3000"</f>
        <v>3000</v>
      </c>
      <c r="AB38" t="str">
        <f t="shared" si="10"/>
        <v>Australia</v>
      </c>
      <c r="AC38" t="str">
        <f t="shared" si="21"/>
        <v>No</v>
      </c>
      <c r="AD38" t="str">
        <f>"66394749447"</f>
        <v>66394749447</v>
      </c>
      <c r="AE38" t="str">
        <f>"PROCUREMENT MANAGER"</f>
        <v>PROCUREMENT MANAGER</v>
      </c>
      <c r="AF38" t="str">
        <f t="shared" si="12"/>
        <v>(02) 6271 1000</v>
      </c>
      <c r="AG38" t="str">
        <f>""</f>
        <v/>
      </c>
      <c r="AH38" t="str">
        <f>""</f>
        <v/>
      </c>
      <c r="AI38" t="str">
        <f>"GENERAL COUNSEL Office of the General Counsel"</f>
        <v>GENERAL COUNSEL Office of the General Counsel</v>
      </c>
      <c r="AJ38" t="str">
        <f>"2000"</f>
        <v>2000</v>
      </c>
    </row>
    <row r="39" spans="1:36" x14ac:dyDescent="0.25">
      <c r="A39" t="str">
        <f t="shared" si="0"/>
        <v>Department of Communications</v>
      </c>
      <c r="B39" t="str">
        <f>""</f>
        <v/>
      </c>
      <c r="C39" t="str">
        <f>"CN2885832"</f>
        <v>CN2885832</v>
      </c>
      <c r="D39" t="str">
        <f>"David Kenny"</f>
        <v>David Kenny</v>
      </c>
      <c r="E39" s="44">
        <v>42062.686111111114</v>
      </c>
      <c r="F39" t="s">
        <v>2508</v>
      </c>
      <c r="G39" t="str">
        <f t="shared" si="1"/>
        <v>published</v>
      </c>
      <c r="H39" s="45">
        <v>41717</v>
      </c>
      <c r="I39" s="45">
        <v>42185</v>
      </c>
      <c r="J39" s="46">
        <v>53000</v>
      </c>
      <c r="K39" t="s">
        <v>1317</v>
      </c>
      <c r="L39" t="str">
        <f>"0004604398"</f>
        <v>0004604398</v>
      </c>
      <c r="M39" t="str">
        <f>"Temporary personnel services"</f>
        <v>Temporary personnel services</v>
      </c>
      <c r="N39" t="str">
        <f t="shared" si="22"/>
        <v>Open tender</v>
      </c>
      <c r="O39" t="str">
        <f>"DCON/12/244"</f>
        <v>DCON/12/244</v>
      </c>
      <c r="P39" t="str">
        <f>"SON1180562"</f>
        <v>SON1180562</v>
      </c>
      <c r="Q39" t="str">
        <f t="shared" si="23"/>
        <v>No</v>
      </c>
      <c r="R39" t="str">
        <f>""</f>
        <v/>
      </c>
      <c r="S39" t="str">
        <f t="shared" si="24"/>
        <v>No</v>
      </c>
      <c r="T39" t="str">
        <f>""</f>
        <v/>
      </c>
      <c r="U39" t="str">
        <f>"No"</f>
        <v>No</v>
      </c>
      <c r="V39" t="str">
        <f>""</f>
        <v/>
      </c>
      <c r="X39" t="str">
        <f>"DFP Recruitment Services"</f>
        <v>DFP Recruitment Services</v>
      </c>
      <c r="Y39" t="str">
        <f>"388 Collins Street"</f>
        <v>388 Collins Street</v>
      </c>
      <c r="Z39" t="str">
        <f>"Melbourne"</f>
        <v>Melbourne</v>
      </c>
      <c r="AA39" t="str">
        <f>"3000"</f>
        <v>3000</v>
      </c>
      <c r="AB39" t="str">
        <f t="shared" si="10"/>
        <v>Australia</v>
      </c>
      <c r="AC39" t="str">
        <f t="shared" si="21"/>
        <v>No</v>
      </c>
      <c r="AD39" t="str">
        <f>"66394749447"</f>
        <v>66394749447</v>
      </c>
      <c r="AE39" t="str">
        <f>"ADMIN OFFICER"</f>
        <v>ADMIN OFFICER</v>
      </c>
      <c r="AF39" t="str">
        <f t="shared" si="12"/>
        <v>(02) 6271 1000</v>
      </c>
      <c r="AG39" t="str">
        <f>""</f>
        <v/>
      </c>
      <c r="AH39" t="str">
        <f>""</f>
        <v/>
      </c>
      <c r="AI39" t="str">
        <f>"CORPORATE TREASURY [OLD] Corporate Treasury"</f>
        <v>CORPORATE TREASURY [OLD] Corporate Treasury</v>
      </c>
      <c r="AJ39" t="str">
        <f>"2603"</f>
        <v>2603</v>
      </c>
    </row>
    <row r="40" spans="1:36" x14ac:dyDescent="0.25">
      <c r="A40" t="str">
        <f t="shared" si="0"/>
        <v>Department of Communications</v>
      </c>
      <c r="B40" t="str">
        <f>""</f>
        <v/>
      </c>
      <c r="C40" t="str">
        <f>"CN2426242"</f>
        <v>CN2426242</v>
      </c>
      <c r="D40" t="str">
        <f>"Robert McGlynn"</f>
        <v>Robert McGlynn</v>
      </c>
      <c r="E40" s="44">
        <v>41837.452777777777</v>
      </c>
      <c r="F40" t="s">
        <v>2508</v>
      </c>
      <c r="G40" t="str">
        <f t="shared" si="1"/>
        <v>published</v>
      </c>
      <c r="H40" s="45">
        <v>41761</v>
      </c>
      <c r="I40" s="45">
        <v>41805</v>
      </c>
      <c r="J40" s="46">
        <v>359016.19</v>
      </c>
      <c r="K40" t="s">
        <v>2512</v>
      </c>
      <c r="L40" t="str">
        <f>"0004604459"</f>
        <v>0004604459</v>
      </c>
      <c r="M40" t="str">
        <f>"Software"</f>
        <v>Software</v>
      </c>
      <c r="N40" t="str">
        <f t="shared" si="22"/>
        <v>Open tender</v>
      </c>
      <c r="O40" t="str">
        <f>"FIN10/AGI001"</f>
        <v>FIN10/AGI001</v>
      </c>
      <c r="P40" t="str">
        <f>"SON335550"</f>
        <v>SON335550</v>
      </c>
      <c r="Q40" t="str">
        <f t="shared" si="23"/>
        <v>No</v>
      </c>
      <c r="R40" t="str">
        <f>""</f>
        <v/>
      </c>
      <c r="S40" t="str">
        <f t="shared" si="24"/>
        <v>No</v>
      </c>
      <c r="T40" t="str">
        <f>""</f>
        <v/>
      </c>
      <c r="U40" t="str">
        <f>"No"</f>
        <v>No</v>
      </c>
      <c r="V40" t="str">
        <f>""</f>
        <v/>
      </c>
      <c r="X40" t="str">
        <f>"DATA#3 Limited"</f>
        <v>DATA#3 Limited</v>
      </c>
      <c r="Y40" t="str">
        <f>""</f>
        <v/>
      </c>
      <c r="Z40" t="str">
        <f>"Toowong"</f>
        <v>Toowong</v>
      </c>
      <c r="AA40" t="str">
        <f>"4066"</f>
        <v>4066</v>
      </c>
      <c r="AB40" t="str">
        <f>"AUSTRALIA"</f>
        <v>AUSTRALIA</v>
      </c>
      <c r="AC40" t="str">
        <f t="shared" si="21"/>
        <v>No</v>
      </c>
      <c r="AD40" t="str">
        <f>"31010545267"</f>
        <v>31010545267</v>
      </c>
      <c r="AE40" t="str">
        <f>"Admin Officer"</f>
        <v>Admin Officer</v>
      </c>
      <c r="AF40" t="str">
        <f>""</f>
        <v/>
      </c>
      <c r="AG40" t="str">
        <f>"contracts@communications.gov.au"</f>
        <v>contracts@communications.gov.au</v>
      </c>
      <c r="AH40" t="str">
        <f>""</f>
        <v/>
      </c>
      <c r="AI40" t="str">
        <f>""</f>
        <v/>
      </c>
      <c r="AJ40" t="str">
        <f>"2003"</f>
        <v>2003</v>
      </c>
    </row>
    <row r="41" spans="1:36" x14ac:dyDescent="0.25">
      <c r="A41" t="str">
        <f t="shared" si="0"/>
        <v>Department of Communications</v>
      </c>
      <c r="B41" t="str">
        <f>""</f>
        <v/>
      </c>
      <c r="C41" t="str">
        <f>"CN2645711"</f>
        <v>CN2645711</v>
      </c>
      <c r="D41" t="str">
        <f>"David Kenny"</f>
        <v>David Kenny</v>
      </c>
      <c r="E41" s="44">
        <v>41940.561111111114</v>
      </c>
      <c r="F41" t="s">
        <v>2508</v>
      </c>
      <c r="G41" t="str">
        <f t="shared" si="1"/>
        <v>published</v>
      </c>
      <c r="H41" s="45">
        <v>41771</v>
      </c>
      <c r="I41" s="45">
        <v>41880</v>
      </c>
      <c r="J41" s="46">
        <v>26000</v>
      </c>
      <c r="K41" t="s">
        <v>1317</v>
      </c>
      <c r="L41" t="str">
        <f>"0004604465"</f>
        <v>0004604465</v>
      </c>
      <c r="M41" t="str">
        <f>"Temporary personnel services"</f>
        <v>Temporary personnel services</v>
      </c>
      <c r="N41" t="str">
        <f t="shared" si="22"/>
        <v>Open tender</v>
      </c>
      <c r="O41" t="str">
        <f>"DCON/12/244"</f>
        <v>DCON/12/244</v>
      </c>
      <c r="P41" t="str">
        <f>"SON1180562"</f>
        <v>SON1180562</v>
      </c>
      <c r="Q41" t="str">
        <f t="shared" si="23"/>
        <v>No</v>
      </c>
      <c r="R41" t="str">
        <f>""</f>
        <v/>
      </c>
      <c r="S41" t="str">
        <f t="shared" si="24"/>
        <v>No</v>
      </c>
      <c r="T41" t="str">
        <f>""</f>
        <v/>
      </c>
      <c r="U41" t="str">
        <f>"No"</f>
        <v>No</v>
      </c>
      <c r="V41" t="str">
        <f>""</f>
        <v/>
      </c>
      <c r="X41" t="str">
        <f>"HAYS PERSONNEL SERVICES (AUST) P/L"</f>
        <v>HAYS PERSONNEL SERVICES (AUST) P/L</v>
      </c>
      <c r="Y41" t="str">
        <f>"GPO BOX 3868"</f>
        <v>GPO BOX 3868</v>
      </c>
      <c r="Z41" t="str">
        <f>"SYDNEY"</f>
        <v>SYDNEY</v>
      </c>
      <c r="AA41" t="str">
        <f>"2001"</f>
        <v>2001</v>
      </c>
      <c r="AB41" t="str">
        <f t="shared" ref="AB41:AB79" si="25">"Australia"</f>
        <v>Australia</v>
      </c>
      <c r="AC41" t="str">
        <f t="shared" si="21"/>
        <v>No</v>
      </c>
      <c r="AD41" t="str">
        <f>"47001407281"</f>
        <v>47001407281</v>
      </c>
      <c r="AE41" t="str">
        <f>"ADMIN OFFICER"</f>
        <v>ADMIN OFFICER</v>
      </c>
      <c r="AF41" t="str">
        <f t="shared" ref="AF41:AF104" si="26">"(02) 6271 1000"</f>
        <v>(02) 6271 1000</v>
      </c>
      <c r="AG41" t="str">
        <f>""</f>
        <v/>
      </c>
      <c r="AH41" t="str">
        <f>""</f>
        <v/>
      </c>
      <c r="AI41" t="str">
        <f>"CYBER SAFETY [OLD] Cyber Safety"</f>
        <v>CYBER SAFETY [OLD] Cyber Safety</v>
      </c>
      <c r="AJ41" t="str">
        <f t="shared" ref="AJ41:AJ72" si="27">"2603"</f>
        <v>2603</v>
      </c>
    </row>
    <row r="42" spans="1:36" x14ac:dyDescent="0.25">
      <c r="A42" t="str">
        <f t="shared" si="0"/>
        <v>Department of Communications</v>
      </c>
      <c r="B42" t="str">
        <f>""</f>
        <v/>
      </c>
      <c r="C42" t="str">
        <f>"CN2454651"</f>
        <v>CN2454651</v>
      </c>
      <c r="D42" t="str">
        <f>"Thomas Lonsdale"</f>
        <v>Thomas Lonsdale</v>
      </c>
      <c r="E42" s="44">
        <v>41850.395833333336</v>
      </c>
      <c r="F42" t="s">
        <v>2508</v>
      </c>
      <c r="G42" t="str">
        <f t="shared" si="1"/>
        <v>published</v>
      </c>
      <c r="H42" s="45">
        <v>41780</v>
      </c>
      <c r="I42" s="45">
        <v>41851</v>
      </c>
      <c r="J42" s="46">
        <v>24575</v>
      </c>
      <c r="K42" t="s">
        <v>2204</v>
      </c>
      <c r="L42" t="str">
        <f>"0004604486"</f>
        <v>0004604486</v>
      </c>
      <c r="M42" t="str">
        <f>"Management advisory services"</f>
        <v>Management advisory services</v>
      </c>
      <c r="N42" t="str">
        <f t="shared" si="22"/>
        <v>Open tender</v>
      </c>
      <c r="O42" t="str">
        <f>"DCON/12/133"</f>
        <v>DCON/12/133</v>
      </c>
      <c r="P42" t="str">
        <f>"SON1143842"</f>
        <v>SON1143842</v>
      </c>
      <c r="Q42" t="str">
        <f t="shared" si="23"/>
        <v>No</v>
      </c>
      <c r="R42" t="str">
        <f>""</f>
        <v/>
      </c>
      <c r="S42" t="str">
        <f t="shared" si="24"/>
        <v>No</v>
      </c>
      <c r="T42" t="str">
        <f>""</f>
        <v/>
      </c>
      <c r="U42" t="str">
        <f>"Yes"</f>
        <v>Yes</v>
      </c>
      <c r="V42" t="str">
        <f>"Need for specialised or professional skills"</f>
        <v>Need for specialised or professional skills</v>
      </c>
      <c r="X42" t="str">
        <f>"OVUM PTY LTD"</f>
        <v>OVUM PTY LTD</v>
      </c>
      <c r="Y42" t="str">
        <f>"459 Little Collins Street"</f>
        <v>459 Little Collins Street</v>
      </c>
      <c r="Z42" t="str">
        <f>"MELBOURNE"</f>
        <v>MELBOURNE</v>
      </c>
      <c r="AA42" t="str">
        <f>"3000"</f>
        <v>3000</v>
      </c>
      <c r="AB42" t="str">
        <f t="shared" si="25"/>
        <v>Australia</v>
      </c>
      <c r="AC42" t="str">
        <f t="shared" si="21"/>
        <v>No</v>
      </c>
      <c r="AD42" t="str">
        <f>"92065393973"</f>
        <v>92065393973</v>
      </c>
      <c r="AE42" t="str">
        <f>"ADMIN OFFICER"</f>
        <v>ADMIN OFFICER</v>
      </c>
      <c r="AF42" t="str">
        <f t="shared" si="26"/>
        <v>(02) 6271 1000</v>
      </c>
      <c r="AG42" t="str">
        <f>""</f>
        <v/>
      </c>
      <c r="AH42" t="str">
        <f>""</f>
        <v/>
      </c>
      <c r="AI42" t="str">
        <f>"NPAR"</f>
        <v>NPAR</v>
      </c>
      <c r="AJ42" t="str">
        <f t="shared" si="27"/>
        <v>2603</v>
      </c>
    </row>
    <row r="43" spans="1:36" x14ac:dyDescent="0.25">
      <c r="A43" t="str">
        <f t="shared" si="0"/>
        <v>Department of Communications</v>
      </c>
      <c r="B43" t="str">
        <f>""</f>
        <v/>
      </c>
      <c r="C43" t="str">
        <f>"CN2510841"</f>
        <v>CN2510841</v>
      </c>
      <c r="D43" t="str">
        <f>"Thomas Lonsdale"</f>
        <v>Thomas Lonsdale</v>
      </c>
      <c r="E43" s="44">
        <v>41871.431250000001</v>
      </c>
      <c r="F43" t="s">
        <v>2508</v>
      </c>
      <c r="G43" t="str">
        <f t="shared" si="1"/>
        <v>published</v>
      </c>
      <c r="H43" s="45">
        <v>41778</v>
      </c>
      <c r="I43" s="45">
        <v>42034</v>
      </c>
      <c r="J43" s="46">
        <v>401500</v>
      </c>
      <c r="K43" t="s">
        <v>1338</v>
      </c>
      <c r="L43" t="str">
        <f>"0004604489"</f>
        <v>0004604489</v>
      </c>
      <c r="M43" t="str">
        <f>"Software or hardware engineering"</f>
        <v>Software or hardware engineering</v>
      </c>
      <c r="N43" t="str">
        <f t="shared" si="22"/>
        <v>Open tender</v>
      </c>
      <c r="O43" t="str">
        <f>"DCON/09/67"</f>
        <v>DCON/09/67</v>
      </c>
      <c r="P43" t="str">
        <f>"SON269193"</f>
        <v>SON269193</v>
      </c>
      <c r="Q43" t="str">
        <f t="shared" si="23"/>
        <v>No</v>
      </c>
      <c r="R43" t="str">
        <f>""</f>
        <v/>
      </c>
      <c r="S43" t="str">
        <f t="shared" si="24"/>
        <v>No</v>
      </c>
      <c r="T43" t="str">
        <f>""</f>
        <v/>
      </c>
      <c r="U43" t="str">
        <f>"No"</f>
        <v>No</v>
      </c>
      <c r="V43" t="str">
        <f>""</f>
        <v/>
      </c>
      <c r="X43" t="str">
        <f>"ASG Group Limited"</f>
        <v>ASG Group Limited</v>
      </c>
      <c r="Y43" t="str">
        <f>"Level 1, 267 Georges Terrace"</f>
        <v>Level 1, 267 Georges Terrace</v>
      </c>
      <c r="Z43" t="str">
        <f>"Perth"</f>
        <v>Perth</v>
      </c>
      <c r="AA43" t="str">
        <f>"6000"</f>
        <v>6000</v>
      </c>
      <c r="AB43" t="str">
        <f t="shared" si="25"/>
        <v>Australia</v>
      </c>
      <c r="AC43" t="str">
        <f t="shared" si="21"/>
        <v>No</v>
      </c>
      <c r="AD43" t="str">
        <f>"57070045117"</f>
        <v>57070045117</v>
      </c>
      <c r="AE43" t="str">
        <f>"ADMIN OFFICER"</f>
        <v>ADMIN OFFICER</v>
      </c>
      <c r="AF43" t="str">
        <f t="shared" si="26"/>
        <v>(02) 6271 1000</v>
      </c>
      <c r="AG43" t="str">
        <f>""</f>
        <v/>
      </c>
      <c r="AH43" t="str">
        <f>""</f>
        <v/>
      </c>
      <c r="AI43" t="str">
        <f>"CORPORATE [OLD] Corporate Treasury"</f>
        <v>CORPORATE [OLD] Corporate Treasury</v>
      </c>
      <c r="AJ43" t="str">
        <f t="shared" si="27"/>
        <v>2603</v>
      </c>
    </row>
    <row r="44" spans="1:36" x14ac:dyDescent="0.25">
      <c r="A44" t="str">
        <f t="shared" si="0"/>
        <v>Department of Communications</v>
      </c>
      <c r="B44" t="str">
        <f>""</f>
        <v/>
      </c>
      <c r="C44" t="str">
        <f>"CN2935492"</f>
        <v>CN2935492</v>
      </c>
      <c r="D44" t="str">
        <f>"Leesa O'connor"</f>
        <v>Leesa O'connor</v>
      </c>
      <c r="E44" s="44">
        <v>42086.618055555555</v>
      </c>
      <c r="F44" t="s">
        <v>2508</v>
      </c>
      <c r="G44" t="str">
        <f t="shared" si="1"/>
        <v>published</v>
      </c>
      <c r="H44" s="45">
        <v>41778</v>
      </c>
      <c r="I44" s="45">
        <v>42185</v>
      </c>
      <c r="J44" s="46">
        <v>104500</v>
      </c>
      <c r="K44" t="s">
        <v>1338</v>
      </c>
      <c r="L44" t="str">
        <f>"0004604489"</f>
        <v>0004604489</v>
      </c>
      <c r="M44" t="str">
        <f>"Software or hardware engineering"</f>
        <v>Software or hardware engineering</v>
      </c>
      <c r="N44" t="str">
        <f t="shared" si="22"/>
        <v>Open tender</v>
      </c>
      <c r="O44" t="str">
        <f>"DCON/09/67"</f>
        <v>DCON/09/67</v>
      </c>
      <c r="P44" t="str">
        <f>"SON269193"</f>
        <v>SON269193</v>
      </c>
      <c r="Q44" t="str">
        <f t="shared" si="23"/>
        <v>No</v>
      </c>
      <c r="R44" t="str">
        <f>""</f>
        <v/>
      </c>
      <c r="S44" t="str">
        <f t="shared" si="24"/>
        <v>No</v>
      </c>
      <c r="T44" t="str">
        <f>""</f>
        <v/>
      </c>
      <c r="U44" t="str">
        <f>"No"</f>
        <v>No</v>
      </c>
      <c r="V44" t="str">
        <f>""</f>
        <v/>
      </c>
      <c r="X44" t="str">
        <f>"ASG Group Limited"</f>
        <v>ASG Group Limited</v>
      </c>
      <c r="Y44" t="str">
        <f>"Level 1, 267 Georges Terrace"</f>
        <v>Level 1, 267 Georges Terrace</v>
      </c>
      <c r="Z44" t="str">
        <f>"Perth"</f>
        <v>Perth</v>
      </c>
      <c r="AA44" t="str">
        <f>"6000"</f>
        <v>6000</v>
      </c>
      <c r="AB44" t="str">
        <f t="shared" si="25"/>
        <v>Australia</v>
      </c>
      <c r="AC44" t="str">
        <f t="shared" si="21"/>
        <v>No</v>
      </c>
      <c r="AD44" t="str">
        <f>"57070045117"</f>
        <v>57070045117</v>
      </c>
      <c r="AE44" t="str">
        <f>"ADMIN OFFICER"</f>
        <v>ADMIN OFFICER</v>
      </c>
      <c r="AF44" t="str">
        <f t="shared" si="26"/>
        <v>(02) 6271 1000</v>
      </c>
      <c r="AG44" t="str">
        <f>""</f>
        <v/>
      </c>
      <c r="AH44" t="str">
        <f>""</f>
        <v/>
      </c>
      <c r="AI44" t="str">
        <f>"CORPORATE TREASURY [OLD] Corporate Treasury"</f>
        <v>CORPORATE TREASURY [OLD] Corporate Treasury</v>
      </c>
      <c r="AJ44" t="str">
        <f t="shared" si="27"/>
        <v>2603</v>
      </c>
    </row>
    <row r="45" spans="1:36" x14ac:dyDescent="0.25">
      <c r="A45" t="str">
        <f t="shared" si="0"/>
        <v>Department of Communications</v>
      </c>
      <c r="B45" t="str">
        <f>""</f>
        <v/>
      </c>
      <c r="C45" t="str">
        <f>"CN2563661"</f>
        <v>CN2563661</v>
      </c>
      <c r="D45" t="str">
        <f>"David Kenny"</f>
        <v>David Kenny</v>
      </c>
      <c r="E45" s="44">
        <v>41894.54791666667</v>
      </c>
      <c r="F45" t="s">
        <v>2508</v>
      </c>
      <c r="G45" t="str">
        <f t="shared" si="1"/>
        <v>published</v>
      </c>
      <c r="H45" s="45">
        <v>41785</v>
      </c>
      <c r="I45" s="45">
        <v>41912</v>
      </c>
      <c r="J45" s="46">
        <v>25300</v>
      </c>
      <c r="K45" t="s">
        <v>2301</v>
      </c>
      <c r="L45" t="str">
        <f>"0004604490"</f>
        <v>0004604490</v>
      </c>
      <c r="M45" t="str">
        <f>"Legal services"</f>
        <v>Legal services</v>
      </c>
      <c r="N45" t="str">
        <f>"Prequalified tender"</f>
        <v>Prequalified tender</v>
      </c>
      <c r="O45" t="str">
        <f>""</f>
        <v/>
      </c>
      <c r="Q45" t="str">
        <f>"Yes"</f>
        <v>Yes</v>
      </c>
      <c r="R45" t="str">
        <f>"Costing/profit information"</f>
        <v>Costing/profit information</v>
      </c>
      <c r="S45" t="str">
        <f>"Yes"</f>
        <v>Yes</v>
      </c>
      <c r="T45" t="str">
        <f>"Intellectual property"</f>
        <v>Intellectual property</v>
      </c>
      <c r="U45" t="str">
        <f>"No"</f>
        <v>No</v>
      </c>
      <c r="V45" t="str">
        <f>""</f>
        <v/>
      </c>
      <c r="X45" t="str">
        <f>"AUSTRALIAN GOVERNMENT SOLICITOR"</f>
        <v>AUSTRALIAN GOVERNMENT SOLICITOR</v>
      </c>
      <c r="Y45" t="str">
        <f>"Locked Bag 7246"</f>
        <v>Locked Bag 7246</v>
      </c>
      <c r="Z45" t="str">
        <f>"Canberra Mail Centre"</f>
        <v>Canberra Mail Centre</v>
      </c>
      <c r="AA45" t="str">
        <f>"2610"</f>
        <v>2610</v>
      </c>
      <c r="AB45" t="str">
        <f t="shared" si="25"/>
        <v>Australia</v>
      </c>
      <c r="AC45" t="str">
        <f t="shared" si="21"/>
        <v>No</v>
      </c>
      <c r="AD45" t="str">
        <f>"69405937639"</f>
        <v>69405937639</v>
      </c>
      <c r="AE45" t="str">
        <f>"PROCUREMENT MANAGER"</f>
        <v>PROCUREMENT MANAGER</v>
      </c>
      <c r="AF45" t="str">
        <f t="shared" si="26"/>
        <v>(02) 6271 1000</v>
      </c>
      <c r="AG45" t="str">
        <f>""</f>
        <v/>
      </c>
      <c r="AH45" t="str">
        <f>""</f>
        <v/>
      </c>
      <c r="AI45" t="str">
        <f>"GENERAL COUNSEL Office of the General Counsel"</f>
        <v>GENERAL COUNSEL Office of the General Counsel</v>
      </c>
      <c r="AJ45" t="str">
        <f t="shared" si="27"/>
        <v>2603</v>
      </c>
    </row>
    <row r="46" spans="1:36" x14ac:dyDescent="0.25">
      <c r="A46" t="str">
        <f t="shared" si="0"/>
        <v>Department of Communications</v>
      </c>
      <c r="B46" t="str">
        <f>""</f>
        <v/>
      </c>
      <c r="C46" t="str">
        <f>"CN2800752"</f>
        <v>CN2800752</v>
      </c>
      <c r="D46" t="str">
        <f>"David Kenny"</f>
        <v>David Kenny</v>
      </c>
      <c r="E46" s="44">
        <v>42019.470138888886</v>
      </c>
      <c r="F46" t="s">
        <v>2508</v>
      </c>
      <c r="G46" t="str">
        <f t="shared" si="1"/>
        <v>published</v>
      </c>
      <c r="H46" s="45">
        <v>41782</v>
      </c>
      <c r="I46" s="45">
        <v>42185</v>
      </c>
      <c r="J46" s="46">
        <v>11629.42</v>
      </c>
      <c r="K46" t="s">
        <v>2365</v>
      </c>
      <c r="L46" t="str">
        <f>"0004604494"</f>
        <v>0004604494</v>
      </c>
      <c r="M46" t="str">
        <f>"Legal services"</f>
        <v>Legal services</v>
      </c>
      <c r="N46" t="str">
        <f>"Prequalified tender"</f>
        <v>Prequalified tender</v>
      </c>
      <c r="O46" t="str">
        <f>""</f>
        <v/>
      </c>
      <c r="Q46" t="str">
        <f>"No"</f>
        <v>No</v>
      </c>
      <c r="R46" t="str">
        <f>""</f>
        <v/>
      </c>
      <c r="S46" t="str">
        <f>"Yes"</f>
        <v>Yes</v>
      </c>
      <c r="T46" t="str">
        <f>"Intellectual property"</f>
        <v>Intellectual property</v>
      </c>
      <c r="U46" t="str">
        <f>"Yes"</f>
        <v>Yes</v>
      </c>
      <c r="V46" t="str">
        <f>"Need for specialised or professional skills"</f>
        <v>Need for specialised or professional skills</v>
      </c>
      <c r="X46" t="str">
        <f>"Herbert Smith Freehills"</f>
        <v>Herbert Smith Freehills</v>
      </c>
      <c r="Y46" t="str">
        <f>"GPO Box 4227"</f>
        <v>GPO Box 4227</v>
      </c>
      <c r="Z46" t="str">
        <f>"Sydney"</f>
        <v>Sydney</v>
      </c>
      <c r="AA46" t="str">
        <f>"2001"</f>
        <v>2001</v>
      </c>
      <c r="AB46" t="str">
        <f t="shared" si="25"/>
        <v>Australia</v>
      </c>
      <c r="AC46" t="str">
        <f t="shared" si="21"/>
        <v>No</v>
      </c>
      <c r="AD46" t="str">
        <f>"98773882646"</f>
        <v>98773882646</v>
      </c>
      <c r="AE46" t="str">
        <f>"PROCUREMENT MANAGER"</f>
        <v>PROCUREMENT MANAGER</v>
      </c>
      <c r="AF46" t="str">
        <f t="shared" si="26"/>
        <v>(02) 6271 1000</v>
      </c>
      <c r="AG46" t="str">
        <f>""</f>
        <v/>
      </c>
      <c r="AH46" t="str">
        <f>""</f>
        <v/>
      </c>
      <c r="AI46" t="str">
        <f>"GENERAL COUNSEL Office of the General Counsel"</f>
        <v>GENERAL COUNSEL Office of the General Counsel</v>
      </c>
      <c r="AJ46" t="str">
        <f t="shared" si="27"/>
        <v>2603</v>
      </c>
    </row>
    <row r="47" spans="1:36" x14ac:dyDescent="0.25">
      <c r="A47" t="str">
        <f t="shared" si="0"/>
        <v>Department of Communications</v>
      </c>
      <c r="B47" t="str">
        <f>""</f>
        <v/>
      </c>
      <c r="C47" t="str">
        <f>"CN2611321"</f>
        <v>CN2611321</v>
      </c>
      <c r="D47" t="str">
        <f>"David Kenny"</f>
        <v>David Kenny</v>
      </c>
      <c r="E47" s="44">
        <v>41920.473611111112</v>
      </c>
      <c r="F47" t="s">
        <v>2508</v>
      </c>
      <c r="G47" t="str">
        <f t="shared" si="1"/>
        <v>published</v>
      </c>
      <c r="H47" s="45">
        <v>41782</v>
      </c>
      <c r="I47" s="45">
        <v>42185</v>
      </c>
      <c r="J47" s="46">
        <v>76450</v>
      </c>
      <c r="K47" t="s">
        <v>2365</v>
      </c>
      <c r="L47" t="str">
        <f>"0004604494"</f>
        <v>0004604494</v>
      </c>
      <c r="M47" t="str">
        <f>"Legal services"</f>
        <v>Legal services</v>
      </c>
      <c r="N47" t="str">
        <f>"Prequalified tender"</f>
        <v>Prequalified tender</v>
      </c>
      <c r="O47" t="str">
        <f>""</f>
        <v/>
      </c>
      <c r="Q47" t="str">
        <f>"Yes"</f>
        <v>Yes</v>
      </c>
      <c r="R47" t="str">
        <f>"Costing/profit information"</f>
        <v>Costing/profit information</v>
      </c>
      <c r="S47" t="str">
        <f>"Yes"</f>
        <v>Yes</v>
      </c>
      <c r="T47" t="str">
        <f>"Intellectual property"</f>
        <v>Intellectual property</v>
      </c>
      <c r="U47" t="str">
        <f>"Yes"</f>
        <v>Yes</v>
      </c>
      <c r="V47" t="str">
        <f>"Need for specialised or professional skills"</f>
        <v>Need for specialised or professional skills</v>
      </c>
      <c r="X47" t="str">
        <f>"Herbert Smith Freehills"</f>
        <v>Herbert Smith Freehills</v>
      </c>
      <c r="Y47" t="str">
        <f>"GPO Box 4227"</f>
        <v>GPO Box 4227</v>
      </c>
      <c r="Z47" t="str">
        <f>"Sydney"</f>
        <v>Sydney</v>
      </c>
      <c r="AA47" t="str">
        <f>"2001"</f>
        <v>2001</v>
      </c>
      <c r="AB47" t="str">
        <f t="shared" si="25"/>
        <v>Australia</v>
      </c>
      <c r="AC47" t="str">
        <f t="shared" si="21"/>
        <v>No</v>
      </c>
      <c r="AD47" t="str">
        <f>"98773882646"</f>
        <v>98773882646</v>
      </c>
      <c r="AE47" t="str">
        <f>"PROCUREMENT MANAGER"</f>
        <v>PROCUREMENT MANAGER</v>
      </c>
      <c r="AF47" t="str">
        <f t="shared" si="26"/>
        <v>(02) 6271 1000</v>
      </c>
      <c r="AG47" t="str">
        <f>""</f>
        <v/>
      </c>
      <c r="AH47" t="str">
        <f>""</f>
        <v/>
      </c>
      <c r="AI47" t="str">
        <f>"GENERAL COUNSEL Office of the General Counsel"</f>
        <v>GENERAL COUNSEL Office of the General Counsel</v>
      </c>
      <c r="AJ47" t="str">
        <f t="shared" si="27"/>
        <v>2603</v>
      </c>
    </row>
    <row r="48" spans="1:36" x14ac:dyDescent="0.25">
      <c r="A48" t="str">
        <f t="shared" si="0"/>
        <v>Department of Communications</v>
      </c>
      <c r="B48" t="str">
        <f>""</f>
        <v/>
      </c>
      <c r="C48" t="str">
        <f>"CN2510831"</f>
        <v>CN2510831</v>
      </c>
      <c r="D48" t="str">
        <f>"Thomas Lonsdale"</f>
        <v>Thomas Lonsdale</v>
      </c>
      <c r="E48" s="44">
        <v>41871.430555555555</v>
      </c>
      <c r="F48" t="s">
        <v>2508</v>
      </c>
      <c r="G48" t="str">
        <f t="shared" si="1"/>
        <v>published</v>
      </c>
      <c r="H48" s="45">
        <v>41785</v>
      </c>
      <c r="I48" s="45">
        <v>41882</v>
      </c>
      <c r="J48" s="46">
        <v>12000</v>
      </c>
      <c r="K48" t="s">
        <v>1342</v>
      </c>
      <c r="L48" t="str">
        <f>"0004604500"</f>
        <v>0004604500</v>
      </c>
      <c r="M48" t="str">
        <f>"Accounting services"</f>
        <v>Accounting services</v>
      </c>
      <c r="N48" t="str">
        <f>"Open tender"</f>
        <v>Open tender</v>
      </c>
      <c r="O48" t="str">
        <f>"ACBPS127074"</f>
        <v>ACBPS127074</v>
      </c>
      <c r="P48" t="str">
        <f>"SON1837491"</f>
        <v>SON1837491</v>
      </c>
      <c r="Q48" t="str">
        <f t="shared" ref="Q48:Q80" si="28">"No"</f>
        <v>No</v>
      </c>
      <c r="R48" t="str">
        <f>""</f>
        <v/>
      </c>
      <c r="S48" t="str">
        <f>"No"</f>
        <v>No</v>
      </c>
      <c r="T48" t="str">
        <f>""</f>
        <v/>
      </c>
      <c r="U48" t="str">
        <f>"No"</f>
        <v>No</v>
      </c>
      <c r="V48" t="str">
        <f>""</f>
        <v/>
      </c>
      <c r="X48" t="str">
        <f>"Analytics Group Pty Ltd"</f>
        <v>Analytics Group Pty Ltd</v>
      </c>
      <c r="Y48" t="str">
        <f>"GPO Box 125"</f>
        <v>GPO Box 125</v>
      </c>
      <c r="Z48" t="str">
        <f>"Canberra"</f>
        <v>Canberra</v>
      </c>
      <c r="AA48" t="str">
        <f>"2914"</f>
        <v>2914</v>
      </c>
      <c r="AB48" t="str">
        <f t="shared" si="25"/>
        <v>Australia</v>
      </c>
      <c r="AC48" t="str">
        <f t="shared" si="21"/>
        <v>No</v>
      </c>
      <c r="AD48" t="str">
        <f>"45119601759"</f>
        <v>45119601759</v>
      </c>
      <c r="AE48" t="str">
        <f>"ADMIN OFFICER"</f>
        <v>ADMIN OFFICER</v>
      </c>
      <c r="AF48" t="str">
        <f t="shared" si="26"/>
        <v>(02) 6271 1000</v>
      </c>
      <c r="AG48" t="str">
        <f>""</f>
        <v/>
      </c>
      <c r="AH48" t="str">
        <f>""</f>
        <v/>
      </c>
      <c r="AI48" t="str">
        <f>"CORPORATE [OLD] Corporate Treasury"</f>
        <v>CORPORATE [OLD] Corporate Treasury</v>
      </c>
      <c r="AJ48" t="str">
        <f t="shared" si="27"/>
        <v>2603</v>
      </c>
    </row>
    <row r="49" spans="1:36" x14ac:dyDescent="0.25">
      <c r="A49" t="str">
        <f t="shared" si="0"/>
        <v>Department of Communications</v>
      </c>
      <c r="B49" t="str">
        <f>""</f>
        <v/>
      </c>
      <c r="C49" t="str">
        <f>"CN2920552"</f>
        <v>CN2920552</v>
      </c>
      <c r="D49" t="str">
        <f>"Leesa O'connor"</f>
        <v>Leesa O'connor</v>
      </c>
      <c r="E49" s="44">
        <v>42079.506249999999</v>
      </c>
      <c r="F49" t="s">
        <v>2508</v>
      </c>
      <c r="G49" t="str">
        <f t="shared" si="1"/>
        <v>published</v>
      </c>
      <c r="H49" s="45">
        <v>41792</v>
      </c>
      <c r="I49" s="45">
        <v>42185</v>
      </c>
      <c r="J49" s="46">
        <v>14148</v>
      </c>
      <c r="K49" t="s">
        <v>2301</v>
      </c>
      <c r="L49" t="str">
        <f>"0004604502"</f>
        <v>0004604502</v>
      </c>
      <c r="M49" t="str">
        <f>"Legal services"</f>
        <v>Legal services</v>
      </c>
      <c r="N49" t="str">
        <f>"Prequalified tender"</f>
        <v>Prequalified tender</v>
      </c>
      <c r="O49" t="str">
        <f>""</f>
        <v/>
      </c>
      <c r="Q49" t="str">
        <f t="shared" si="28"/>
        <v>No</v>
      </c>
      <c r="R49" t="str">
        <f>""</f>
        <v/>
      </c>
      <c r="S49" t="str">
        <f>"Yes"</f>
        <v>Yes</v>
      </c>
      <c r="T49" t="str">
        <f>"Intellectual property"</f>
        <v>Intellectual property</v>
      </c>
      <c r="U49" t="str">
        <f>"Yes"</f>
        <v>Yes</v>
      </c>
      <c r="V49" t="str">
        <f>"Need for specialised or professional skills"</f>
        <v>Need for specialised or professional skills</v>
      </c>
      <c r="X49" t="str">
        <f>"Maddocks"</f>
        <v>Maddocks</v>
      </c>
      <c r="Y49" t="str">
        <f>"123 pitt Street"</f>
        <v>123 pitt Street</v>
      </c>
      <c r="Z49" t="str">
        <f>"Sydney"</f>
        <v>Sydney</v>
      </c>
      <c r="AA49" t="str">
        <f>"2000"</f>
        <v>2000</v>
      </c>
      <c r="AB49" t="str">
        <f t="shared" si="25"/>
        <v>Australia</v>
      </c>
      <c r="AC49" t="str">
        <f t="shared" si="21"/>
        <v>No</v>
      </c>
      <c r="AD49" t="str">
        <f>"63478951337"</f>
        <v>63478951337</v>
      </c>
      <c r="AE49" t="str">
        <f>"PROCUREMENT MANAGER"</f>
        <v>PROCUREMENT MANAGER</v>
      </c>
      <c r="AF49" t="str">
        <f t="shared" si="26"/>
        <v>(02) 6271 1000</v>
      </c>
      <c r="AG49" t="str">
        <f>""</f>
        <v/>
      </c>
      <c r="AH49" t="str">
        <f>""</f>
        <v/>
      </c>
      <c r="AI49" t="str">
        <f>"GENERAL COUNSEL Office of the General Counsel"</f>
        <v>GENERAL COUNSEL Office of the General Counsel</v>
      </c>
      <c r="AJ49" t="str">
        <f t="shared" si="27"/>
        <v>2603</v>
      </c>
    </row>
    <row r="50" spans="1:36" x14ac:dyDescent="0.25">
      <c r="A50" t="str">
        <f t="shared" si="0"/>
        <v>Department of Communications</v>
      </c>
      <c r="B50" t="str">
        <f>""</f>
        <v/>
      </c>
      <c r="C50" t="str">
        <f>"CN2440262"</f>
        <v>CN2440262</v>
      </c>
      <c r="D50" t="str">
        <f>"Thomas Lonsdale"</f>
        <v>Thomas Lonsdale</v>
      </c>
      <c r="E50" s="44">
        <v>41843.575694444444</v>
      </c>
      <c r="F50" t="s">
        <v>2508</v>
      </c>
      <c r="G50" t="str">
        <f t="shared" si="1"/>
        <v>published</v>
      </c>
      <c r="H50" s="45">
        <v>41793</v>
      </c>
      <c r="I50" s="45">
        <v>41912</v>
      </c>
      <c r="J50" s="46">
        <v>45000</v>
      </c>
      <c r="K50" t="s">
        <v>1348</v>
      </c>
      <c r="L50" t="str">
        <f>"0004604508"</f>
        <v>0004604508</v>
      </c>
      <c r="M50" t="str">
        <f>"Strategic planning consultation services"</f>
        <v>Strategic planning consultation services</v>
      </c>
      <c r="N50" t="str">
        <f>"Limited tender"</f>
        <v>Limited tender</v>
      </c>
      <c r="O50" t="str">
        <f>""</f>
        <v/>
      </c>
      <c r="Q50" t="str">
        <f t="shared" si="28"/>
        <v>No</v>
      </c>
      <c r="R50" t="str">
        <f>""</f>
        <v/>
      </c>
      <c r="S50" t="str">
        <f t="shared" ref="S50:S80" si="29">"No"</f>
        <v>No</v>
      </c>
      <c r="T50" t="str">
        <f>""</f>
        <v/>
      </c>
      <c r="U50" t="str">
        <f t="shared" ref="U50:U60" si="30">"No"</f>
        <v>No</v>
      </c>
      <c r="V50" t="str">
        <f>""</f>
        <v/>
      </c>
      <c r="X50" t="str">
        <f>"Balance Recruitment Pty Ltd"</f>
        <v>Balance Recruitment Pty Ltd</v>
      </c>
      <c r="Y50" t="str">
        <f>"GPO Box 1084"</f>
        <v>GPO Box 1084</v>
      </c>
      <c r="Z50" t="str">
        <f>"Canberra"</f>
        <v>Canberra</v>
      </c>
      <c r="AA50" t="str">
        <f>"2601"</f>
        <v>2601</v>
      </c>
      <c r="AB50" t="str">
        <f t="shared" si="25"/>
        <v>Australia</v>
      </c>
      <c r="AC50" t="str">
        <f t="shared" si="21"/>
        <v>No</v>
      </c>
      <c r="AD50" t="str">
        <f>"50175029245"</f>
        <v>50175029245</v>
      </c>
      <c r="AE50" t="str">
        <f t="shared" ref="AE50:AE81" si="31">"ADMIN OFFICER"</f>
        <v>ADMIN OFFICER</v>
      </c>
      <c r="AF50" t="str">
        <f t="shared" si="26"/>
        <v>(02) 6271 1000</v>
      </c>
      <c r="AG50" t="str">
        <f>""</f>
        <v/>
      </c>
      <c r="AH50" t="str">
        <f>""</f>
        <v/>
      </c>
      <c r="AI50" t="str">
        <f>"CORPORATE Corporate"</f>
        <v>CORPORATE Corporate</v>
      </c>
      <c r="AJ50" t="str">
        <f t="shared" si="27"/>
        <v>2603</v>
      </c>
    </row>
    <row r="51" spans="1:36" x14ac:dyDescent="0.25">
      <c r="A51" t="str">
        <f t="shared" si="0"/>
        <v>Department of Communications</v>
      </c>
      <c r="B51" t="str">
        <f>""</f>
        <v/>
      </c>
      <c r="C51" t="str">
        <f>"CN2563651"</f>
        <v>CN2563651</v>
      </c>
      <c r="D51" t="str">
        <f>"David Kenny"</f>
        <v>David Kenny</v>
      </c>
      <c r="E51" s="44">
        <v>41894.547222222223</v>
      </c>
      <c r="F51" t="s">
        <v>2508</v>
      </c>
      <c r="G51" t="str">
        <f t="shared" si="1"/>
        <v>published</v>
      </c>
      <c r="H51" s="45">
        <v>41564</v>
      </c>
      <c r="I51" s="45">
        <v>41820</v>
      </c>
      <c r="J51" s="46">
        <v>15510</v>
      </c>
      <c r="K51" t="s">
        <v>2513</v>
      </c>
      <c r="L51" t="str">
        <f>"0004604516"</f>
        <v>0004604516</v>
      </c>
      <c r="M51" t="str">
        <f>"Personnel recruitment"</f>
        <v>Personnel recruitment</v>
      </c>
      <c r="N51" t="str">
        <f>"Open tender"</f>
        <v>Open tender</v>
      </c>
      <c r="O51" t="str">
        <f>"SOD09/00277"</f>
        <v>SOD09/00277</v>
      </c>
      <c r="P51" t="str">
        <f>"SON288440"</f>
        <v>SON288440</v>
      </c>
      <c r="Q51" t="str">
        <f t="shared" si="28"/>
        <v>No</v>
      </c>
      <c r="R51" t="str">
        <f>""</f>
        <v/>
      </c>
      <c r="S51" t="str">
        <f t="shared" si="29"/>
        <v>No</v>
      </c>
      <c r="T51" t="str">
        <f>""</f>
        <v/>
      </c>
      <c r="U51" t="str">
        <f t="shared" si="30"/>
        <v>No</v>
      </c>
      <c r="V51" t="str">
        <f>""</f>
        <v/>
      </c>
      <c r="X51" t="str">
        <f>"Watermark Search International"</f>
        <v>Watermark Search International</v>
      </c>
      <c r="Y51" t="str">
        <f>"2 Barrack Street"</f>
        <v>2 Barrack Street</v>
      </c>
      <c r="Z51" t="str">
        <f>"Sydney"</f>
        <v>Sydney</v>
      </c>
      <c r="AA51" t="str">
        <f>"2000"</f>
        <v>2000</v>
      </c>
      <c r="AB51" t="str">
        <f t="shared" si="25"/>
        <v>Australia</v>
      </c>
      <c r="AC51" t="str">
        <f t="shared" si="21"/>
        <v>No</v>
      </c>
      <c r="AD51" t="str">
        <f>"42115586144"</f>
        <v>42115586144</v>
      </c>
      <c r="AE51" t="str">
        <f t="shared" si="31"/>
        <v>ADMIN OFFICER</v>
      </c>
      <c r="AF51" t="str">
        <f t="shared" si="26"/>
        <v>(02) 6271 1000</v>
      </c>
      <c r="AG51" t="str">
        <f>""</f>
        <v/>
      </c>
      <c r="AH51" t="str">
        <f>""</f>
        <v/>
      </c>
      <c r="AI51" t="str">
        <f>"CORPORATE Corporate Division"</f>
        <v>CORPORATE Corporate Division</v>
      </c>
      <c r="AJ51" t="str">
        <f t="shared" si="27"/>
        <v>2603</v>
      </c>
    </row>
    <row r="52" spans="1:36" x14ac:dyDescent="0.25">
      <c r="A52" t="str">
        <f t="shared" si="0"/>
        <v>Department of Communications</v>
      </c>
      <c r="B52" t="str">
        <f>""</f>
        <v/>
      </c>
      <c r="C52" t="str">
        <f>"CN2454641"</f>
        <v>CN2454641</v>
      </c>
      <c r="D52" t="str">
        <f>"Thomas Lonsdale"</f>
        <v>Thomas Lonsdale</v>
      </c>
      <c r="E52" s="44">
        <v>41850.395833333336</v>
      </c>
      <c r="F52" t="s">
        <v>2508</v>
      </c>
      <c r="G52" t="str">
        <f t="shared" si="1"/>
        <v>published</v>
      </c>
      <c r="H52" s="45">
        <v>41808</v>
      </c>
      <c r="I52" s="45">
        <v>41880</v>
      </c>
      <c r="J52" s="46">
        <v>10000</v>
      </c>
      <c r="K52" t="s">
        <v>264</v>
      </c>
      <c r="L52" t="str">
        <f>"0004604544"</f>
        <v>0004604544</v>
      </c>
      <c r="M52" t="str">
        <f>"Personnel recruitment"</f>
        <v>Personnel recruitment</v>
      </c>
      <c r="N52" t="str">
        <f>"Open tender"</f>
        <v>Open tender</v>
      </c>
      <c r="O52" t="str">
        <f>"11.267"</f>
        <v>11.267</v>
      </c>
      <c r="P52" t="str">
        <f>"SON1024371"</f>
        <v>SON1024371</v>
      </c>
      <c r="Q52" t="str">
        <f t="shared" si="28"/>
        <v>No</v>
      </c>
      <c r="R52" t="str">
        <f>""</f>
        <v/>
      </c>
      <c r="S52" t="str">
        <f t="shared" si="29"/>
        <v>No</v>
      </c>
      <c r="T52" t="str">
        <f>""</f>
        <v/>
      </c>
      <c r="U52" t="str">
        <f t="shared" si="30"/>
        <v>No</v>
      </c>
      <c r="V52" t="str">
        <f>""</f>
        <v/>
      </c>
      <c r="X52" t="str">
        <f>"Clarius Group Limited"</f>
        <v>Clarius Group Limited</v>
      </c>
      <c r="Y52" t="str">
        <f>"PO Box 3581"</f>
        <v>PO Box 3581</v>
      </c>
      <c r="Z52" t="str">
        <f>"Manuka"</f>
        <v>Manuka</v>
      </c>
      <c r="AA52" t="str">
        <f>"2603"</f>
        <v>2603</v>
      </c>
      <c r="AB52" t="str">
        <f t="shared" si="25"/>
        <v>Australia</v>
      </c>
      <c r="AC52" t="str">
        <f t="shared" si="21"/>
        <v>No</v>
      </c>
      <c r="AD52" t="str">
        <f>"43002724334"</f>
        <v>43002724334</v>
      </c>
      <c r="AE52" t="str">
        <f t="shared" si="31"/>
        <v>ADMIN OFFICER</v>
      </c>
      <c r="AF52" t="str">
        <f t="shared" si="26"/>
        <v>(02) 6271 1000</v>
      </c>
      <c r="AG52" t="str">
        <f>""</f>
        <v/>
      </c>
      <c r="AH52" t="str">
        <f>""</f>
        <v/>
      </c>
      <c r="AI52" t="str">
        <f>"DIGITAL SWITCHOVER &amp; CORPORATE PROJECT PLAN Digital Switchover &amp; Corporate Project Plan"</f>
        <v>DIGITAL SWITCHOVER &amp; CORPORATE PROJECT PLAN Digital Switchover &amp; Corporate Project Plan</v>
      </c>
      <c r="AJ52" t="str">
        <f t="shared" si="27"/>
        <v>2603</v>
      </c>
    </row>
    <row r="53" spans="1:36" x14ac:dyDescent="0.25">
      <c r="A53" t="str">
        <f t="shared" si="0"/>
        <v>Department of Communications</v>
      </c>
      <c r="B53" t="str">
        <f>""</f>
        <v/>
      </c>
      <c r="C53" t="str">
        <f>"CN2611311"</f>
        <v>CN2611311</v>
      </c>
      <c r="D53" t="str">
        <f>"David Kenny"</f>
        <v>David Kenny</v>
      </c>
      <c r="E53" s="44">
        <v>41920.473611111112</v>
      </c>
      <c r="F53" t="s">
        <v>2508</v>
      </c>
      <c r="G53" t="str">
        <f t="shared" si="1"/>
        <v>published</v>
      </c>
      <c r="H53" s="45">
        <v>41808</v>
      </c>
      <c r="I53" s="45">
        <v>41922</v>
      </c>
      <c r="J53" s="46">
        <v>20000</v>
      </c>
      <c r="K53" t="s">
        <v>264</v>
      </c>
      <c r="L53" t="str">
        <f>"0004604545"</f>
        <v>0004604545</v>
      </c>
      <c r="M53" t="str">
        <f>"Personnel recruitment"</f>
        <v>Personnel recruitment</v>
      </c>
      <c r="N53" t="str">
        <f>"Open tender"</f>
        <v>Open tender</v>
      </c>
      <c r="O53" t="str">
        <f>"11.267"</f>
        <v>11.267</v>
      </c>
      <c r="P53" t="str">
        <f>"SON1024371"</f>
        <v>SON1024371</v>
      </c>
      <c r="Q53" t="str">
        <f t="shared" si="28"/>
        <v>No</v>
      </c>
      <c r="R53" t="str">
        <f>""</f>
        <v/>
      </c>
      <c r="S53" t="str">
        <f t="shared" si="29"/>
        <v>No</v>
      </c>
      <c r="T53" t="str">
        <f>""</f>
        <v/>
      </c>
      <c r="U53" t="str">
        <f t="shared" si="30"/>
        <v>No</v>
      </c>
      <c r="V53" t="str">
        <f>""</f>
        <v/>
      </c>
      <c r="X53" t="str">
        <f>"Hudson Global Resources (Aust) P/L"</f>
        <v>Hudson Global Resources (Aust) P/L</v>
      </c>
      <c r="Y53" t="str">
        <f>"GPO Box 3951"</f>
        <v>GPO Box 3951</v>
      </c>
      <c r="Z53" t="str">
        <f>"Sydney"</f>
        <v>Sydney</v>
      </c>
      <c r="AA53" t="str">
        <f>"2001"</f>
        <v>2001</v>
      </c>
      <c r="AB53" t="str">
        <f t="shared" si="25"/>
        <v>Australia</v>
      </c>
      <c r="AC53" t="str">
        <f t="shared" si="21"/>
        <v>No</v>
      </c>
      <c r="AD53" t="str">
        <f>"21002888762"</f>
        <v>21002888762</v>
      </c>
      <c r="AE53" t="str">
        <f t="shared" si="31"/>
        <v>ADMIN OFFICER</v>
      </c>
      <c r="AF53" t="str">
        <f t="shared" si="26"/>
        <v>(02) 6271 1000</v>
      </c>
      <c r="AG53" t="str">
        <f>""</f>
        <v/>
      </c>
      <c r="AH53" t="str">
        <f>""</f>
        <v/>
      </c>
      <c r="AI53" t="str">
        <f>"DIGITAL SWITCHOVER &amp; CORPORATE PROJECT PLAN [OLD] Digital Switchover &amp; Corporate Project Pla"</f>
        <v>DIGITAL SWITCHOVER &amp; CORPORATE PROJECT PLAN [OLD] Digital Switchover &amp; Corporate Project Pla</v>
      </c>
      <c r="AJ53" t="str">
        <f t="shared" si="27"/>
        <v>2603</v>
      </c>
    </row>
    <row r="54" spans="1:36" x14ac:dyDescent="0.25">
      <c r="A54" t="str">
        <f t="shared" si="0"/>
        <v>Department of Communications</v>
      </c>
      <c r="B54" t="str">
        <f>""</f>
        <v/>
      </c>
      <c r="C54" t="str">
        <f>"CN2380731"</f>
        <v>CN2380731</v>
      </c>
      <c r="D54" t="str">
        <f t="shared" ref="D54:D66" si="32">"Thomas Lonsdale"</f>
        <v>Thomas Lonsdale</v>
      </c>
      <c r="E54" s="44">
        <v>41823.45416666667</v>
      </c>
      <c r="F54" t="s">
        <v>2508</v>
      </c>
      <c r="G54" t="str">
        <f t="shared" si="1"/>
        <v>published</v>
      </c>
      <c r="H54" s="45">
        <v>41813</v>
      </c>
      <c r="I54" s="45">
        <v>42185</v>
      </c>
      <c r="J54" s="46">
        <v>10120</v>
      </c>
      <c r="K54" t="s">
        <v>194</v>
      </c>
      <c r="L54" t="str">
        <f>"0004604547"</f>
        <v>0004604547</v>
      </c>
      <c r="M54" t="str">
        <f>"Electronic reference material"</f>
        <v>Electronic reference material</v>
      </c>
      <c r="N54" t="str">
        <f>"Limited tender"</f>
        <v>Limited tender</v>
      </c>
      <c r="O54" t="str">
        <f>"LIMITED TENDER"</f>
        <v>LIMITED TENDER</v>
      </c>
      <c r="Q54" t="str">
        <f t="shared" si="28"/>
        <v>No</v>
      </c>
      <c r="R54" t="str">
        <f>""</f>
        <v/>
      </c>
      <c r="S54" t="str">
        <f t="shared" si="29"/>
        <v>No</v>
      </c>
      <c r="T54" t="str">
        <f>""</f>
        <v/>
      </c>
      <c r="U54" t="str">
        <f t="shared" si="30"/>
        <v>No</v>
      </c>
      <c r="V54" t="str">
        <f>""</f>
        <v/>
      </c>
      <c r="X54" t="str">
        <f>"NetRatings Australia Pty Ltd"</f>
        <v>NetRatings Australia Pty Ltd</v>
      </c>
      <c r="Y54" t="str">
        <f>"59 Wentworth Ave"</f>
        <v>59 Wentworth Ave</v>
      </c>
      <c r="Z54" t="str">
        <f>"Sydney"</f>
        <v>Sydney</v>
      </c>
      <c r="AA54" t="str">
        <f>"2000"</f>
        <v>2000</v>
      </c>
      <c r="AB54" t="str">
        <f t="shared" si="25"/>
        <v>Australia</v>
      </c>
      <c r="AC54" t="str">
        <f t="shared" si="21"/>
        <v>No</v>
      </c>
      <c r="AD54" t="str">
        <f>"47081796287"</f>
        <v>47081796287</v>
      </c>
      <c r="AE54" t="str">
        <f t="shared" si="31"/>
        <v>ADMIN OFFICER</v>
      </c>
      <c r="AF54" t="str">
        <f t="shared" si="26"/>
        <v>(02) 6271 1000</v>
      </c>
      <c r="AG54" t="str">
        <f>""</f>
        <v/>
      </c>
      <c r="AH54" t="str">
        <f>""</f>
        <v/>
      </c>
      <c r="AI54" t="str">
        <f>"DIGITAL SWITCHOVER &amp; CORPORATE PROJECT PLAN Digital Switchover &amp; Corporate Project Plan"</f>
        <v>DIGITAL SWITCHOVER &amp; CORPORATE PROJECT PLAN Digital Switchover &amp; Corporate Project Plan</v>
      </c>
      <c r="AJ54" t="str">
        <f t="shared" si="27"/>
        <v>2603</v>
      </c>
    </row>
    <row r="55" spans="1:36" x14ac:dyDescent="0.25">
      <c r="A55" t="str">
        <f t="shared" si="0"/>
        <v>Department of Communications</v>
      </c>
      <c r="B55" t="str">
        <f>""</f>
        <v/>
      </c>
      <c r="C55" t="str">
        <f>"CN2380741"</f>
        <v>CN2380741</v>
      </c>
      <c r="D55" t="str">
        <f t="shared" si="32"/>
        <v>Thomas Lonsdale</v>
      </c>
      <c r="E55" s="44">
        <v>41823.45416666667</v>
      </c>
      <c r="F55" t="s">
        <v>2508</v>
      </c>
      <c r="G55" t="str">
        <f t="shared" si="1"/>
        <v>published</v>
      </c>
      <c r="H55" s="45">
        <v>41792</v>
      </c>
      <c r="I55" s="45">
        <v>41820</v>
      </c>
      <c r="J55" s="46">
        <v>52000</v>
      </c>
      <c r="K55" t="s">
        <v>2514</v>
      </c>
      <c r="L55" t="str">
        <f>"0004604551"</f>
        <v>0004604551</v>
      </c>
      <c r="M55" t="str">
        <f>"Market research"</f>
        <v>Market research</v>
      </c>
      <c r="N55" t="str">
        <f>"Open tender"</f>
        <v>Open tender</v>
      </c>
      <c r="O55" t="str">
        <f>"DCON/12/133"</f>
        <v>DCON/12/133</v>
      </c>
      <c r="P55" t="str">
        <f>"SON1143842"</f>
        <v>SON1143842</v>
      </c>
      <c r="Q55" t="str">
        <f t="shared" si="28"/>
        <v>No</v>
      </c>
      <c r="R55" t="str">
        <f>""</f>
        <v/>
      </c>
      <c r="S55" t="str">
        <f t="shared" si="29"/>
        <v>No</v>
      </c>
      <c r="T55" t="str">
        <f>""</f>
        <v/>
      </c>
      <c r="U55" t="str">
        <f t="shared" si="30"/>
        <v>No</v>
      </c>
      <c r="V55" t="str">
        <f>""</f>
        <v/>
      </c>
      <c r="X55" t="str">
        <f>"Colmar Brunton Research"</f>
        <v>Colmar Brunton Research</v>
      </c>
      <c r="Y55" t="str">
        <f>"72 Christie Street"</f>
        <v>72 Christie Street</v>
      </c>
      <c r="Z55" t="str">
        <f>"St leonards"</f>
        <v>St leonards</v>
      </c>
      <c r="AA55" t="str">
        <f>"2065"</f>
        <v>2065</v>
      </c>
      <c r="AB55" t="str">
        <f t="shared" si="25"/>
        <v>Australia</v>
      </c>
      <c r="AC55" t="str">
        <f t="shared" si="21"/>
        <v>No</v>
      </c>
      <c r="AD55" t="str">
        <f>"22003748981"</f>
        <v>22003748981</v>
      </c>
      <c r="AE55" t="str">
        <f t="shared" si="31"/>
        <v>ADMIN OFFICER</v>
      </c>
      <c r="AF55" t="str">
        <f t="shared" si="26"/>
        <v>(02) 6271 1000</v>
      </c>
      <c r="AG55" t="str">
        <f>""</f>
        <v/>
      </c>
      <c r="AH55" t="str">
        <f>""</f>
        <v/>
      </c>
      <c r="AI55" t="str">
        <f>"CSAF"</f>
        <v>CSAF</v>
      </c>
      <c r="AJ55" t="str">
        <f t="shared" si="27"/>
        <v>2603</v>
      </c>
    </row>
    <row r="56" spans="1:36" x14ac:dyDescent="0.25">
      <c r="A56" t="str">
        <f t="shared" si="0"/>
        <v>Department of Communications</v>
      </c>
      <c r="B56" t="str">
        <f>""</f>
        <v/>
      </c>
      <c r="C56" t="str">
        <f>"CN2380751"</f>
        <v>CN2380751</v>
      </c>
      <c r="D56" t="str">
        <f t="shared" si="32"/>
        <v>Thomas Lonsdale</v>
      </c>
      <c r="E56" s="44">
        <v>41823.454861111109</v>
      </c>
      <c r="F56" t="s">
        <v>2508</v>
      </c>
      <c r="G56" t="str">
        <f t="shared" si="1"/>
        <v>published</v>
      </c>
      <c r="H56" s="45">
        <v>41792</v>
      </c>
      <c r="I56" s="45">
        <v>41814</v>
      </c>
      <c r="J56" s="46">
        <v>104434</v>
      </c>
      <c r="K56" t="s">
        <v>2515</v>
      </c>
      <c r="L56" t="str">
        <f>"0004604553"</f>
        <v>0004604553</v>
      </c>
      <c r="M56" t="str">
        <f>"Telecommunications media services"</f>
        <v>Telecommunications media services</v>
      </c>
      <c r="N56" t="str">
        <f>"Open tender"</f>
        <v>Open tender</v>
      </c>
      <c r="O56" t="str">
        <f>"DCON/10/96"</f>
        <v>DCON/10/96</v>
      </c>
      <c r="P56" t="str">
        <f>"SON368749"</f>
        <v>SON368749</v>
      </c>
      <c r="Q56" t="str">
        <f t="shared" si="28"/>
        <v>No</v>
      </c>
      <c r="R56" t="str">
        <f>""</f>
        <v/>
      </c>
      <c r="S56" t="str">
        <f t="shared" si="29"/>
        <v>No</v>
      </c>
      <c r="T56" t="str">
        <f>""</f>
        <v/>
      </c>
      <c r="U56" t="str">
        <f t="shared" si="30"/>
        <v>No</v>
      </c>
      <c r="V56" t="str">
        <f>""</f>
        <v/>
      </c>
      <c r="X56" t="str">
        <f>"Visual Jazz Pty Ltd"</f>
        <v>Visual Jazz Pty Ltd</v>
      </c>
      <c r="Y56" t="str">
        <f>"Suite 6, 8 National Circuit"</f>
        <v>Suite 6, 8 National Circuit</v>
      </c>
      <c r="Z56" t="str">
        <f>"Barton"</f>
        <v>Barton</v>
      </c>
      <c r="AA56" t="str">
        <f>"2600"</f>
        <v>2600</v>
      </c>
      <c r="AB56" t="str">
        <f t="shared" si="25"/>
        <v>Australia</v>
      </c>
      <c r="AC56" t="str">
        <f t="shared" si="21"/>
        <v>No</v>
      </c>
      <c r="AD56" t="str">
        <f>"51126978041"</f>
        <v>51126978041</v>
      </c>
      <c r="AE56" t="str">
        <f t="shared" si="31"/>
        <v>ADMIN OFFICER</v>
      </c>
      <c r="AF56" t="str">
        <f t="shared" si="26"/>
        <v>(02) 6271 1000</v>
      </c>
      <c r="AG56" t="str">
        <f>""</f>
        <v/>
      </c>
      <c r="AH56" t="str">
        <f>""</f>
        <v/>
      </c>
      <c r="AI56" t="str">
        <f>"CORPORATE Corporate"</f>
        <v>CORPORATE Corporate</v>
      </c>
      <c r="AJ56" t="str">
        <f t="shared" si="27"/>
        <v>2603</v>
      </c>
    </row>
    <row r="57" spans="1:36" x14ac:dyDescent="0.25">
      <c r="A57" t="str">
        <f t="shared" si="0"/>
        <v>Department of Communications</v>
      </c>
      <c r="B57" t="str">
        <f>""</f>
        <v/>
      </c>
      <c r="C57" t="str">
        <f>"CN2380761"</f>
        <v>CN2380761</v>
      </c>
      <c r="D57" t="str">
        <f t="shared" si="32"/>
        <v>Thomas Lonsdale</v>
      </c>
      <c r="E57" s="44">
        <v>41823.454861111109</v>
      </c>
      <c r="F57" t="s">
        <v>2508</v>
      </c>
      <c r="G57" t="str">
        <f t="shared" si="1"/>
        <v>published</v>
      </c>
      <c r="H57" s="45">
        <v>41821</v>
      </c>
      <c r="I57" s="45">
        <v>42185</v>
      </c>
      <c r="J57" s="46">
        <v>153629.07999999999</v>
      </c>
      <c r="K57" t="s">
        <v>1400</v>
      </c>
      <c r="L57" t="str">
        <f>"0004604554"</f>
        <v>0004604554</v>
      </c>
      <c r="M57" t="str">
        <f>"Software maintenance and support"</f>
        <v>Software maintenance and support</v>
      </c>
      <c r="N57" t="str">
        <f>"Limited tender"</f>
        <v>Limited tender</v>
      </c>
      <c r="O57" t="str">
        <f>""</f>
        <v/>
      </c>
      <c r="Q57" t="str">
        <f t="shared" si="28"/>
        <v>No</v>
      </c>
      <c r="R57" t="str">
        <f>""</f>
        <v/>
      </c>
      <c r="S57" t="str">
        <f t="shared" si="29"/>
        <v>No</v>
      </c>
      <c r="T57" t="str">
        <f>""</f>
        <v/>
      </c>
      <c r="U57" t="str">
        <f t="shared" si="30"/>
        <v>No</v>
      </c>
      <c r="V57" t="str">
        <f>""</f>
        <v/>
      </c>
      <c r="X57" t="str">
        <f>"RANDOM COMPUTING SERVICES PTY LTD"</f>
        <v>RANDOM COMPUTING SERVICES PTY LTD</v>
      </c>
      <c r="Y57" t="str">
        <f>"PO BOX 177"</f>
        <v>PO BOX 177</v>
      </c>
      <c r="Z57" t="str">
        <f>"CIVIC SQUARE"</f>
        <v>CIVIC SQUARE</v>
      </c>
      <c r="AA57" t="str">
        <f>"2608"</f>
        <v>2608</v>
      </c>
      <c r="AB57" t="str">
        <f t="shared" si="25"/>
        <v>Australia</v>
      </c>
      <c r="AC57" t="str">
        <f t="shared" si="21"/>
        <v>No</v>
      </c>
      <c r="AD57" t="str">
        <f>"24053858852"</f>
        <v>24053858852</v>
      </c>
      <c r="AE57" t="str">
        <f t="shared" si="31"/>
        <v>ADMIN OFFICER</v>
      </c>
      <c r="AF57" t="str">
        <f t="shared" si="26"/>
        <v>(02) 6271 1000</v>
      </c>
      <c r="AG57" t="str">
        <f>""</f>
        <v/>
      </c>
      <c r="AH57" t="str">
        <f>""</f>
        <v/>
      </c>
      <c r="AI57" t="str">
        <f>"CORPORATE Corporate"</f>
        <v>CORPORATE Corporate</v>
      </c>
      <c r="AJ57" t="str">
        <f t="shared" si="27"/>
        <v>2603</v>
      </c>
    </row>
    <row r="58" spans="1:36" x14ac:dyDescent="0.25">
      <c r="A58" t="str">
        <f t="shared" si="0"/>
        <v>Department of Communications</v>
      </c>
      <c r="B58" t="str">
        <f>""</f>
        <v/>
      </c>
      <c r="C58" t="str">
        <f>"CN2380771"</f>
        <v>CN2380771</v>
      </c>
      <c r="D58" t="str">
        <f t="shared" si="32"/>
        <v>Thomas Lonsdale</v>
      </c>
      <c r="E58" s="44">
        <v>41823.454861111109</v>
      </c>
      <c r="F58" t="s">
        <v>2508</v>
      </c>
      <c r="G58" t="str">
        <f t="shared" si="1"/>
        <v>published</v>
      </c>
      <c r="H58" s="45">
        <v>41813</v>
      </c>
      <c r="I58" s="45">
        <v>41851</v>
      </c>
      <c r="J58" s="46">
        <v>65000</v>
      </c>
      <c r="K58" t="s">
        <v>277</v>
      </c>
      <c r="L58" t="str">
        <f>"0004604555"</f>
        <v>0004604555</v>
      </c>
      <c r="M58" t="str">
        <f>"Utilities"</f>
        <v>Utilities</v>
      </c>
      <c r="N58" t="str">
        <f>"Limited tender"</f>
        <v>Limited tender</v>
      </c>
      <c r="O58" t="str">
        <f>""</f>
        <v/>
      </c>
      <c r="Q58" t="str">
        <f t="shared" si="28"/>
        <v>No</v>
      </c>
      <c r="R58" t="str">
        <f>""</f>
        <v/>
      </c>
      <c r="S58" t="str">
        <f t="shared" si="29"/>
        <v>No</v>
      </c>
      <c r="T58" t="str">
        <f>""</f>
        <v/>
      </c>
      <c r="U58" t="str">
        <f t="shared" si="30"/>
        <v>No</v>
      </c>
      <c r="V58" t="str">
        <f>""</f>
        <v/>
      </c>
      <c r="X58" t="str">
        <f>"PriceWaterHouseCoopers"</f>
        <v>PriceWaterHouseCoopers</v>
      </c>
      <c r="Y58" t="str">
        <f>"201 Sussex Street"</f>
        <v>201 Sussex Street</v>
      </c>
      <c r="Z58" t="str">
        <f>"Sydney"</f>
        <v>Sydney</v>
      </c>
      <c r="AA58" t="str">
        <f>"2000"</f>
        <v>2000</v>
      </c>
      <c r="AB58" t="str">
        <f t="shared" si="25"/>
        <v>Australia</v>
      </c>
      <c r="AC58" t="str">
        <f t="shared" si="21"/>
        <v>No</v>
      </c>
      <c r="AD58" t="str">
        <f>"52864604756"</f>
        <v>52864604756</v>
      </c>
      <c r="AE58" t="str">
        <f t="shared" si="31"/>
        <v>ADMIN OFFICER</v>
      </c>
      <c r="AF58" t="str">
        <f t="shared" si="26"/>
        <v>(02) 6271 1000</v>
      </c>
      <c r="AG58" t="str">
        <f>""</f>
        <v/>
      </c>
      <c r="AH58" t="str">
        <f>""</f>
        <v/>
      </c>
      <c r="AI58" t="str">
        <f>"DIGITAL SWITCHOVER &amp; CORPORATE PROJECT PLAN Digital Switchover &amp; Corporate Project Plan"</f>
        <v>DIGITAL SWITCHOVER &amp; CORPORATE PROJECT PLAN Digital Switchover &amp; Corporate Project Plan</v>
      </c>
      <c r="AJ58" t="str">
        <f t="shared" si="27"/>
        <v>2603</v>
      </c>
    </row>
    <row r="59" spans="1:36" x14ac:dyDescent="0.25">
      <c r="A59" t="str">
        <f t="shared" si="0"/>
        <v>Department of Communications</v>
      </c>
      <c r="B59" t="str">
        <f>""</f>
        <v/>
      </c>
      <c r="C59" t="str">
        <f>"CN2380781"</f>
        <v>CN2380781</v>
      </c>
      <c r="D59" t="str">
        <f t="shared" si="32"/>
        <v>Thomas Lonsdale</v>
      </c>
      <c r="E59" s="44">
        <v>41823.454861111109</v>
      </c>
      <c r="F59" t="s">
        <v>2508</v>
      </c>
      <c r="G59" t="str">
        <f t="shared" si="1"/>
        <v>published</v>
      </c>
      <c r="H59" s="45">
        <v>41775</v>
      </c>
      <c r="I59" s="45">
        <v>41880</v>
      </c>
      <c r="J59" s="46">
        <v>79200</v>
      </c>
      <c r="K59" t="s">
        <v>2084</v>
      </c>
      <c r="L59" t="str">
        <f>"0004604556"</f>
        <v>0004604556</v>
      </c>
      <c r="M59" t="str">
        <f>"Professional procurement services"</f>
        <v>Professional procurement services</v>
      </c>
      <c r="N59" t="str">
        <f>"Limited tender"</f>
        <v>Limited tender</v>
      </c>
      <c r="O59" t="str">
        <f>""</f>
        <v/>
      </c>
      <c r="Q59" t="str">
        <f t="shared" si="28"/>
        <v>No</v>
      </c>
      <c r="R59" t="str">
        <f>""</f>
        <v/>
      </c>
      <c r="S59" t="str">
        <f t="shared" si="29"/>
        <v>No</v>
      </c>
      <c r="T59" t="str">
        <f>""</f>
        <v/>
      </c>
      <c r="U59" t="str">
        <f t="shared" si="30"/>
        <v>No</v>
      </c>
      <c r="V59" t="str">
        <f>""</f>
        <v/>
      </c>
      <c r="X59" t="str">
        <f>"NATIONAL ICT AUSTRALIA LTD"</f>
        <v>NATIONAL ICT AUSTRALIA LTD</v>
      </c>
      <c r="Y59" t="str">
        <f>"Locked Bag 9013"</f>
        <v>Locked Bag 9013</v>
      </c>
      <c r="Z59" t="str">
        <f>"Alexandria"</f>
        <v>Alexandria</v>
      </c>
      <c r="AA59" t="str">
        <f>"1435"</f>
        <v>1435</v>
      </c>
      <c r="AB59" t="str">
        <f t="shared" si="25"/>
        <v>Australia</v>
      </c>
      <c r="AC59" t="str">
        <f t="shared" si="21"/>
        <v>No</v>
      </c>
      <c r="AD59" t="str">
        <f>"62102206173"</f>
        <v>62102206173</v>
      </c>
      <c r="AE59" t="str">
        <f t="shared" si="31"/>
        <v>ADMIN OFFICER</v>
      </c>
      <c r="AF59" t="str">
        <f t="shared" si="26"/>
        <v>(02) 6271 1000</v>
      </c>
      <c r="AG59" t="str">
        <f>""</f>
        <v/>
      </c>
      <c r="AH59" t="str">
        <f>""</f>
        <v/>
      </c>
      <c r="AI59" t="str">
        <f>"SPOL"</f>
        <v>SPOL</v>
      </c>
      <c r="AJ59" t="str">
        <f t="shared" si="27"/>
        <v>2603</v>
      </c>
    </row>
    <row r="60" spans="1:36" x14ac:dyDescent="0.25">
      <c r="A60" t="str">
        <f t="shared" si="0"/>
        <v>Department of Communications</v>
      </c>
      <c r="B60" t="str">
        <f>""</f>
        <v/>
      </c>
      <c r="C60" t="str">
        <f>"CN2380791"</f>
        <v>CN2380791</v>
      </c>
      <c r="D60" t="str">
        <f t="shared" si="32"/>
        <v>Thomas Lonsdale</v>
      </c>
      <c r="E60" s="44">
        <v>41823.454861111109</v>
      </c>
      <c r="F60" t="s">
        <v>2508</v>
      </c>
      <c r="G60" t="str">
        <f t="shared" si="1"/>
        <v>published</v>
      </c>
      <c r="H60" s="45">
        <v>41583</v>
      </c>
      <c r="I60" s="45">
        <v>41943</v>
      </c>
      <c r="J60" s="46">
        <v>15400</v>
      </c>
      <c r="K60" t="s">
        <v>1270</v>
      </c>
      <c r="L60" t="str">
        <f>"0004604557"</f>
        <v>0004604557</v>
      </c>
      <c r="M60" t="str">
        <f>"Software"</f>
        <v>Software</v>
      </c>
      <c r="N60" t="str">
        <f>"Limited tender"</f>
        <v>Limited tender</v>
      </c>
      <c r="O60" t="str">
        <f>""</f>
        <v/>
      </c>
      <c r="Q60" t="str">
        <f t="shared" si="28"/>
        <v>No</v>
      </c>
      <c r="R60" t="str">
        <f>""</f>
        <v/>
      </c>
      <c r="S60" t="str">
        <f t="shared" si="29"/>
        <v>No</v>
      </c>
      <c r="T60" t="str">
        <f>""</f>
        <v/>
      </c>
      <c r="U60" t="str">
        <f t="shared" si="30"/>
        <v>No</v>
      </c>
      <c r="V60" t="str">
        <f>""</f>
        <v/>
      </c>
      <c r="X60" t="str">
        <f>"KPMG"</f>
        <v>KPMG</v>
      </c>
      <c r="Y60" t="str">
        <f>"PO BOX 7396"</f>
        <v>PO BOX 7396</v>
      </c>
      <c r="Z60" t="str">
        <f>"Canberra Business Centre"</f>
        <v>Canberra Business Centre</v>
      </c>
      <c r="AA60" t="str">
        <f>"2610"</f>
        <v>2610</v>
      </c>
      <c r="AB60" t="str">
        <f t="shared" si="25"/>
        <v>Australia</v>
      </c>
      <c r="AC60" t="str">
        <f t="shared" si="21"/>
        <v>No</v>
      </c>
      <c r="AD60" t="str">
        <f>"51194660183"</f>
        <v>51194660183</v>
      </c>
      <c r="AE60" t="str">
        <f t="shared" si="31"/>
        <v>ADMIN OFFICER</v>
      </c>
      <c r="AF60" t="str">
        <f t="shared" si="26"/>
        <v>(02) 6271 1000</v>
      </c>
      <c r="AG60" t="str">
        <f>""</f>
        <v/>
      </c>
      <c r="AH60" t="str">
        <f>""</f>
        <v/>
      </c>
      <c r="AI60" t="str">
        <f>"CORPORATE AND BUSINESS [OLD] Corporate and Business Division"</f>
        <v>CORPORATE AND BUSINESS [OLD] Corporate and Business Division</v>
      </c>
      <c r="AJ60" t="str">
        <f t="shared" si="27"/>
        <v>2603</v>
      </c>
    </row>
    <row r="61" spans="1:36" x14ac:dyDescent="0.25">
      <c r="A61" t="str">
        <f t="shared" si="0"/>
        <v>Department of Communications</v>
      </c>
      <c r="B61" t="str">
        <f>""</f>
        <v/>
      </c>
      <c r="C61" t="str">
        <f>"CN2380801"</f>
        <v>CN2380801</v>
      </c>
      <c r="D61" t="str">
        <f t="shared" si="32"/>
        <v>Thomas Lonsdale</v>
      </c>
      <c r="E61" s="44">
        <v>41823.454861111109</v>
      </c>
      <c r="F61" t="s">
        <v>2508</v>
      </c>
      <c r="G61" t="str">
        <f t="shared" si="1"/>
        <v>published</v>
      </c>
      <c r="H61" s="45">
        <v>41763</v>
      </c>
      <c r="I61" s="45">
        <v>41820</v>
      </c>
      <c r="J61" s="46">
        <v>52741.61</v>
      </c>
      <c r="K61" t="s">
        <v>2516</v>
      </c>
      <c r="L61" t="str">
        <f>"0004604558"</f>
        <v>0004604558</v>
      </c>
      <c r="M61" t="str">
        <f>"Strategic planning consultation services"</f>
        <v>Strategic planning consultation services</v>
      </c>
      <c r="N61" t="str">
        <f>"Limited tender"</f>
        <v>Limited tender</v>
      </c>
      <c r="O61" t="str">
        <f>""</f>
        <v/>
      </c>
      <c r="Q61" t="str">
        <f t="shared" si="28"/>
        <v>No</v>
      </c>
      <c r="R61" t="str">
        <f>""</f>
        <v/>
      </c>
      <c r="S61" t="str">
        <f t="shared" si="29"/>
        <v>No</v>
      </c>
      <c r="T61" t="str">
        <f>""</f>
        <v/>
      </c>
      <c r="U61" t="str">
        <f>"Yes"</f>
        <v>Yes</v>
      </c>
      <c r="V61" t="str">
        <f>"Need for specialised or professional skills"</f>
        <v>Need for specialised or professional skills</v>
      </c>
      <c r="X61" t="str">
        <f>"Beesness Pty Ltd"</f>
        <v>Beesness Pty Ltd</v>
      </c>
      <c r="Y61" t="str">
        <f>"77B Lynwood Avenue"</f>
        <v>77B Lynwood Avenue</v>
      </c>
      <c r="Z61" t="str">
        <f>"Dee Why"</f>
        <v>Dee Why</v>
      </c>
      <c r="AA61" t="str">
        <f>"2099"</f>
        <v>2099</v>
      </c>
      <c r="AB61" t="str">
        <f t="shared" si="25"/>
        <v>Australia</v>
      </c>
      <c r="AC61" t="str">
        <f t="shared" si="21"/>
        <v>No</v>
      </c>
      <c r="AD61" t="str">
        <f>"53164305695"</f>
        <v>53164305695</v>
      </c>
      <c r="AE61" t="str">
        <f t="shared" si="31"/>
        <v>ADMIN OFFICER</v>
      </c>
      <c r="AF61" t="str">
        <f t="shared" si="26"/>
        <v>(02) 6271 1000</v>
      </c>
      <c r="AG61" t="str">
        <f>""</f>
        <v/>
      </c>
      <c r="AH61" t="str">
        <f>""</f>
        <v/>
      </c>
      <c r="AI61" t="str">
        <f>"DIGITAL SWITCHOVER &amp; CORPORATE PROJECT PLAN Digital Switchover &amp; Corporate Project Plan"</f>
        <v>DIGITAL SWITCHOVER &amp; CORPORATE PROJECT PLAN Digital Switchover &amp; Corporate Project Plan</v>
      </c>
      <c r="AJ61" t="str">
        <f t="shared" si="27"/>
        <v>2603</v>
      </c>
    </row>
    <row r="62" spans="1:36" x14ac:dyDescent="0.25">
      <c r="A62" t="str">
        <f t="shared" si="0"/>
        <v>Department of Communications</v>
      </c>
      <c r="B62" t="str">
        <f>""</f>
        <v/>
      </c>
      <c r="C62" t="str">
        <f>"CN2380811"</f>
        <v>CN2380811</v>
      </c>
      <c r="D62" t="str">
        <f t="shared" si="32"/>
        <v>Thomas Lonsdale</v>
      </c>
      <c r="E62" s="44">
        <v>41823.454861111109</v>
      </c>
      <c r="F62" t="s">
        <v>2508</v>
      </c>
      <c r="G62" t="str">
        <f t="shared" si="1"/>
        <v>published</v>
      </c>
      <c r="H62" s="45">
        <v>41821</v>
      </c>
      <c r="I62" s="45">
        <v>42185</v>
      </c>
      <c r="J62" s="46">
        <v>476135</v>
      </c>
      <c r="K62" t="s">
        <v>1403</v>
      </c>
      <c r="L62" t="str">
        <f>"0004604559"</f>
        <v>0004604559</v>
      </c>
      <c r="M62" t="str">
        <f>"Market research"</f>
        <v>Market research</v>
      </c>
      <c r="N62" t="str">
        <f>"Open tender"</f>
        <v>Open tender</v>
      </c>
      <c r="O62" t="str">
        <f>"DCON/12/133"</f>
        <v>DCON/12/133</v>
      </c>
      <c r="P62" t="str">
        <f>"SON1143842"</f>
        <v>SON1143842</v>
      </c>
      <c r="Q62" t="str">
        <f t="shared" si="28"/>
        <v>No</v>
      </c>
      <c r="R62" t="str">
        <f>""</f>
        <v/>
      </c>
      <c r="S62" t="str">
        <f t="shared" si="29"/>
        <v>No</v>
      </c>
      <c r="T62" t="str">
        <f>""</f>
        <v/>
      </c>
      <c r="U62" t="str">
        <f>"No"</f>
        <v>No</v>
      </c>
      <c r="V62" t="str">
        <f>""</f>
        <v/>
      </c>
      <c r="X62" t="str">
        <f>"Orima Research"</f>
        <v>Orima Research</v>
      </c>
      <c r="Y62" t="str">
        <f>"PO Box 67"</f>
        <v>PO Box 67</v>
      </c>
      <c r="Z62" t="str">
        <f>"Lyneham"</f>
        <v>Lyneham</v>
      </c>
      <c r="AA62" t="str">
        <f>"2602"</f>
        <v>2602</v>
      </c>
      <c r="AB62" t="str">
        <f t="shared" si="25"/>
        <v>Australia</v>
      </c>
      <c r="AC62" t="str">
        <f t="shared" si="21"/>
        <v>No</v>
      </c>
      <c r="AD62" t="str">
        <f>"77076347914"</f>
        <v>77076347914</v>
      </c>
      <c r="AE62" t="str">
        <f t="shared" si="31"/>
        <v>ADMIN OFFICER</v>
      </c>
      <c r="AF62" t="str">
        <f t="shared" si="26"/>
        <v>(02) 6271 1000</v>
      </c>
      <c r="AG62" t="str">
        <f>""</f>
        <v/>
      </c>
      <c r="AH62" t="str">
        <f>""</f>
        <v/>
      </c>
      <c r="AI62" t="str">
        <f>"CORPORATE Corporate"</f>
        <v>CORPORATE Corporate</v>
      </c>
      <c r="AJ62" t="str">
        <f t="shared" si="27"/>
        <v>2603</v>
      </c>
    </row>
    <row r="63" spans="1:36" x14ac:dyDescent="0.25">
      <c r="A63" t="str">
        <f t="shared" si="0"/>
        <v>Department of Communications</v>
      </c>
      <c r="B63" t="str">
        <f>""</f>
        <v/>
      </c>
      <c r="C63" t="str">
        <f>"CN2380821"</f>
        <v>CN2380821</v>
      </c>
      <c r="D63" t="str">
        <f t="shared" si="32"/>
        <v>Thomas Lonsdale</v>
      </c>
      <c r="E63" s="44">
        <v>41823.454861111109</v>
      </c>
      <c r="F63" t="s">
        <v>2508</v>
      </c>
      <c r="G63" t="str">
        <f t="shared" si="1"/>
        <v>published</v>
      </c>
      <c r="H63" s="45">
        <v>41821</v>
      </c>
      <c r="I63" s="45">
        <v>42185</v>
      </c>
      <c r="J63" s="46">
        <v>163206.47</v>
      </c>
      <c r="K63" t="s">
        <v>1406</v>
      </c>
      <c r="L63" t="str">
        <f>"0004604560"</f>
        <v>0004604560</v>
      </c>
      <c r="M63" t="str">
        <f>"Software"</f>
        <v>Software</v>
      </c>
      <c r="N63" t="str">
        <f>"Open tender"</f>
        <v>Open tender</v>
      </c>
      <c r="O63" t="str">
        <f>"RFT FIN11/AGI011"</f>
        <v>RFT FIN11/AGI011</v>
      </c>
      <c r="P63" t="str">
        <f>"SON470578"</f>
        <v>SON470578</v>
      </c>
      <c r="Q63" t="str">
        <f t="shared" si="28"/>
        <v>No</v>
      </c>
      <c r="R63" t="str">
        <f>""</f>
        <v/>
      </c>
      <c r="S63" t="str">
        <f t="shared" si="29"/>
        <v>No</v>
      </c>
      <c r="T63" t="str">
        <f>""</f>
        <v/>
      </c>
      <c r="U63" t="str">
        <f>"No"</f>
        <v>No</v>
      </c>
      <c r="V63" t="str">
        <f>""</f>
        <v/>
      </c>
      <c r="X63" t="str">
        <f>"DATA#3 Limited"</f>
        <v>DATA#3 Limited</v>
      </c>
      <c r="Y63" t="str">
        <f>"Level 2, Data#3 Centre 80-88 Jephso"</f>
        <v>Level 2, Data#3 Centre 80-88 Jephso</v>
      </c>
      <c r="Z63" t="str">
        <f>"Toowong"</f>
        <v>Toowong</v>
      </c>
      <c r="AA63" t="str">
        <f>"4066"</f>
        <v>4066</v>
      </c>
      <c r="AB63" t="str">
        <f t="shared" si="25"/>
        <v>Australia</v>
      </c>
      <c r="AC63" t="str">
        <f t="shared" si="21"/>
        <v>No</v>
      </c>
      <c r="AD63" t="str">
        <f>"31010545267"</f>
        <v>31010545267</v>
      </c>
      <c r="AE63" t="str">
        <f t="shared" si="31"/>
        <v>ADMIN OFFICER</v>
      </c>
      <c r="AF63" t="str">
        <f t="shared" si="26"/>
        <v>(02) 6271 1000</v>
      </c>
      <c r="AG63" t="str">
        <f>""</f>
        <v/>
      </c>
      <c r="AH63" t="str">
        <f>""</f>
        <v/>
      </c>
      <c r="AI63" t="str">
        <f>"CORPORATE Corporate"</f>
        <v>CORPORATE Corporate</v>
      </c>
      <c r="AJ63" t="str">
        <f t="shared" si="27"/>
        <v>2603</v>
      </c>
    </row>
    <row r="64" spans="1:36" x14ac:dyDescent="0.25">
      <c r="A64" t="str">
        <f t="shared" si="0"/>
        <v>Department of Communications</v>
      </c>
      <c r="B64" t="str">
        <f>""</f>
        <v/>
      </c>
      <c r="C64" t="str">
        <f>"CN2380831"</f>
        <v>CN2380831</v>
      </c>
      <c r="D64" t="str">
        <f t="shared" si="32"/>
        <v>Thomas Lonsdale</v>
      </c>
      <c r="E64" s="44">
        <v>41823.454861111109</v>
      </c>
      <c r="F64" t="s">
        <v>2508</v>
      </c>
      <c r="G64" t="str">
        <f t="shared" si="1"/>
        <v>published</v>
      </c>
      <c r="H64" s="45">
        <v>41815</v>
      </c>
      <c r="I64" s="45">
        <v>41816</v>
      </c>
      <c r="J64" s="46">
        <v>34375</v>
      </c>
      <c r="K64" t="s">
        <v>2517</v>
      </c>
      <c r="L64" t="str">
        <f>"0004604562"</f>
        <v>0004604562</v>
      </c>
      <c r="M64" t="str">
        <f>"Printed publications"</f>
        <v>Printed publications</v>
      </c>
      <c r="N64" t="str">
        <f>"Limited tender"</f>
        <v>Limited tender</v>
      </c>
      <c r="O64" t="str">
        <f>"LIMITED TENDER"</f>
        <v>LIMITED TENDER</v>
      </c>
      <c r="Q64" t="str">
        <f t="shared" si="28"/>
        <v>No</v>
      </c>
      <c r="R64" t="str">
        <f>""</f>
        <v/>
      </c>
      <c r="S64" t="str">
        <f t="shared" si="29"/>
        <v>No</v>
      </c>
      <c r="T64" t="str">
        <f>""</f>
        <v/>
      </c>
      <c r="U64" t="str">
        <f>"No"</f>
        <v>No</v>
      </c>
      <c r="V64" t="str">
        <f>""</f>
        <v/>
      </c>
      <c r="X64" t="str">
        <f>"OzTAM Pty Ltd"</f>
        <v>OzTAM Pty Ltd</v>
      </c>
      <c r="Y64" t="str">
        <f>"Level 4, 50 Berry Street"</f>
        <v>Level 4, 50 Berry Street</v>
      </c>
      <c r="Z64" t="str">
        <f>"North Sydney"</f>
        <v>North Sydney</v>
      </c>
      <c r="AA64" t="str">
        <f>"2060"</f>
        <v>2060</v>
      </c>
      <c r="AB64" t="str">
        <f t="shared" si="25"/>
        <v>Australia</v>
      </c>
      <c r="AC64" t="str">
        <f t="shared" si="21"/>
        <v>No</v>
      </c>
      <c r="AD64" t="str">
        <f>"87089146396"</f>
        <v>87089146396</v>
      </c>
      <c r="AE64" t="str">
        <f t="shared" si="31"/>
        <v>ADMIN OFFICER</v>
      </c>
      <c r="AF64" t="str">
        <f t="shared" si="26"/>
        <v>(02) 6271 1000</v>
      </c>
      <c r="AG64" t="str">
        <f>""</f>
        <v/>
      </c>
      <c r="AH64" t="str">
        <f>""</f>
        <v/>
      </c>
      <c r="AI64" t="str">
        <f>"DIGITAL SWITCHOVER &amp; CORPORATE PROJECT PLAN Digital Switchover &amp; Corporate Project Plan"</f>
        <v>DIGITAL SWITCHOVER &amp; CORPORATE PROJECT PLAN Digital Switchover &amp; Corporate Project Plan</v>
      </c>
      <c r="AJ64" t="str">
        <f t="shared" si="27"/>
        <v>2603</v>
      </c>
    </row>
    <row r="65" spans="1:36" x14ac:dyDescent="0.25">
      <c r="A65" t="str">
        <f t="shared" si="0"/>
        <v>Department of Communications</v>
      </c>
      <c r="B65" t="str">
        <f>""</f>
        <v/>
      </c>
      <c r="C65" t="str">
        <f>"CN2380841"</f>
        <v>CN2380841</v>
      </c>
      <c r="D65" t="str">
        <f t="shared" si="32"/>
        <v>Thomas Lonsdale</v>
      </c>
      <c r="E65" s="44">
        <v>41823.455555555556</v>
      </c>
      <c r="F65" t="s">
        <v>2508</v>
      </c>
      <c r="G65" t="str">
        <f t="shared" si="1"/>
        <v>published</v>
      </c>
      <c r="H65" s="45">
        <v>41815</v>
      </c>
      <c r="I65" s="45">
        <v>41851</v>
      </c>
      <c r="J65" s="46">
        <v>60000</v>
      </c>
      <c r="K65" t="s">
        <v>1409</v>
      </c>
      <c r="L65" t="str">
        <f>"0004604563"</f>
        <v>0004604563</v>
      </c>
      <c r="M65" t="str">
        <f>"Corporate objectives or policy development"</f>
        <v>Corporate objectives or policy development</v>
      </c>
      <c r="N65" t="str">
        <f>"Limited tender"</f>
        <v>Limited tender</v>
      </c>
      <c r="O65" t="str">
        <f>""</f>
        <v/>
      </c>
      <c r="Q65" t="str">
        <f t="shared" si="28"/>
        <v>No</v>
      </c>
      <c r="R65" t="str">
        <f>""</f>
        <v/>
      </c>
      <c r="S65" t="str">
        <f t="shared" si="29"/>
        <v>No</v>
      </c>
      <c r="T65" t="str">
        <f>""</f>
        <v/>
      </c>
      <c r="U65" t="str">
        <f>"No"</f>
        <v>No</v>
      </c>
      <c r="V65" t="str">
        <f>""</f>
        <v/>
      </c>
      <c r="X65" t="str">
        <f>"Barbara Sullivan"</f>
        <v>Barbara Sullivan</v>
      </c>
      <c r="Y65" t="str">
        <f>"24 Gledden Street"</f>
        <v>24 Gledden Street</v>
      </c>
      <c r="Z65" t="str">
        <f>"Chifley"</f>
        <v>Chifley</v>
      </c>
      <c r="AA65" t="str">
        <f>"2606"</f>
        <v>2606</v>
      </c>
      <c r="AB65" t="str">
        <f t="shared" si="25"/>
        <v>Australia</v>
      </c>
      <c r="AC65" t="str">
        <f t="shared" si="21"/>
        <v>No</v>
      </c>
      <c r="AD65" t="str">
        <f>"26155163045"</f>
        <v>26155163045</v>
      </c>
      <c r="AE65" t="str">
        <f t="shared" si="31"/>
        <v>ADMIN OFFICER</v>
      </c>
      <c r="AF65" t="str">
        <f t="shared" si="26"/>
        <v>(02) 6271 1000</v>
      </c>
      <c r="AG65" t="str">
        <f>""</f>
        <v/>
      </c>
      <c r="AH65" t="str">
        <f>""</f>
        <v/>
      </c>
      <c r="AI65" t="str">
        <f>"CORPORATE Corporate"</f>
        <v>CORPORATE Corporate</v>
      </c>
      <c r="AJ65" t="str">
        <f t="shared" si="27"/>
        <v>2603</v>
      </c>
    </row>
    <row r="66" spans="1:36" x14ac:dyDescent="0.25">
      <c r="A66" t="str">
        <f t="shared" si="0"/>
        <v>Department of Communications</v>
      </c>
      <c r="B66" t="str">
        <f>""</f>
        <v/>
      </c>
      <c r="C66" t="str">
        <f>"CN2380861"</f>
        <v>CN2380861</v>
      </c>
      <c r="D66" t="str">
        <f t="shared" si="32"/>
        <v>Thomas Lonsdale</v>
      </c>
      <c r="E66" s="44">
        <v>41823.455555555556</v>
      </c>
      <c r="F66" t="s">
        <v>2508</v>
      </c>
      <c r="G66" t="str">
        <f t="shared" si="1"/>
        <v>published</v>
      </c>
      <c r="H66" s="45">
        <v>41774</v>
      </c>
      <c r="I66" s="45">
        <v>41851</v>
      </c>
      <c r="J66" s="46">
        <v>85000</v>
      </c>
      <c r="K66" t="s">
        <v>1411</v>
      </c>
      <c r="L66" t="str">
        <f>"0004604565"</f>
        <v>0004604565</v>
      </c>
      <c r="M66" t="str">
        <f>"Accounting services"</f>
        <v>Accounting services</v>
      </c>
      <c r="N66" t="str">
        <f>"Open tender"</f>
        <v>Open tender</v>
      </c>
      <c r="O66" t="str">
        <f>"DCON/09/17"</f>
        <v>DCON/09/17</v>
      </c>
      <c r="P66" t="str">
        <f>"SON241274"</f>
        <v>SON241274</v>
      </c>
      <c r="Q66" t="str">
        <f t="shared" si="28"/>
        <v>No</v>
      </c>
      <c r="R66" t="str">
        <f>""</f>
        <v/>
      </c>
      <c r="S66" t="str">
        <f t="shared" si="29"/>
        <v>No</v>
      </c>
      <c r="T66" t="str">
        <f>""</f>
        <v/>
      </c>
      <c r="U66" t="str">
        <f>"Yes"</f>
        <v>Yes</v>
      </c>
      <c r="V66" t="str">
        <f>"Need for specialised or professional skills"</f>
        <v>Need for specialised or professional skills</v>
      </c>
      <c r="X66" t="str">
        <f>"KPMG"</f>
        <v>KPMG</v>
      </c>
      <c r="Y66" t="str">
        <f>"PO BOX 7396"</f>
        <v>PO BOX 7396</v>
      </c>
      <c r="Z66" t="str">
        <f>"Canberra Business Centre"</f>
        <v>Canberra Business Centre</v>
      </c>
      <c r="AA66" t="str">
        <f>"2610"</f>
        <v>2610</v>
      </c>
      <c r="AB66" t="str">
        <f t="shared" si="25"/>
        <v>Australia</v>
      </c>
      <c r="AC66" t="str">
        <f t="shared" si="21"/>
        <v>No</v>
      </c>
      <c r="AD66" t="str">
        <f>"51194660183"</f>
        <v>51194660183</v>
      </c>
      <c r="AE66" t="str">
        <f t="shared" si="31"/>
        <v>ADMIN OFFICER</v>
      </c>
      <c r="AF66" t="str">
        <f t="shared" si="26"/>
        <v>(02) 6271 1000</v>
      </c>
      <c r="AG66" t="str">
        <f>""</f>
        <v/>
      </c>
      <c r="AH66" t="str">
        <f>""</f>
        <v/>
      </c>
      <c r="AI66" t="str">
        <f>"CORPORATE Corporate"</f>
        <v>CORPORATE Corporate</v>
      </c>
      <c r="AJ66" t="str">
        <f t="shared" si="27"/>
        <v>2603</v>
      </c>
    </row>
    <row r="67" spans="1:36" x14ac:dyDescent="0.25">
      <c r="A67" t="str">
        <f t="shared" si="0"/>
        <v>Department of Communications</v>
      </c>
      <c r="B67" t="str">
        <f>""</f>
        <v/>
      </c>
      <c r="C67" t="str">
        <f>"CN3139742"</f>
        <v>CN3139742</v>
      </c>
      <c r="D67" t="str">
        <f>"David Kenny"</f>
        <v>David Kenny</v>
      </c>
      <c r="E67" s="44">
        <v>42164.625</v>
      </c>
      <c r="F67" t="s">
        <v>2508</v>
      </c>
      <c r="G67" t="str">
        <f t="shared" si="1"/>
        <v>published</v>
      </c>
      <c r="H67" s="45">
        <v>41821</v>
      </c>
      <c r="I67" s="45">
        <v>42185</v>
      </c>
      <c r="J67" s="46">
        <v>20944</v>
      </c>
      <c r="K67" t="s">
        <v>1413</v>
      </c>
      <c r="L67" t="str">
        <f>"0004604566"</f>
        <v>0004604566</v>
      </c>
      <c r="M67" t="str">
        <f>"Software maintenance and support"</f>
        <v>Software maintenance and support</v>
      </c>
      <c r="N67" t="str">
        <f>"Open tender"</f>
        <v>Open tender</v>
      </c>
      <c r="O67" t="str">
        <f>"IPAC2010/13823"</f>
        <v>IPAC2010/13823</v>
      </c>
      <c r="P67" t="str">
        <f>"SON389818"</f>
        <v>SON389818</v>
      </c>
      <c r="Q67" t="str">
        <f t="shared" si="28"/>
        <v>No</v>
      </c>
      <c r="R67" t="str">
        <f>""</f>
        <v/>
      </c>
      <c r="S67" t="str">
        <f t="shared" si="29"/>
        <v>No</v>
      </c>
      <c r="T67" t="str">
        <f>""</f>
        <v/>
      </c>
      <c r="U67" t="str">
        <f t="shared" ref="U67:U80" si="33">"No"</f>
        <v>No</v>
      </c>
      <c r="V67" t="str">
        <f>""</f>
        <v/>
      </c>
      <c r="X67" t="str">
        <f>"SOUTHERN CROSS COMPUTING PTY LTD"</f>
        <v>SOUTHERN CROSS COMPUTING PTY LTD</v>
      </c>
      <c r="Y67" t="str">
        <f>"PO BOX 1090"</f>
        <v>PO BOX 1090</v>
      </c>
      <c r="Z67" t="str">
        <f>"WODEN"</f>
        <v>WODEN</v>
      </c>
      <c r="AA67" t="str">
        <f>"2606"</f>
        <v>2606</v>
      </c>
      <c r="AB67" t="str">
        <f t="shared" si="25"/>
        <v>Australia</v>
      </c>
      <c r="AC67" t="str">
        <f t="shared" si="21"/>
        <v>No</v>
      </c>
      <c r="AD67" t="str">
        <f>"71008626131"</f>
        <v>71008626131</v>
      </c>
      <c r="AE67" t="str">
        <f t="shared" si="31"/>
        <v>ADMIN OFFICER</v>
      </c>
      <c r="AF67" t="str">
        <f t="shared" si="26"/>
        <v>(02) 6271 1000</v>
      </c>
      <c r="AG67" t="str">
        <f>""</f>
        <v/>
      </c>
      <c r="AH67" t="str">
        <f>""</f>
        <v/>
      </c>
      <c r="AI67" t="str">
        <f>"CORPORATE TREASURY [OLD] Corporate Treasury"</f>
        <v>CORPORATE TREASURY [OLD] Corporate Treasury</v>
      </c>
      <c r="AJ67" t="str">
        <f t="shared" si="27"/>
        <v>2603</v>
      </c>
    </row>
    <row r="68" spans="1:36" x14ac:dyDescent="0.25">
      <c r="A68" t="str">
        <f t="shared" ref="A68:A131" si="34">"Department of Communications"</f>
        <v>Department of Communications</v>
      </c>
      <c r="B68" t="str">
        <f>""</f>
        <v/>
      </c>
      <c r="C68" t="str">
        <f>"CN2935482"</f>
        <v>CN2935482</v>
      </c>
      <c r="D68" t="str">
        <f>"Leesa O'connor"</f>
        <v>Leesa O'connor</v>
      </c>
      <c r="E68" s="44">
        <v>42086.617361111108</v>
      </c>
      <c r="F68" t="s">
        <v>2508</v>
      </c>
      <c r="G68" t="str">
        <f t="shared" ref="G68:G131" si="35">"published"</f>
        <v>published</v>
      </c>
      <c r="H68" s="45">
        <v>41821</v>
      </c>
      <c r="I68" s="45">
        <v>42185</v>
      </c>
      <c r="J68" s="46">
        <v>33000</v>
      </c>
      <c r="K68" t="s">
        <v>1413</v>
      </c>
      <c r="L68" t="str">
        <f>"0004604566"</f>
        <v>0004604566</v>
      </c>
      <c r="M68" t="str">
        <f>"Software maintenance and support"</f>
        <v>Software maintenance and support</v>
      </c>
      <c r="N68" t="str">
        <f>"Open tender"</f>
        <v>Open tender</v>
      </c>
      <c r="O68" t="str">
        <f>"IPAC2010/13823"</f>
        <v>IPAC2010/13823</v>
      </c>
      <c r="P68" t="str">
        <f>"SON389818"</f>
        <v>SON389818</v>
      </c>
      <c r="Q68" t="str">
        <f t="shared" si="28"/>
        <v>No</v>
      </c>
      <c r="R68" t="str">
        <f>""</f>
        <v/>
      </c>
      <c r="S68" t="str">
        <f t="shared" si="29"/>
        <v>No</v>
      </c>
      <c r="T68" t="str">
        <f>""</f>
        <v/>
      </c>
      <c r="U68" t="str">
        <f t="shared" si="33"/>
        <v>No</v>
      </c>
      <c r="V68" t="str">
        <f>""</f>
        <v/>
      </c>
      <c r="X68" t="str">
        <f>"SOUTHERN CROSS COMPUTING PTY LTD"</f>
        <v>SOUTHERN CROSS COMPUTING PTY LTD</v>
      </c>
      <c r="Y68" t="str">
        <f>"PO BOX 1090"</f>
        <v>PO BOX 1090</v>
      </c>
      <c r="Z68" t="str">
        <f>"WODEN"</f>
        <v>WODEN</v>
      </c>
      <c r="AA68" t="str">
        <f>"2606"</f>
        <v>2606</v>
      </c>
      <c r="AB68" t="str">
        <f t="shared" si="25"/>
        <v>Australia</v>
      </c>
      <c r="AC68" t="str">
        <f t="shared" ref="AC68:AC79" si="36">"No"</f>
        <v>No</v>
      </c>
      <c r="AD68" t="str">
        <f>"71008626131"</f>
        <v>71008626131</v>
      </c>
      <c r="AE68" t="str">
        <f t="shared" si="31"/>
        <v>ADMIN OFFICER</v>
      </c>
      <c r="AF68" t="str">
        <f t="shared" si="26"/>
        <v>(02) 6271 1000</v>
      </c>
      <c r="AG68" t="str">
        <f>""</f>
        <v/>
      </c>
      <c r="AH68" t="str">
        <f>""</f>
        <v/>
      </c>
      <c r="AI68" t="str">
        <f>"CORPORATE TREASURY [OLD] Corporate Treasury"</f>
        <v>CORPORATE TREASURY [OLD] Corporate Treasury</v>
      </c>
      <c r="AJ68" t="str">
        <f t="shared" si="27"/>
        <v>2603</v>
      </c>
    </row>
    <row r="69" spans="1:36" x14ac:dyDescent="0.25">
      <c r="A69" t="str">
        <f t="shared" si="34"/>
        <v>Department of Communications</v>
      </c>
      <c r="B69" t="str">
        <f>""</f>
        <v/>
      </c>
      <c r="C69" t="str">
        <f>"CN2380871"</f>
        <v>CN2380871</v>
      </c>
      <c r="D69" t="str">
        <f>"Thomas Lonsdale"</f>
        <v>Thomas Lonsdale</v>
      </c>
      <c r="E69" s="44">
        <v>41823.455555555556</v>
      </c>
      <c r="F69" t="s">
        <v>2508</v>
      </c>
      <c r="G69" t="str">
        <f t="shared" si="35"/>
        <v>published</v>
      </c>
      <c r="H69" s="45">
        <v>41821</v>
      </c>
      <c r="I69" s="45">
        <v>42185</v>
      </c>
      <c r="J69" s="46">
        <v>132000</v>
      </c>
      <c r="K69" t="s">
        <v>1413</v>
      </c>
      <c r="L69" t="str">
        <f>"0004604566"</f>
        <v>0004604566</v>
      </c>
      <c r="M69" t="str">
        <f>"Software maintenance and support"</f>
        <v>Software maintenance and support</v>
      </c>
      <c r="N69" t="str">
        <f>"Open tender"</f>
        <v>Open tender</v>
      </c>
      <c r="O69" t="str">
        <f>"IPAC2010/13823"</f>
        <v>IPAC2010/13823</v>
      </c>
      <c r="P69" t="str">
        <f>"SON389818"</f>
        <v>SON389818</v>
      </c>
      <c r="Q69" t="str">
        <f t="shared" si="28"/>
        <v>No</v>
      </c>
      <c r="R69" t="str">
        <f>""</f>
        <v/>
      </c>
      <c r="S69" t="str">
        <f t="shared" si="29"/>
        <v>No</v>
      </c>
      <c r="T69" t="str">
        <f>""</f>
        <v/>
      </c>
      <c r="U69" t="str">
        <f t="shared" si="33"/>
        <v>No</v>
      </c>
      <c r="V69" t="str">
        <f>""</f>
        <v/>
      </c>
      <c r="X69" t="str">
        <f>"SOUTHERN CROSS COMPUTING PTY LTD"</f>
        <v>SOUTHERN CROSS COMPUTING PTY LTD</v>
      </c>
      <c r="Y69" t="str">
        <f>"PO BOX 1090"</f>
        <v>PO BOX 1090</v>
      </c>
      <c r="Z69" t="str">
        <f>"WODEN"</f>
        <v>WODEN</v>
      </c>
      <c r="AA69" t="str">
        <f>"2606"</f>
        <v>2606</v>
      </c>
      <c r="AB69" t="str">
        <f t="shared" si="25"/>
        <v>Australia</v>
      </c>
      <c r="AC69" t="str">
        <f t="shared" si="36"/>
        <v>No</v>
      </c>
      <c r="AD69" t="str">
        <f>"71008626131"</f>
        <v>71008626131</v>
      </c>
      <c r="AE69" t="str">
        <f t="shared" si="31"/>
        <v>ADMIN OFFICER</v>
      </c>
      <c r="AF69" t="str">
        <f t="shared" si="26"/>
        <v>(02) 6271 1000</v>
      </c>
      <c r="AG69" t="str">
        <f>""</f>
        <v/>
      </c>
      <c r="AH69" t="str">
        <f>""</f>
        <v/>
      </c>
      <c r="AI69" t="str">
        <f>"CORPORATE Corporate"</f>
        <v>CORPORATE Corporate</v>
      </c>
      <c r="AJ69" t="str">
        <f t="shared" si="27"/>
        <v>2603</v>
      </c>
    </row>
    <row r="70" spans="1:36" x14ac:dyDescent="0.25">
      <c r="A70" t="str">
        <f t="shared" si="34"/>
        <v>Department of Communications</v>
      </c>
      <c r="B70" t="str">
        <f>""</f>
        <v/>
      </c>
      <c r="C70" t="str">
        <f>"CN2380881"</f>
        <v>CN2380881</v>
      </c>
      <c r="D70" t="str">
        <f>"Thomas Lonsdale"</f>
        <v>Thomas Lonsdale</v>
      </c>
      <c r="E70" s="44">
        <v>41823.455555555556</v>
      </c>
      <c r="F70" t="s">
        <v>2508</v>
      </c>
      <c r="G70" t="str">
        <f t="shared" si="35"/>
        <v>published</v>
      </c>
      <c r="H70" s="45">
        <v>41816</v>
      </c>
      <c r="I70" s="45">
        <v>41820</v>
      </c>
      <c r="J70" s="46">
        <v>11652</v>
      </c>
      <c r="K70" t="s">
        <v>2518</v>
      </c>
      <c r="L70" t="str">
        <f>"0004604567"</f>
        <v>0004604567</v>
      </c>
      <c r="M70" t="str">
        <f>"Public relation services"</f>
        <v>Public relation services</v>
      </c>
      <c r="N70" t="str">
        <f>"Limited tender"</f>
        <v>Limited tender</v>
      </c>
      <c r="O70" t="str">
        <f>"DCON/12?185"</f>
        <v>DCON/12?185</v>
      </c>
      <c r="Q70" t="str">
        <f t="shared" si="28"/>
        <v>No</v>
      </c>
      <c r="R70" t="str">
        <f>""</f>
        <v/>
      </c>
      <c r="S70" t="str">
        <f t="shared" si="29"/>
        <v>No</v>
      </c>
      <c r="T70" t="str">
        <f>""</f>
        <v/>
      </c>
      <c r="U70" t="str">
        <f t="shared" si="33"/>
        <v>No</v>
      </c>
      <c r="V70" t="str">
        <f>""</f>
        <v/>
      </c>
      <c r="X70" t="str">
        <f>"PORTER NOVELLI"</f>
        <v>PORTER NOVELLI</v>
      </c>
      <c r="Y70" t="str">
        <f>"PO BOX 181"</f>
        <v>PO BOX 181</v>
      </c>
      <c r="Z70" t="str">
        <f>"SOUTH YARRA"</f>
        <v>SOUTH YARRA</v>
      </c>
      <c r="AA70" t="str">
        <f>"3141"</f>
        <v>3141</v>
      </c>
      <c r="AB70" t="str">
        <f t="shared" si="25"/>
        <v>Australia</v>
      </c>
      <c r="AC70" t="str">
        <f t="shared" si="36"/>
        <v>No</v>
      </c>
      <c r="AD70" t="str">
        <f>"40079616050"</f>
        <v>40079616050</v>
      </c>
      <c r="AE70" t="str">
        <f t="shared" si="31"/>
        <v>ADMIN OFFICER</v>
      </c>
      <c r="AF70" t="str">
        <f t="shared" si="26"/>
        <v>(02) 6271 1000</v>
      </c>
      <c r="AG70" t="str">
        <f>""</f>
        <v/>
      </c>
      <c r="AH70" t="str">
        <f>""</f>
        <v/>
      </c>
      <c r="AI70" t="str">
        <f>"CSAF"</f>
        <v>CSAF</v>
      </c>
      <c r="AJ70" t="str">
        <f t="shared" si="27"/>
        <v>2603</v>
      </c>
    </row>
    <row r="71" spans="1:36" x14ac:dyDescent="0.25">
      <c r="A71" t="str">
        <f t="shared" si="34"/>
        <v>Department of Communications</v>
      </c>
      <c r="B71" t="str">
        <f>""</f>
        <v/>
      </c>
      <c r="C71" t="str">
        <f>"CN2380891"</f>
        <v>CN2380891</v>
      </c>
      <c r="D71" t="str">
        <f>"Thomas Lonsdale"</f>
        <v>Thomas Lonsdale</v>
      </c>
      <c r="E71" s="44">
        <v>41823.455555555556</v>
      </c>
      <c r="F71" t="s">
        <v>2508</v>
      </c>
      <c r="G71" t="str">
        <f t="shared" si="35"/>
        <v>published</v>
      </c>
      <c r="H71" s="45">
        <v>41821</v>
      </c>
      <c r="I71" s="45">
        <v>42034</v>
      </c>
      <c r="J71" s="46">
        <v>299552</v>
      </c>
      <c r="K71" t="s">
        <v>1418</v>
      </c>
      <c r="L71" t="str">
        <f>"0004604568"</f>
        <v>0004604568</v>
      </c>
      <c r="M71" t="str">
        <f>"Public relation services"</f>
        <v>Public relation services</v>
      </c>
      <c r="N71" t="str">
        <f>"Prequalified tender"</f>
        <v>Prequalified tender</v>
      </c>
      <c r="O71" t="str">
        <f>"DCON/10/29"</f>
        <v>DCON/10/29</v>
      </c>
      <c r="P71" t="str">
        <f>"SON331286"</f>
        <v>SON331286</v>
      </c>
      <c r="Q71" t="str">
        <f t="shared" si="28"/>
        <v>No</v>
      </c>
      <c r="R71" t="str">
        <f>""</f>
        <v/>
      </c>
      <c r="S71" t="str">
        <f t="shared" si="29"/>
        <v>No</v>
      </c>
      <c r="T71" t="str">
        <f>""</f>
        <v/>
      </c>
      <c r="U71" t="str">
        <f t="shared" si="33"/>
        <v>No</v>
      </c>
      <c r="V71" t="str">
        <f>""</f>
        <v/>
      </c>
      <c r="X71" t="str">
        <f>"Cultural Perspectives Pty Ltd"</f>
        <v>Cultural Perspectives Pty Ltd</v>
      </c>
      <c r="Y71" t="str">
        <f>"Level 1, 93 Norton Street"</f>
        <v>Level 1, 93 Norton Street</v>
      </c>
      <c r="Z71" t="str">
        <f>"Leichhardt"</f>
        <v>Leichhardt</v>
      </c>
      <c r="AA71" t="str">
        <f>"2040"</f>
        <v>2040</v>
      </c>
      <c r="AB71" t="str">
        <f t="shared" si="25"/>
        <v>Australia</v>
      </c>
      <c r="AC71" t="str">
        <f t="shared" si="36"/>
        <v>No</v>
      </c>
      <c r="AD71" t="str">
        <f>"30065353951"</f>
        <v>30065353951</v>
      </c>
      <c r="AE71" t="str">
        <f t="shared" si="31"/>
        <v>ADMIN OFFICER</v>
      </c>
      <c r="AF71" t="str">
        <f t="shared" si="26"/>
        <v>(02) 6271 1000</v>
      </c>
      <c r="AG71" t="str">
        <f>""</f>
        <v/>
      </c>
      <c r="AH71" t="str">
        <f>""</f>
        <v/>
      </c>
      <c r="AI71" t="str">
        <f>"CORPORATE Corporate"</f>
        <v>CORPORATE Corporate</v>
      </c>
      <c r="AJ71" t="str">
        <f t="shared" si="27"/>
        <v>2603</v>
      </c>
    </row>
    <row r="72" spans="1:36" x14ac:dyDescent="0.25">
      <c r="A72" t="str">
        <f t="shared" si="34"/>
        <v>Department of Communications</v>
      </c>
      <c r="B72" t="str">
        <f>""</f>
        <v/>
      </c>
      <c r="C72" t="str">
        <f>"CN2380901"</f>
        <v>CN2380901</v>
      </c>
      <c r="D72" t="str">
        <f>"Thomas Lonsdale"</f>
        <v>Thomas Lonsdale</v>
      </c>
      <c r="E72" s="44">
        <v>41823.455555555556</v>
      </c>
      <c r="F72" t="s">
        <v>2508</v>
      </c>
      <c r="G72" t="str">
        <f t="shared" si="35"/>
        <v>published</v>
      </c>
      <c r="H72" s="45">
        <v>41821</v>
      </c>
      <c r="I72" s="45">
        <v>42185</v>
      </c>
      <c r="J72" s="46">
        <v>17820</v>
      </c>
      <c r="K72" t="s">
        <v>1364</v>
      </c>
      <c r="L72" t="str">
        <f>"0004604569"</f>
        <v>0004604569</v>
      </c>
      <c r="M72" t="str">
        <f>"Software"</f>
        <v>Software</v>
      </c>
      <c r="N72" t="str">
        <f>"Open tender"</f>
        <v>Open tender</v>
      </c>
      <c r="O72" t="str">
        <f>"DCON/10/96"</f>
        <v>DCON/10/96</v>
      </c>
      <c r="P72" t="str">
        <f>"SON368749"</f>
        <v>SON368749</v>
      </c>
      <c r="Q72" t="str">
        <f t="shared" si="28"/>
        <v>No</v>
      </c>
      <c r="R72" t="str">
        <f>""</f>
        <v/>
      </c>
      <c r="S72" t="str">
        <f t="shared" si="29"/>
        <v>No</v>
      </c>
      <c r="T72" t="str">
        <f>""</f>
        <v/>
      </c>
      <c r="U72" t="str">
        <f t="shared" si="33"/>
        <v>No</v>
      </c>
      <c r="V72" t="str">
        <f>""</f>
        <v/>
      </c>
      <c r="X72" t="str">
        <f>"The Trustee for Silverstripe Unit T"</f>
        <v>The Trustee for Silverstripe Unit T</v>
      </c>
      <c r="Y72" t="str">
        <f>"Level 1, 1 Cecil Place"</f>
        <v>Level 1, 1 Cecil Place</v>
      </c>
      <c r="Z72" t="str">
        <f>"Prahran"</f>
        <v>Prahran</v>
      </c>
      <c r="AA72" t="str">
        <f>"3181"</f>
        <v>3181</v>
      </c>
      <c r="AB72" t="str">
        <f t="shared" si="25"/>
        <v>Australia</v>
      </c>
      <c r="AC72" t="str">
        <f t="shared" si="36"/>
        <v>No</v>
      </c>
      <c r="AD72" t="str">
        <f>"55800709480"</f>
        <v>55800709480</v>
      </c>
      <c r="AE72" t="str">
        <f t="shared" si="31"/>
        <v>ADMIN OFFICER</v>
      </c>
      <c r="AF72" t="str">
        <f t="shared" si="26"/>
        <v>(02) 6271 1000</v>
      </c>
      <c r="AG72" t="str">
        <f>""</f>
        <v/>
      </c>
      <c r="AH72" t="str">
        <f>""</f>
        <v/>
      </c>
      <c r="AI72" t="str">
        <f>"CORPORATE Corporate"</f>
        <v>CORPORATE Corporate</v>
      </c>
      <c r="AJ72" t="str">
        <f t="shared" si="27"/>
        <v>2603</v>
      </c>
    </row>
    <row r="73" spans="1:36" x14ac:dyDescent="0.25">
      <c r="A73" t="str">
        <f t="shared" si="34"/>
        <v>Department of Communications</v>
      </c>
      <c r="B73" t="str">
        <f>""</f>
        <v/>
      </c>
      <c r="C73" t="str">
        <f>"CN2380911"</f>
        <v>CN2380911</v>
      </c>
      <c r="D73" t="str">
        <f>"Thomas Lonsdale"</f>
        <v>Thomas Lonsdale</v>
      </c>
      <c r="E73" s="44">
        <v>41823.455555555556</v>
      </c>
      <c r="F73" t="s">
        <v>2508</v>
      </c>
      <c r="G73" t="str">
        <f t="shared" si="35"/>
        <v>published</v>
      </c>
      <c r="H73" s="45">
        <v>41821</v>
      </c>
      <c r="I73" s="45">
        <v>42094</v>
      </c>
      <c r="J73" s="46">
        <v>52470</v>
      </c>
      <c r="K73" t="s">
        <v>204</v>
      </c>
      <c r="L73" t="str">
        <f>"0004604570"</f>
        <v>0004604570</v>
      </c>
      <c r="M73" t="str">
        <f>"Computer servers"</f>
        <v>Computer servers</v>
      </c>
      <c r="N73" t="str">
        <f>"Limited tender"</f>
        <v>Limited tender</v>
      </c>
      <c r="O73" t="str">
        <f>"LIMITED TENDER"</f>
        <v>LIMITED TENDER</v>
      </c>
      <c r="Q73" t="str">
        <f t="shared" si="28"/>
        <v>No</v>
      </c>
      <c r="R73" t="str">
        <f>""</f>
        <v/>
      </c>
      <c r="S73" t="str">
        <f t="shared" si="29"/>
        <v>No</v>
      </c>
      <c r="T73" t="str">
        <f>""</f>
        <v/>
      </c>
      <c r="U73" t="str">
        <f t="shared" si="33"/>
        <v>No</v>
      </c>
      <c r="V73" t="str">
        <f>""</f>
        <v/>
      </c>
      <c r="X73" t="str">
        <f>"Offis Pty Ltd"</f>
        <v>Offis Pty Ltd</v>
      </c>
      <c r="Y73" t="str">
        <f>"Level 3, 55 Pyrmont Bridge Rd"</f>
        <v>Level 3, 55 Pyrmont Bridge Rd</v>
      </c>
      <c r="Z73" t="str">
        <f>"Pyrmont"</f>
        <v>Pyrmont</v>
      </c>
      <c r="AA73" t="str">
        <f>"2009"</f>
        <v>2009</v>
      </c>
      <c r="AB73" t="str">
        <f t="shared" si="25"/>
        <v>Australia</v>
      </c>
      <c r="AC73" t="str">
        <f t="shared" si="36"/>
        <v>No</v>
      </c>
      <c r="AD73" t="str">
        <f>"70077283811"</f>
        <v>70077283811</v>
      </c>
      <c r="AE73" t="str">
        <f t="shared" si="31"/>
        <v>ADMIN OFFICER</v>
      </c>
      <c r="AF73" t="str">
        <f t="shared" si="26"/>
        <v>(02) 6271 1000</v>
      </c>
      <c r="AG73" t="str">
        <f>""</f>
        <v/>
      </c>
      <c r="AH73" t="str">
        <f>""</f>
        <v/>
      </c>
      <c r="AI73" t="str">
        <f>"DIGITAL SWITCHOVER &amp; CORPORATE PROJECT PLAN Digital Switchover &amp; Corporate Project Plan"</f>
        <v>DIGITAL SWITCHOVER &amp; CORPORATE PROJECT PLAN Digital Switchover &amp; Corporate Project Plan</v>
      </c>
      <c r="AJ73" t="str">
        <f>"2000"</f>
        <v>2000</v>
      </c>
    </row>
    <row r="74" spans="1:36" x14ac:dyDescent="0.25">
      <c r="A74" t="str">
        <f t="shared" si="34"/>
        <v>Department of Communications</v>
      </c>
      <c r="B74" t="str">
        <f>""</f>
        <v/>
      </c>
      <c r="C74" t="str">
        <f>"CN2885822"</f>
        <v>CN2885822</v>
      </c>
      <c r="D74" t="str">
        <f>"David Kenny"</f>
        <v>David Kenny</v>
      </c>
      <c r="E74" s="44">
        <v>42062.686111111114</v>
      </c>
      <c r="F74" t="s">
        <v>2508</v>
      </c>
      <c r="G74" t="str">
        <f t="shared" si="35"/>
        <v>published</v>
      </c>
      <c r="H74" s="45">
        <v>41821</v>
      </c>
      <c r="I74" s="45">
        <v>42185</v>
      </c>
      <c r="J74" s="46">
        <v>20333.5</v>
      </c>
      <c r="K74" t="s">
        <v>204</v>
      </c>
      <c r="L74" t="str">
        <f>"0004604570"</f>
        <v>0004604570</v>
      </c>
      <c r="M74" t="str">
        <f>"Computer servers"</f>
        <v>Computer servers</v>
      </c>
      <c r="N74" t="str">
        <f>"Limited tender"</f>
        <v>Limited tender</v>
      </c>
      <c r="O74" t="str">
        <f>"LIMITED TENDER"</f>
        <v>LIMITED TENDER</v>
      </c>
      <c r="Q74" t="str">
        <f t="shared" si="28"/>
        <v>No</v>
      </c>
      <c r="R74" t="str">
        <f>""</f>
        <v/>
      </c>
      <c r="S74" t="str">
        <f t="shared" si="29"/>
        <v>No</v>
      </c>
      <c r="T74" t="str">
        <f>""</f>
        <v/>
      </c>
      <c r="U74" t="str">
        <f t="shared" si="33"/>
        <v>No</v>
      </c>
      <c r="V74" t="str">
        <f>""</f>
        <v/>
      </c>
      <c r="X74" t="str">
        <f>"Offis Pty Ltd"</f>
        <v>Offis Pty Ltd</v>
      </c>
      <c r="Y74" t="str">
        <f>"Level 3, 55 Pyrmont Bridge Rd"</f>
        <v>Level 3, 55 Pyrmont Bridge Rd</v>
      </c>
      <c r="Z74" t="str">
        <f>"Pyrmont"</f>
        <v>Pyrmont</v>
      </c>
      <c r="AA74" t="str">
        <f>"2009"</f>
        <v>2009</v>
      </c>
      <c r="AB74" t="str">
        <f t="shared" si="25"/>
        <v>Australia</v>
      </c>
      <c r="AC74" t="str">
        <f t="shared" si="36"/>
        <v>No</v>
      </c>
      <c r="AD74" t="str">
        <f>"70077283811"</f>
        <v>70077283811</v>
      </c>
      <c r="AE74" t="str">
        <f t="shared" si="31"/>
        <v>ADMIN OFFICER</v>
      </c>
      <c r="AF74" t="str">
        <f t="shared" si="26"/>
        <v>(02) 6271 1000</v>
      </c>
      <c r="AG74" t="str">
        <f>""</f>
        <v/>
      </c>
      <c r="AH74" t="str">
        <f>""</f>
        <v/>
      </c>
      <c r="AI74" t="str">
        <f>"DIGITAL SWITCHOVER &amp; CORPORATE PROJECT PLAN [OLD] Digital Switchover &amp; Corporate Project Pla"</f>
        <v>DIGITAL SWITCHOVER &amp; CORPORATE PROJECT PLAN [OLD] Digital Switchover &amp; Corporate Project Pla</v>
      </c>
      <c r="AJ74" t="str">
        <f>"2000"</f>
        <v>2000</v>
      </c>
    </row>
    <row r="75" spans="1:36" x14ac:dyDescent="0.25">
      <c r="A75" t="str">
        <f t="shared" si="34"/>
        <v>Department of Communications</v>
      </c>
      <c r="B75" t="str">
        <f>""</f>
        <v/>
      </c>
      <c r="C75" t="str">
        <f>"CN2380921"</f>
        <v>CN2380921</v>
      </c>
      <c r="D75" t="str">
        <f>"Thomas Lonsdale"</f>
        <v>Thomas Lonsdale</v>
      </c>
      <c r="E75" s="44">
        <v>41823.455555555556</v>
      </c>
      <c r="F75" t="s">
        <v>2508</v>
      </c>
      <c r="G75" t="str">
        <f t="shared" si="35"/>
        <v>published</v>
      </c>
      <c r="H75" s="45">
        <v>41816</v>
      </c>
      <c r="I75" s="45">
        <v>41820</v>
      </c>
      <c r="J75" s="46">
        <v>38500</v>
      </c>
      <c r="K75" t="s">
        <v>2519</v>
      </c>
      <c r="L75" t="str">
        <f>"0004604571"</f>
        <v>0004604571</v>
      </c>
      <c r="M75" t="str">
        <f>"Temporary personnel services"</f>
        <v>Temporary personnel services</v>
      </c>
      <c r="N75" t="str">
        <f>"Limited tender"</f>
        <v>Limited tender</v>
      </c>
      <c r="O75" t="str">
        <f>"DCON/14/97"</f>
        <v>DCON/14/97</v>
      </c>
      <c r="Q75" t="str">
        <f t="shared" si="28"/>
        <v>No</v>
      </c>
      <c r="R75" t="str">
        <f>""</f>
        <v/>
      </c>
      <c r="S75" t="str">
        <f t="shared" si="29"/>
        <v>No</v>
      </c>
      <c r="T75" t="str">
        <f>""</f>
        <v/>
      </c>
      <c r="U75" t="str">
        <f t="shared" si="33"/>
        <v>No</v>
      </c>
      <c r="V75" t="str">
        <f>""</f>
        <v/>
      </c>
      <c r="X75" t="str">
        <f>"Galent Pty Ltd"</f>
        <v>Galent Pty Ltd</v>
      </c>
      <c r="Y75" t="str">
        <f>"PO Box 787"</f>
        <v>PO Box 787</v>
      </c>
      <c r="Z75" t="str">
        <f>"Mawson"</f>
        <v>Mawson</v>
      </c>
      <c r="AA75" t="str">
        <f>"2607"</f>
        <v>2607</v>
      </c>
      <c r="AB75" t="str">
        <f t="shared" si="25"/>
        <v>Australia</v>
      </c>
      <c r="AC75" t="str">
        <f t="shared" si="36"/>
        <v>No</v>
      </c>
      <c r="AD75" t="str">
        <f>"12645248589"</f>
        <v>12645248589</v>
      </c>
      <c r="AE75" t="str">
        <f t="shared" si="31"/>
        <v>ADMIN OFFICER</v>
      </c>
      <c r="AF75" t="str">
        <f t="shared" si="26"/>
        <v>(02) 6271 1000</v>
      </c>
      <c r="AG75" t="str">
        <f>""</f>
        <v/>
      </c>
      <c r="AH75" t="str">
        <f>""</f>
        <v/>
      </c>
      <c r="AI75" t="str">
        <f>"CORPORATE Corporate"</f>
        <v>CORPORATE Corporate</v>
      </c>
      <c r="AJ75" t="str">
        <f t="shared" ref="AJ75:AJ106" si="37">"2603"</f>
        <v>2603</v>
      </c>
    </row>
    <row r="76" spans="1:36" x14ac:dyDescent="0.25">
      <c r="A76" t="str">
        <f t="shared" si="34"/>
        <v>Department of Communications</v>
      </c>
      <c r="B76" t="str">
        <f>""</f>
        <v/>
      </c>
      <c r="C76" t="str">
        <f>"CN2380931"</f>
        <v>CN2380931</v>
      </c>
      <c r="D76" t="str">
        <f>"Thomas Lonsdale"</f>
        <v>Thomas Lonsdale</v>
      </c>
      <c r="E76" s="44">
        <v>41823.456250000003</v>
      </c>
      <c r="F76" t="s">
        <v>2508</v>
      </c>
      <c r="G76" t="str">
        <f t="shared" si="35"/>
        <v>published</v>
      </c>
      <c r="H76" s="45">
        <v>41821</v>
      </c>
      <c r="I76" s="45">
        <v>42185</v>
      </c>
      <c r="J76" s="46">
        <v>58873.72</v>
      </c>
      <c r="K76" t="s">
        <v>2076</v>
      </c>
      <c r="L76" t="str">
        <f>"0004604572"</f>
        <v>0004604572</v>
      </c>
      <c r="M76" t="str">
        <f>"Internet services"</f>
        <v>Internet services</v>
      </c>
      <c r="N76" t="str">
        <f>"Open tender"</f>
        <v>Open tender</v>
      </c>
      <c r="O76" t="str">
        <f>"DCON/10/96"</f>
        <v>DCON/10/96</v>
      </c>
      <c r="P76" t="str">
        <f>"SON368749"</f>
        <v>SON368749</v>
      </c>
      <c r="Q76" t="str">
        <f t="shared" si="28"/>
        <v>No</v>
      </c>
      <c r="R76" t="str">
        <f>""</f>
        <v/>
      </c>
      <c r="S76" t="str">
        <f t="shared" si="29"/>
        <v>No</v>
      </c>
      <c r="T76" t="str">
        <f>""</f>
        <v/>
      </c>
      <c r="U76" t="str">
        <f t="shared" si="33"/>
        <v>No</v>
      </c>
      <c r="V76" t="str">
        <f>""</f>
        <v/>
      </c>
      <c r="X76" t="str">
        <f>"The Trustee for Silverstripe Unit T"</f>
        <v>The Trustee for Silverstripe Unit T</v>
      </c>
      <c r="Y76" t="str">
        <f>"Level 1, 1 Cecil Place"</f>
        <v>Level 1, 1 Cecil Place</v>
      </c>
      <c r="Z76" t="str">
        <f>"Prahran"</f>
        <v>Prahran</v>
      </c>
      <c r="AA76" t="str">
        <f>"3181"</f>
        <v>3181</v>
      </c>
      <c r="AB76" t="str">
        <f t="shared" si="25"/>
        <v>Australia</v>
      </c>
      <c r="AC76" t="str">
        <f t="shared" si="36"/>
        <v>No</v>
      </c>
      <c r="AD76" t="str">
        <f>"55800709480"</f>
        <v>55800709480</v>
      </c>
      <c r="AE76" t="str">
        <f t="shared" si="31"/>
        <v>ADMIN OFFICER</v>
      </c>
      <c r="AF76" t="str">
        <f t="shared" si="26"/>
        <v>(02) 6271 1000</v>
      </c>
      <c r="AG76" t="str">
        <f>""</f>
        <v/>
      </c>
      <c r="AH76" t="str">
        <f>""</f>
        <v/>
      </c>
      <c r="AI76" t="str">
        <f>"CSAF"</f>
        <v>CSAF</v>
      </c>
      <c r="AJ76" t="str">
        <f t="shared" si="37"/>
        <v>2603</v>
      </c>
    </row>
    <row r="77" spans="1:36" x14ac:dyDescent="0.25">
      <c r="A77" t="str">
        <f t="shared" si="34"/>
        <v>Department of Communications</v>
      </c>
      <c r="B77" t="str">
        <f>""</f>
        <v/>
      </c>
      <c r="C77" t="str">
        <f>"CN2979032"</f>
        <v>CN2979032</v>
      </c>
      <c r="D77" t="str">
        <f>"Leesa O'connor"</f>
        <v>Leesa O'connor</v>
      </c>
      <c r="E77" s="44">
        <v>42104.607638888891</v>
      </c>
      <c r="F77" t="s">
        <v>2508</v>
      </c>
      <c r="G77" t="str">
        <f t="shared" si="35"/>
        <v>published</v>
      </c>
      <c r="H77" s="45">
        <v>41821</v>
      </c>
      <c r="I77" s="45">
        <v>42185</v>
      </c>
      <c r="J77" s="46">
        <v>33000</v>
      </c>
      <c r="K77" t="s">
        <v>1422</v>
      </c>
      <c r="L77" t="str">
        <f>"0004604573"</f>
        <v>0004604573</v>
      </c>
      <c r="M77" t="str">
        <f>"Data Voice or Multimedia Network Equipment or Platforms and Accessories"</f>
        <v>Data Voice or Multimedia Network Equipment or Platforms and Accessories</v>
      </c>
      <c r="N77" t="str">
        <f>"Open tender"</f>
        <v>Open tender</v>
      </c>
      <c r="O77" t="str">
        <f>"11/000006268"</f>
        <v>11/000006268</v>
      </c>
      <c r="P77" t="str">
        <f>"SON867801"</f>
        <v>SON867801</v>
      </c>
      <c r="Q77" t="str">
        <f t="shared" si="28"/>
        <v>No</v>
      </c>
      <c r="R77" t="str">
        <f>""</f>
        <v/>
      </c>
      <c r="S77" t="str">
        <f t="shared" si="29"/>
        <v>No</v>
      </c>
      <c r="T77" t="str">
        <f>""</f>
        <v/>
      </c>
      <c r="U77" t="str">
        <f t="shared" si="33"/>
        <v>No</v>
      </c>
      <c r="V77" t="str">
        <f>""</f>
        <v/>
      </c>
      <c r="X77" t="str">
        <f>"Online 89 Pty Ltd"</f>
        <v>Online 89 Pty Ltd</v>
      </c>
      <c r="Y77" t="str">
        <f>"PO Box 173"</f>
        <v>PO Box 173</v>
      </c>
      <c r="Z77" t="str">
        <f>"Gungahlin"</f>
        <v>Gungahlin</v>
      </c>
      <c r="AA77" t="str">
        <f>"2912"</f>
        <v>2912</v>
      </c>
      <c r="AB77" t="str">
        <f t="shared" si="25"/>
        <v>Australia</v>
      </c>
      <c r="AC77" t="str">
        <f t="shared" si="36"/>
        <v>No</v>
      </c>
      <c r="AD77" t="str">
        <f>"36008658017"</f>
        <v>36008658017</v>
      </c>
      <c r="AE77" t="str">
        <f t="shared" si="31"/>
        <v>ADMIN OFFICER</v>
      </c>
      <c r="AF77" t="str">
        <f t="shared" si="26"/>
        <v>(02) 6271 1000</v>
      </c>
      <c r="AG77" t="str">
        <f>""</f>
        <v/>
      </c>
      <c r="AH77" t="str">
        <f>""</f>
        <v/>
      </c>
      <c r="AI77" t="str">
        <f>"CORPORATE TREASURY [OLD] Corporate Treasury"</f>
        <v>CORPORATE TREASURY [OLD] Corporate Treasury</v>
      </c>
      <c r="AJ77" t="str">
        <f t="shared" si="37"/>
        <v>2603</v>
      </c>
    </row>
    <row r="78" spans="1:36" x14ac:dyDescent="0.25">
      <c r="A78" t="str">
        <f t="shared" si="34"/>
        <v>Department of Communications</v>
      </c>
      <c r="B78" t="str">
        <f>""</f>
        <v/>
      </c>
      <c r="C78" t="str">
        <f>"CN2380941"</f>
        <v>CN2380941</v>
      </c>
      <c r="D78" t="str">
        <f>"Thomas Lonsdale"</f>
        <v>Thomas Lonsdale</v>
      </c>
      <c r="E78" s="44">
        <v>41823.456250000003</v>
      </c>
      <c r="F78" t="s">
        <v>2508</v>
      </c>
      <c r="G78" t="str">
        <f t="shared" si="35"/>
        <v>published</v>
      </c>
      <c r="H78" s="45">
        <v>41821</v>
      </c>
      <c r="I78" s="45">
        <v>42004</v>
      </c>
      <c r="J78" s="46">
        <v>95356.800000000003</v>
      </c>
      <c r="K78" t="s">
        <v>1422</v>
      </c>
      <c r="L78" t="str">
        <f>"0004604573"</f>
        <v>0004604573</v>
      </c>
      <c r="M78" t="str">
        <f>"Data Voice or Multimedia Network Equipment or Platforms and Accessories"</f>
        <v>Data Voice or Multimedia Network Equipment or Platforms and Accessories</v>
      </c>
      <c r="N78" t="str">
        <f>"Open tender"</f>
        <v>Open tender</v>
      </c>
      <c r="O78" t="str">
        <f>"11/000006268"</f>
        <v>11/000006268</v>
      </c>
      <c r="P78" t="str">
        <f>"SON867801"</f>
        <v>SON867801</v>
      </c>
      <c r="Q78" t="str">
        <f t="shared" si="28"/>
        <v>No</v>
      </c>
      <c r="R78" t="str">
        <f>""</f>
        <v/>
      </c>
      <c r="S78" t="str">
        <f t="shared" si="29"/>
        <v>No</v>
      </c>
      <c r="T78" t="str">
        <f>""</f>
        <v/>
      </c>
      <c r="U78" t="str">
        <f t="shared" si="33"/>
        <v>No</v>
      </c>
      <c r="V78" t="str">
        <f>""</f>
        <v/>
      </c>
      <c r="X78" t="str">
        <f>"Online 89 Pty Ltd"</f>
        <v>Online 89 Pty Ltd</v>
      </c>
      <c r="Y78" t="str">
        <f>"PO Box 173"</f>
        <v>PO Box 173</v>
      </c>
      <c r="Z78" t="str">
        <f>"Gungahlin"</f>
        <v>Gungahlin</v>
      </c>
      <c r="AA78" t="str">
        <f>"2912"</f>
        <v>2912</v>
      </c>
      <c r="AB78" t="str">
        <f t="shared" si="25"/>
        <v>Australia</v>
      </c>
      <c r="AC78" t="str">
        <f t="shared" si="36"/>
        <v>No</v>
      </c>
      <c r="AD78" t="str">
        <f>"36008658017"</f>
        <v>36008658017</v>
      </c>
      <c r="AE78" t="str">
        <f t="shared" si="31"/>
        <v>ADMIN OFFICER</v>
      </c>
      <c r="AF78" t="str">
        <f t="shared" si="26"/>
        <v>(02) 6271 1000</v>
      </c>
      <c r="AG78" t="str">
        <f>""</f>
        <v/>
      </c>
      <c r="AH78" t="str">
        <f>""</f>
        <v/>
      </c>
      <c r="AI78" t="str">
        <f>"CORPORATE Corporate"</f>
        <v>CORPORATE Corporate</v>
      </c>
      <c r="AJ78" t="str">
        <f t="shared" si="37"/>
        <v>2603</v>
      </c>
    </row>
    <row r="79" spans="1:36" x14ac:dyDescent="0.25">
      <c r="A79" t="str">
        <f t="shared" si="34"/>
        <v>Department of Communications</v>
      </c>
      <c r="B79" t="str">
        <f>""</f>
        <v/>
      </c>
      <c r="C79" t="str">
        <f>"CN2396831"</f>
        <v>CN2396831</v>
      </c>
      <c r="D79" t="str">
        <f>"Thomas Lonsdale"</f>
        <v>Thomas Lonsdale</v>
      </c>
      <c r="E79" s="44">
        <v>41828.629861111112</v>
      </c>
      <c r="F79" t="s">
        <v>2508</v>
      </c>
      <c r="G79" t="str">
        <f t="shared" si="35"/>
        <v>published</v>
      </c>
      <c r="H79" s="45">
        <v>41821</v>
      </c>
      <c r="I79" s="45">
        <v>42185</v>
      </c>
      <c r="J79" s="46">
        <v>73144.600000000006</v>
      </c>
      <c r="K79" t="s">
        <v>1426</v>
      </c>
      <c r="L79" t="str">
        <f>"0004604575"</f>
        <v>0004604575</v>
      </c>
      <c r="M79" t="str">
        <f>"Software"</f>
        <v>Software</v>
      </c>
      <c r="N79" t="str">
        <f>"Limited tender"</f>
        <v>Limited tender</v>
      </c>
      <c r="O79" t="str">
        <f>""</f>
        <v/>
      </c>
      <c r="Q79" t="str">
        <f t="shared" si="28"/>
        <v>No</v>
      </c>
      <c r="R79" t="str">
        <f>""</f>
        <v/>
      </c>
      <c r="S79" t="str">
        <f t="shared" si="29"/>
        <v>No</v>
      </c>
      <c r="T79" t="str">
        <f>""</f>
        <v/>
      </c>
      <c r="U79" t="str">
        <f t="shared" si="33"/>
        <v>No</v>
      </c>
      <c r="V79" t="str">
        <f>""</f>
        <v/>
      </c>
      <c r="X79" t="str">
        <f>"Squiz Australia Pty Ltd"</f>
        <v>Squiz Australia Pty Ltd</v>
      </c>
      <c r="Y79" t="str">
        <f>"Unit 3, 19 Napier Close"</f>
        <v>Unit 3, 19 Napier Close</v>
      </c>
      <c r="Z79" t="str">
        <f>"Deakin"</f>
        <v>Deakin</v>
      </c>
      <c r="AA79" t="str">
        <f>"2600"</f>
        <v>2600</v>
      </c>
      <c r="AB79" t="str">
        <f t="shared" si="25"/>
        <v>Australia</v>
      </c>
      <c r="AC79" t="str">
        <f t="shared" si="36"/>
        <v>No</v>
      </c>
      <c r="AD79" t="str">
        <f>"53131581247"</f>
        <v>53131581247</v>
      </c>
      <c r="AE79" t="str">
        <f t="shared" si="31"/>
        <v>ADMIN OFFICER</v>
      </c>
      <c r="AF79" t="str">
        <f t="shared" si="26"/>
        <v>(02) 6271 1000</v>
      </c>
      <c r="AG79" t="str">
        <f>""</f>
        <v/>
      </c>
      <c r="AH79" t="str">
        <f>""</f>
        <v/>
      </c>
      <c r="AI79" t="str">
        <f>"CORPORATE Corporate"</f>
        <v>CORPORATE Corporate</v>
      </c>
      <c r="AJ79" t="str">
        <f t="shared" si="37"/>
        <v>2603</v>
      </c>
    </row>
    <row r="80" spans="1:36" x14ac:dyDescent="0.25">
      <c r="A80" t="str">
        <f t="shared" si="34"/>
        <v>Department of Communications</v>
      </c>
      <c r="B80" t="str">
        <f>""</f>
        <v/>
      </c>
      <c r="C80" t="str">
        <f>"CN2396821"</f>
        <v>CN2396821</v>
      </c>
      <c r="D80" t="str">
        <f>"Thomas Lonsdale"</f>
        <v>Thomas Lonsdale</v>
      </c>
      <c r="E80" s="44">
        <v>41828.629166666666</v>
      </c>
      <c r="F80" t="s">
        <v>2508</v>
      </c>
      <c r="G80" t="str">
        <f t="shared" si="35"/>
        <v>published</v>
      </c>
      <c r="H80" s="45">
        <v>41820</v>
      </c>
      <c r="I80" s="45">
        <v>42185</v>
      </c>
      <c r="J80" s="46">
        <v>45500</v>
      </c>
      <c r="K80" t="s">
        <v>1428</v>
      </c>
      <c r="L80" t="str">
        <f>"0004604576"</f>
        <v>0004604576</v>
      </c>
      <c r="M80" t="str">
        <f>"Human resources services"</f>
        <v>Human resources services</v>
      </c>
      <c r="N80" t="str">
        <f>"Limited tender"</f>
        <v>Limited tender</v>
      </c>
      <c r="O80" t="str">
        <f>""</f>
        <v/>
      </c>
      <c r="Q80" t="str">
        <f t="shared" si="28"/>
        <v>No</v>
      </c>
      <c r="R80" t="str">
        <f>""</f>
        <v/>
      </c>
      <c r="S80" t="str">
        <f t="shared" si="29"/>
        <v>No</v>
      </c>
      <c r="T80" t="str">
        <f>""</f>
        <v/>
      </c>
      <c r="U80" t="str">
        <f t="shared" si="33"/>
        <v>No</v>
      </c>
      <c r="V80" t="str">
        <f>""</f>
        <v/>
      </c>
      <c r="X80" t="str">
        <f>"Corporate Executive Board"</f>
        <v>Corporate Executive Board</v>
      </c>
      <c r="Y80" t="str">
        <f>"1919 N. Lynn Street"</f>
        <v>1919 N. Lynn Street</v>
      </c>
      <c r="Z80" t="str">
        <f>"Arlington"</f>
        <v>Arlington</v>
      </c>
      <c r="AA80" t="str">
        <f>""</f>
        <v/>
      </c>
      <c r="AB80" t="str">
        <f>"United States"</f>
        <v>United States</v>
      </c>
      <c r="AC80" t="str">
        <f>"Yes"</f>
        <v>Yes</v>
      </c>
      <c r="AD80" t="str">
        <f>""</f>
        <v/>
      </c>
      <c r="AE80" t="str">
        <f t="shared" si="31"/>
        <v>ADMIN OFFICER</v>
      </c>
      <c r="AF80" t="str">
        <f t="shared" si="26"/>
        <v>(02) 6271 1000</v>
      </c>
      <c r="AG80" t="str">
        <f>""</f>
        <v/>
      </c>
      <c r="AH80" t="str">
        <f>""</f>
        <v/>
      </c>
      <c r="AI80" t="str">
        <f>"CORPORATE Corporate"</f>
        <v>CORPORATE Corporate</v>
      </c>
      <c r="AJ80" t="str">
        <f t="shared" si="37"/>
        <v>2603</v>
      </c>
    </row>
    <row r="81" spans="1:36" x14ac:dyDescent="0.25">
      <c r="A81" t="str">
        <f t="shared" si="34"/>
        <v>Department of Communications</v>
      </c>
      <c r="B81" t="str">
        <f>""</f>
        <v/>
      </c>
      <c r="C81" t="str">
        <f>"CN2396811"</f>
        <v>CN2396811</v>
      </c>
      <c r="D81" t="str">
        <f>"Thomas Lonsdale"</f>
        <v>Thomas Lonsdale</v>
      </c>
      <c r="E81" s="44">
        <v>41828.629166666666</v>
      </c>
      <c r="F81" t="s">
        <v>2508</v>
      </c>
      <c r="G81" t="str">
        <f t="shared" si="35"/>
        <v>published</v>
      </c>
      <c r="H81" s="45">
        <v>41806</v>
      </c>
      <c r="I81" s="45">
        <v>42004</v>
      </c>
      <c r="J81" s="46">
        <v>195800</v>
      </c>
      <c r="K81" t="s">
        <v>2301</v>
      </c>
      <c r="L81" t="str">
        <f>"0004604577"</f>
        <v>0004604577</v>
      </c>
      <c r="M81" t="str">
        <f>"Legal services"</f>
        <v>Legal services</v>
      </c>
      <c r="N81" t="str">
        <f>"Prequalified tender"</f>
        <v>Prequalified tender</v>
      </c>
      <c r="O81" t="str">
        <f>""</f>
        <v/>
      </c>
      <c r="Q81" t="str">
        <f>"Yes"</f>
        <v>Yes</v>
      </c>
      <c r="R81" t="str">
        <f>"Costing/profit information"</f>
        <v>Costing/profit information</v>
      </c>
      <c r="S81" t="str">
        <f>"Yes"</f>
        <v>Yes</v>
      </c>
      <c r="T81" t="str">
        <f>"Intellectual property"</f>
        <v>Intellectual property</v>
      </c>
      <c r="U81" t="str">
        <f>"Yes"</f>
        <v>Yes</v>
      </c>
      <c r="V81" t="str">
        <f>"Skills currently unavailable within agency"</f>
        <v>Skills currently unavailable within agency</v>
      </c>
      <c r="X81" t="str">
        <f>"Minter Ellison Lawyers"</f>
        <v>Minter Ellison Lawyers</v>
      </c>
      <c r="Y81" t="str">
        <f>"25 National Cct"</f>
        <v>25 National Cct</v>
      </c>
      <c r="Z81" t="str">
        <f>"Forrest"</f>
        <v>Forrest</v>
      </c>
      <c r="AA81" t="str">
        <f>"2603"</f>
        <v>2603</v>
      </c>
      <c r="AB81" t="str">
        <f t="shared" ref="AB81:AB118" si="38">"Australia"</f>
        <v>Australia</v>
      </c>
      <c r="AC81" t="str">
        <f t="shared" ref="AC81:AC118" si="39">"No"</f>
        <v>No</v>
      </c>
      <c r="AD81" t="str">
        <f>"91556716819"</f>
        <v>91556716819</v>
      </c>
      <c r="AE81" t="str">
        <f t="shared" si="31"/>
        <v>ADMIN OFFICER</v>
      </c>
      <c r="AF81" t="str">
        <f t="shared" si="26"/>
        <v>(02) 6271 1000</v>
      </c>
      <c r="AG81" t="str">
        <f>""</f>
        <v/>
      </c>
      <c r="AH81" t="str">
        <f>""</f>
        <v/>
      </c>
      <c r="AI81" t="str">
        <f>"LEGAL Legal"</f>
        <v>LEGAL Legal</v>
      </c>
      <c r="AJ81" t="str">
        <f t="shared" si="37"/>
        <v>2603</v>
      </c>
    </row>
    <row r="82" spans="1:36" x14ac:dyDescent="0.25">
      <c r="A82" t="str">
        <f t="shared" si="34"/>
        <v>Department of Communications</v>
      </c>
      <c r="B82" t="str">
        <f>""</f>
        <v/>
      </c>
      <c r="C82" t="str">
        <f>"CN2920542"</f>
        <v>CN2920542</v>
      </c>
      <c r="D82" t="str">
        <f>"Leesa O'connor"</f>
        <v>Leesa O'connor</v>
      </c>
      <c r="E82" s="44">
        <v>42079.506249999999</v>
      </c>
      <c r="F82" t="s">
        <v>2508</v>
      </c>
      <c r="G82" t="str">
        <f t="shared" si="35"/>
        <v>published</v>
      </c>
      <c r="H82" s="45">
        <v>41821</v>
      </c>
      <c r="I82" s="45">
        <v>42185</v>
      </c>
      <c r="J82" s="46">
        <v>89000</v>
      </c>
      <c r="K82" t="s">
        <v>1434</v>
      </c>
      <c r="L82" t="str">
        <f>"0004604580"</f>
        <v>0004604580</v>
      </c>
      <c r="M82" t="str">
        <f>"Advertising"</f>
        <v>Advertising</v>
      </c>
      <c r="N82" t="str">
        <f>"Prequalified tender"</f>
        <v>Prequalified tender</v>
      </c>
      <c r="O82" t="str">
        <f>"DCON/08/85"</f>
        <v>DCON/08/85</v>
      </c>
      <c r="P82" t="str">
        <f>"SON164342"</f>
        <v>SON164342</v>
      </c>
      <c r="Q82" t="str">
        <f t="shared" ref="Q82:Q127" si="40">"No"</f>
        <v>No</v>
      </c>
      <c r="R82" t="str">
        <f>""</f>
        <v/>
      </c>
      <c r="S82" t="str">
        <f t="shared" ref="S82:S127" si="41">"No"</f>
        <v>No</v>
      </c>
      <c r="T82" t="str">
        <f>""</f>
        <v/>
      </c>
      <c r="U82" t="str">
        <f t="shared" ref="U82:U90" si="42">"No"</f>
        <v>No</v>
      </c>
      <c r="V82" t="str">
        <f>""</f>
        <v/>
      </c>
      <c r="X82" t="str">
        <f>"BMF"</f>
        <v>BMF</v>
      </c>
      <c r="Y82" t="str">
        <f>"Level2 63 Miller Street"</f>
        <v>Level2 63 Miller Street</v>
      </c>
      <c r="Z82" t="str">
        <f>"Pyrmont"</f>
        <v>Pyrmont</v>
      </c>
      <c r="AA82" t="str">
        <f>"2009"</f>
        <v>2009</v>
      </c>
      <c r="AB82" t="str">
        <f t="shared" si="38"/>
        <v>Australia</v>
      </c>
      <c r="AC82" t="str">
        <f t="shared" si="39"/>
        <v>No</v>
      </c>
      <c r="AD82" t="str">
        <f>"43533837149"</f>
        <v>43533837149</v>
      </c>
      <c r="AE82" t="str">
        <f t="shared" ref="AE82:AE113" si="43">"ADMIN OFFICER"</f>
        <v>ADMIN OFFICER</v>
      </c>
      <c r="AF82" t="str">
        <f t="shared" si="26"/>
        <v>(02) 6271 1000</v>
      </c>
      <c r="AG82" t="str">
        <f>""</f>
        <v/>
      </c>
      <c r="AH82" t="str">
        <f>""</f>
        <v/>
      </c>
      <c r="AI82" t="str">
        <f>"CORPORATE TREASURY [OLD] Corporate Treasury"</f>
        <v>CORPORATE TREASURY [OLD] Corporate Treasury</v>
      </c>
      <c r="AJ82" t="str">
        <f t="shared" si="37"/>
        <v>2603</v>
      </c>
    </row>
    <row r="83" spans="1:36" x14ac:dyDescent="0.25">
      <c r="A83" t="str">
        <f t="shared" si="34"/>
        <v>Department of Communications</v>
      </c>
      <c r="B83" t="str">
        <f>""</f>
        <v/>
      </c>
      <c r="C83" t="str">
        <f>"CN2396801"</f>
        <v>CN2396801</v>
      </c>
      <c r="D83" t="str">
        <f>"Thomas Lonsdale"</f>
        <v>Thomas Lonsdale</v>
      </c>
      <c r="E83" s="44">
        <v>41828.629166666666</v>
      </c>
      <c r="F83" t="s">
        <v>2508</v>
      </c>
      <c r="G83" t="str">
        <f t="shared" si="35"/>
        <v>published</v>
      </c>
      <c r="H83" s="45">
        <v>41821</v>
      </c>
      <c r="I83" s="45">
        <v>42185</v>
      </c>
      <c r="J83" s="46">
        <v>319000</v>
      </c>
      <c r="K83" t="s">
        <v>1434</v>
      </c>
      <c r="L83" t="str">
        <f>"0004604580"</f>
        <v>0004604580</v>
      </c>
      <c r="M83" t="str">
        <f>"Advertising"</f>
        <v>Advertising</v>
      </c>
      <c r="N83" t="str">
        <f>"Prequalified tender"</f>
        <v>Prequalified tender</v>
      </c>
      <c r="O83" t="str">
        <f>"DCON/08/85"</f>
        <v>DCON/08/85</v>
      </c>
      <c r="P83" t="str">
        <f>"SON164342"</f>
        <v>SON164342</v>
      </c>
      <c r="Q83" t="str">
        <f t="shared" si="40"/>
        <v>No</v>
      </c>
      <c r="R83" t="str">
        <f>""</f>
        <v/>
      </c>
      <c r="S83" t="str">
        <f t="shared" si="41"/>
        <v>No</v>
      </c>
      <c r="T83" t="str">
        <f>""</f>
        <v/>
      </c>
      <c r="U83" t="str">
        <f t="shared" si="42"/>
        <v>No</v>
      </c>
      <c r="V83" t="str">
        <f>""</f>
        <v/>
      </c>
      <c r="X83" t="str">
        <f>"BMF"</f>
        <v>BMF</v>
      </c>
      <c r="Y83" t="str">
        <f>"Level2 63 Miller Street"</f>
        <v>Level2 63 Miller Street</v>
      </c>
      <c r="Z83" t="str">
        <f>"Pyrmont"</f>
        <v>Pyrmont</v>
      </c>
      <c r="AA83" t="str">
        <f>"2009"</f>
        <v>2009</v>
      </c>
      <c r="AB83" t="str">
        <f t="shared" si="38"/>
        <v>Australia</v>
      </c>
      <c r="AC83" t="str">
        <f t="shared" si="39"/>
        <v>No</v>
      </c>
      <c r="AD83" t="str">
        <f>"43533837149"</f>
        <v>43533837149</v>
      </c>
      <c r="AE83" t="str">
        <f t="shared" si="43"/>
        <v>ADMIN OFFICER</v>
      </c>
      <c r="AF83" t="str">
        <f t="shared" si="26"/>
        <v>(02) 6271 1000</v>
      </c>
      <c r="AG83" t="str">
        <f>""</f>
        <v/>
      </c>
      <c r="AH83" t="str">
        <f>""</f>
        <v/>
      </c>
      <c r="AI83" t="str">
        <f>"CORPORATE Corporate"</f>
        <v>CORPORATE Corporate</v>
      </c>
      <c r="AJ83" t="str">
        <f t="shared" si="37"/>
        <v>2603</v>
      </c>
    </row>
    <row r="84" spans="1:36" x14ac:dyDescent="0.25">
      <c r="A84" t="str">
        <f t="shared" si="34"/>
        <v>Department of Communications</v>
      </c>
      <c r="B84" t="str">
        <f>""</f>
        <v/>
      </c>
      <c r="C84" t="str">
        <f>"CN2396791"</f>
        <v>CN2396791</v>
      </c>
      <c r="D84" t="str">
        <f>"Thomas Lonsdale"</f>
        <v>Thomas Lonsdale</v>
      </c>
      <c r="E84" s="44">
        <v>41828.629166666666</v>
      </c>
      <c r="F84" t="s">
        <v>2508</v>
      </c>
      <c r="G84" t="str">
        <f t="shared" si="35"/>
        <v>published</v>
      </c>
      <c r="H84" s="45">
        <v>41963</v>
      </c>
      <c r="I84" s="45">
        <v>42331</v>
      </c>
      <c r="J84" s="46">
        <v>16500</v>
      </c>
      <c r="K84" t="s">
        <v>2146</v>
      </c>
      <c r="L84" t="str">
        <f>"0004604584"</f>
        <v>0004604584</v>
      </c>
      <c r="M84" t="str">
        <f>"Education and Training Services"</f>
        <v>Education and Training Services</v>
      </c>
      <c r="N84" t="str">
        <f>"Limited tender"</f>
        <v>Limited tender</v>
      </c>
      <c r="O84" t="str">
        <f>""</f>
        <v/>
      </c>
      <c r="Q84" t="str">
        <f t="shared" si="40"/>
        <v>No</v>
      </c>
      <c r="R84" t="str">
        <f>""</f>
        <v/>
      </c>
      <c r="S84" t="str">
        <f t="shared" si="41"/>
        <v>No</v>
      </c>
      <c r="T84" t="str">
        <f>""</f>
        <v/>
      </c>
      <c r="U84" t="str">
        <f t="shared" si="42"/>
        <v>No</v>
      </c>
      <c r="V84" t="str">
        <f>""</f>
        <v/>
      </c>
      <c r="X84" t="str">
        <f>"Australian Public"</f>
        <v>Australian Public</v>
      </c>
      <c r="Y84" t="str">
        <f>"16 Furzer Street"</f>
        <v>16 Furzer Street</v>
      </c>
      <c r="Z84" t="str">
        <f>"Phillip"</f>
        <v>Phillip</v>
      </c>
      <c r="AA84" t="str">
        <f>"2606"</f>
        <v>2606</v>
      </c>
      <c r="AB84" t="str">
        <f t="shared" si="38"/>
        <v>Australia</v>
      </c>
      <c r="AC84" t="str">
        <f t="shared" si="39"/>
        <v>No</v>
      </c>
      <c r="AD84" t="str">
        <f>"99470863260"</f>
        <v>99470863260</v>
      </c>
      <c r="AE84" t="str">
        <f t="shared" si="43"/>
        <v>ADMIN OFFICER</v>
      </c>
      <c r="AF84" t="str">
        <f t="shared" si="26"/>
        <v>(02) 6271 1000</v>
      </c>
      <c r="AG84" t="str">
        <f>""</f>
        <v/>
      </c>
      <c r="AH84" t="str">
        <f>""</f>
        <v/>
      </c>
      <c r="AI84" t="str">
        <f>"EXEC"</f>
        <v>EXEC</v>
      </c>
      <c r="AJ84" t="str">
        <f t="shared" si="37"/>
        <v>2603</v>
      </c>
    </row>
    <row r="85" spans="1:36" x14ac:dyDescent="0.25">
      <c r="A85" t="str">
        <f t="shared" si="34"/>
        <v>Department of Communications</v>
      </c>
      <c r="B85" t="str">
        <f>""</f>
        <v/>
      </c>
      <c r="C85" t="str">
        <f>"CN2396781"</f>
        <v>CN2396781</v>
      </c>
      <c r="D85" t="str">
        <f>"Thomas Lonsdale"</f>
        <v>Thomas Lonsdale</v>
      </c>
      <c r="E85" s="44">
        <v>41828.629166666666</v>
      </c>
      <c r="F85" t="s">
        <v>2508</v>
      </c>
      <c r="G85" t="str">
        <f t="shared" si="35"/>
        <v>published</v>
      </c>
      <c r="H85" s="45">
        <v>41821</v>
      </c>
      <c r="I85" s="45">
        <v>42185</v>
      </c>
      <c r="J85" s="46">
        <v>16000</v>
      </c>
      <c r="K85" t="s">
        <v>1438</v>
      </c>
      <c r="L85" t="str">
        <f>"0004604585"</f>
        <v>0004604585</v>
      </c>
      <c r="M85" t="str">
        <f>"Food and Beverage Products"</f>
        <v>Food and Beverage Products</v>
      </c>
      <c r="N85" t="str">
        <f>"Limited tender"</f>
        <v>Limited tender</v>
      </c>
      <c r="O85" t="str">
        <f>""</f>
        <v/>
      </c>
      <c r="Q85" t="str">
        <f t="shared" si="40"/>
        <v>No</v>
      </c>
      <c r="R85" t="str">
        <f>""</f>
        <v/>
      </c>
      <c r="S85" t="str">
        <f t="shared" si="41"/>
        <v>No</v>
      </c>
      <c r="T85" t="str">
        <f>""</f>
        <v/>
      </c>
      <c r="U85" t="str">
        <f t="shared" si="42"/>
        <v>No</v>
      </c>
      <c r="V85" t="str">
        <f>""</f>
        <v/>
      </c>
      <c r="X85" t="str">
        <f>"Capitol Chilled Foods"</f>
        <v>Capitol Chilled Foods</v>
      </c>
      <c r="Y85" t="str">
        <f>"2-8 Mildura Street"</f>
        <v>2-8 Mildura Street</v>
      </c>
      <c r="Z85" t="str">
        <f>"Kingston"</f>
        <v>Kingston</v>
      </c>
      <c r="AA85" t="str">
        <f>"2603"</f>
        <v>2603</v>
      </c>
      <c r="AB85" t="str">
        <f t="shared" si="38"/>
        <v>Australia</v>
      </c>
      <c r="AC85" t="str">
        <f t="shared" si="39"/>
        <v>No</v>
      </c>
      <c r="AD85" t="str">
        <f>"15340460129"</f>
        <v>15340460129</v>
      </c>
      <c r="AE85" t="str">
        <f t="shared" si="43"/>
        <v>ADMIN OFFICER</v>
      </c>
      <c r="AF85" t="str">
        <f t="shared" si="26"/>
        <v>(02) 6271 1000</v>
      </c>
      <c r="AG85" t="str">
        <f>""</f>
        <v/>
      </c>
      <c r="AH85" t="str">
        <f>""</f>
        <v/>
      </c>
      <c r="AI85" t="str">
        <f>"CORPORATE Corporate"</f>
        <v>CORPORATE Corporate</v>
      </c>
      <c r="AJ85" t="str">
        <f t="shared" si="37"/>
        <v>2603</v>
      </c>
    </row>
    <row r="86" spans="1:36" x14ac:dyDescent="0.25">
      <c r="A86" t="str">
        <f t="shared" si="34"/>
        <v>Department of Communications</v>
      </c>
      <c r="B86" t="str">
        <f>""</f>
        <v/>
      </c>
      <c r="C86" t="str">
        <f>"CN2396771"</f>
        <v>CN2396771</v>
      </c>
      <c r="D86" t="str">
        <f>"Thomas Lonsdale"</f>
        <v>Thomas Lonsdale</v>
      </c>
      <c r="E86" s="44">
        <v>41828.629166666666</v>
      </c>
      <c r="F86" t="s">
        <v>2508</v>
      </c>
      <c r="G86" t="str">
        <f t="shared" si="35"/>
        <v>published</v>
      </c>
      <c r="H86" s="45">
        <v>41821</v>
      </c>
      <c r="I86" s="45">
        <v>42185</v>
      </c>
      <c r="J86" s="46">
        <v>12000</v>
      </c>
      <c r="K86" t="s">
        <v>1442</v>
      </c>
      <c r="L86" t="str">
        <f>"0004604587"</f>
        <v>0004604587</v>
      </c>
      <c r="M86" t="str">
        <f>"Security and control equipment"</f>
        <v>Security and control equipment</v>
      </c>
      <c r="N86" t="str">
        <f>"Limited tender"</f>
        <v>Limited tender</v>
      </c>
      <c r="O86" t="str">
        <f>""</f>
        <v/>
      </c>
      <c r="Q86" t="str">
        <f t="shared" si="40"/>
        <v>No</v>
      </c>
      <c r="R86" t="str">
        <f>""</f>
        <v/>
      </c>
      <c r="S86" t="str">
        <f t="shared" si="41"/>
        <v>No</v>
      </c>
      <c r="T86" t="str">
        <f>""</f>
        <v/>
      </c>
      <c r="U86" t="str">
        <f t="shared" si="42"/>
        <v>No</v>
      </c>
      <c r="V86" t="str">
        <f>""</f>
        <v/>
      </c>
      <c r="X86" t="str">
        <f>"Chubb Fire &amp; Security Pty Ltd"</f>
        <v>Chubb Fire &amp; Security Pty Ltd</v>
      </c>
      <c r="Y86" t="str">
        <f>"157-163 Milton Street"</f>
        <v>157-163 Milton Street</v>
      </c>
      <c r="Z86" t="str">
        <f>"Ashfield"</f>
        <v>Ashfield</v>
      </c>
      <c r="AA86" t="str">
        <f>"2131"</f>
        <v>2131</v>
      </c>
      <c r="AB86" t="str">
        <f t="shared" si="38"/>
        <v>Australia</v>
      </c>
      <c r="AC86" t="str">
        <f t="shared" si="39"/>
        <v>No</v>
      </c>
      <c r="AD86" t="str">
        <f>"47000067541"</f>
        <v>47000067541</v>
      </c>
      <c r="AE86" t="str">
        <f t="shared" si="43"/>
        <v>ADMIN OFFICER</v>
      </c>
      <c r="AF86" t="str">
        <f t="shared" si="26"/>
        <v>(02) 6271 1000</v>
      </c>
      <c r="AG86" t="str">
        <f>""</f>
        <v/>
      </c>
      <c r="AH86" t="str">
        <f>""</f>
        <v/>
      </c>
      <c r="AI86" t="str">
        <f>"CORPORATE Corporate"</f>
        <v>CORPORATE Corporate</v>
      </c>
      <c r="AJ86" t="str">
        <f t="shared" si="37"/>
        <v>2603</v>
      </c>
    </row>
    <row r="87" spans="1:36" x14ac:dyDescent="0.25">
      <c r="A87" t="str">
        <f t="shared" si="34"/>
        <v>Department of Communications</v>
      </c>
      <c r="B87" t="str">
        <f>""</f>
        <v/>
      </c>
      <c r="C87" t="str">
        <f>"CN2396761"</f>
        <v>CN2396761</v>
      </c>
      <c r="D87" t="str">
        <f>"Thomas Lonsdale"</f>
        <v>Thomas Lonsdale</v>
      </c>
      <c r="E87" s="44">
        <v>41828.629166666666</v>
      </c>
      <c r="F87" t="s">
        <v>2508</v>
      </c>
      <c r="G87" t="str">
        <f t="shared" si="35"/>
        <v>published</v>
      </c>
      <c r="H87" s="45">
        <v>41821</v>
      </c>
      <c r="I87" s="45">
        <v>42185</v>
      </c>
      <c r="J87" s="46">
        <v>50073.5</v>
      </c>
      <c r="K87" t="s">
        <v>2078</v>
      </c>
      <c r="L87" t="str">
        <f>"0004604589"</f>
        <v>0004604589</v>
      </c>
      <c r="M87" t="str">
        <f>"Internet services"</f>
        <v>Internet services</v>
      </c>
      <c r="N87" t="str">
        <f>"Open tender"</f>
        <v>Open tender</v>
      </c>
      <c r="O87" t="str">
        <f>"DCON/10/96"</f>
        <v>DCON/10/96</v>
      </c>
      <c r="P87" t="str">
        <f>"SON368749"</f>
        <v>SON368749</v>
      </c>
      <c r="Q87" t="str">
        <f t="shared" si="40"/>
        <v>No</v>
      </c>
      <c r="R87" t="str">
        <f>""</f>
        <v/>
      </c>
      <c r="S87" t="str">
        <f t="shared" si="41"/>
        <v>No</v>
      </c>
      <c r="T87" t="str">
        <f>""</f>
        <v/>
      </c>
      <c r="U87" t="str">
        <f t="shared" si="42"/>
        <v>No</v>
      </c>
      <c r="V87" t="str">
        <f>""</f>
        <v/>
      </c>
      <c r="X87" t="str">
        <f>"The Trustee for Silverstripe Unit T"</f>
        <v>The Trustee for Silverstripe Unit T</v>
      </c>
      <c r="Y87" t="str">
        <f>"Level 1, 1 Cecil Place"</f>
        <v>Level 1, 1 Cecil Place</v>
      </c>
      <c r="Z87" t="str">
        <f>"Prahran"</f>
        <v>Prahran</v>
      </c>
      <c r="AA87" t="str">
        <f>"3181"</f>
        <v>3181</v>
      </c>
      <c r="AB87" t="str">
        <f t="shared" si="38"/>
        <v>Australia</v>
      </c>
      <c r="AC87" t="str">
        <f t="shared" si="39"/>
        <v>No</v>
      </c>
      <c r="AD87" t="str">
        <f>"55800709480"</f>
        <v>55800709480</v>
      </c>
      <c r="AE87" t="str">
        <f t="shared" si="43"/>
        <v>ADMIN OFFICER</v>
      </c>
      <c r="AF87" t="str">
        <f t="shared" si="26"/>
        <v>(02) 6271 1000</v>
      </c>
      <c r="AG87" t="str">
        <f>""</f>
        <v/>
      </c>
      <c r="AH87" t="str">
        <f>""</f>
        <v/>
      </c>
      <c r="AI87" t="str">
        <f>"CSAF"</f>
        <v>CSAF</v>
      </c>
      <c r="AJ87" t="str">
        <f t="shared" si="37"/>
        <v>2603</v>
      </c>
    </row>
    <row r="88" spans="1:36" x14ac:dyDescent="0.25">
      <c r="A88" t="str">
        <f t="shared" si="34"/>
        <v>Department of Communications</v>
      </c>
      <c r="B88" t="str">
        <f>""</f>
        <v/>
      </c>
      <c r="C88" t="str">
        <f>"CN2611301"</f>
        <v>CN2611301</v>
      </c>
      <c r="D88" t="str">
        <f>"David Kenny"</f>
        <v>David Kenny</v>
      </c>
      <c r="E88" s="44">
        <v>41920.473611111112</v>
      </c>
      <c r="F88" t="s">
        <v>2508</v>
      </c>
      <c r="G88" t="str">
        <f t="shared" si="35"/>
        <v>published</v>
      </c>
      <c r="H88" s="45">
        <v>41821</v>
      </c>
      <c r="I88" s="45">
        <v>42185</v>
      </c>
      <c r="J88" s="46">
        <v>20000</v>
      </c>
      <c r="K88" t="s">
        <v>1448</v>
      </c>
      <c r="L88" t="str">
        <f>"0004604591"</f>
        <v>0004604591</v>
      </c>
      <c r="M88" t="str">
        <f>"Relocation services"</f>
        <v>Relocation services</v>
      </c>
      <c r="N88" t="str">
        <f>"Limited tender"</f>
        <v>Limited tender</v>
      </c>
      <c r="O88" t="str">
        <f>""</f>
        <v/>
      </c>
      <c r="Q88" t="str">
        <f t="shared" si="40"/>
        <v>No</v>
      </c>
      <c r="R88" t="str">
        <f>""</f>
        <v/>
      </c>
      <c r="S88" t="str">
        <f t="shared" si="41"/>
        <v>No</v>
      </c>
      <c r="T88" t="str">
        <f>""</f>
        <v/>
      </c>
      <c r="U88" t="str">
        <f t="shared" si="42"/>
        <v>No</v>
      </c>
      <c r="V88" t="str">
        <f>""</f>
        <v/>
      </c>
      <c r="X88" t="str">
        <f>"BALFRAN REMOVALS"</f>
        <v>BALFRAN REMOVALS</v>
      </c>
      <c r="Y88" t="str">
        <f>"PO BOX 303"</f>
        <v>PO BOX 303</v>
      </c>
      <c r="Z88" t="str">
        <f>"ERINDALE"</f>
        <v>ERINDALE</v>
      </c>
      <c r="AA88" t="str">
        <f>"2903"</f>
        <v>2903</v>
      </c>
      <c r="AB88" t="str">
        <f t="shared" si="38"/>
        <v>Australia</v>
      </c>
      <c r="AC88" t="str">
        <f t="shared" si="39"/>
        <v>No</v>
      </c>
      <c r="AD88" t="str">
        <f>"78008652962"</f>
        <v>78008652962</v>
      </c>
      <c r="AE88" t="str">
        <f t="shared" si="43"/>
        <v>ADMIN OFFICER</v>
      </c>
      <c r="AF88" t="str">
        <f t="shared" si="26"/>
        <v>(02) 6271 1000</v>
      </c>
      <c r="AG88" t="str">
        <f>""</f>
        <v/>
      </c>
      <c r="AH88" t="str">
        <f>""</f>
        <v/>
      </c>
      <c r="AI88" t="str">
        <f>"CORPORATE TREASURY [OLD] Corporate Treasury"</f>
        <v>CORPORATE TREASURY [OLD] Corporate Treasury</v>
      </c>
      <c r="AJ88" t="str">
        <f t="shared" si="37"/>
        <v>2603</v>
      </c>
    </row>
    <row r="89" spans="1:36" x14ac:dyDescent="0.25">
      <c r="A89" t="str">
        <f t="shared" si="34"/>
        <v>Department of Communications</v>
      </c>
      <c r="B89" t="str">
        <f>""</f>
        <v/>
      </c>
      <c r="C89" t="str">
        <f>"CN3129532"</f>
        <v>CN3129532</v>
      </c>
      <c r="D89" t="str">
        <f>"Leesa O'connor"</f>
        <v>Leesa O'connor</v>
      </c>
      <c r="E89" s="44">
        <v>42160.526388888888</v>
      </c>
      <c r="F89" t="s">
        <v>2508</v>
      </c>
      <c r="G89" t="str">
        <f t="shared" si="35"/>
        <v>published</v>
      </c>
      <c r="H89" s="45">
        <v>41821</v>
      </c>
      <c r="I89" s="45">
        <v>42185</v>
      </c>
      <c r="J89" s="46">
        <v>22000</v>
      </c>
      <c r="K89" t="s">
        <v>1448</v>
      </c>
      <c r="L89" t="str">
        <f>"0004604591"</f>
        <v>0004604591</v>
      </c>
      <c r="M89" t="str">
        <f>"Relocation services"</f>
        <v>Relocation services</v>
      </c>
      <c r="N89" t="str">
        <f>"Limited tender"</f>
        <v>Limited tender</v>
      </c>
      <c r="O89" t="str">
        <f>""</f>
        <v/>
      </c>
      <c r="Q89" t="str">
        <f t="shared" si="40"/>
        <v>No</v>
      </c>
      <c r="R89" t="str">
        <f>""</f>
        <v/>
      </c>
      <c r="S89" t="str">
        <f t="shared" si="41"/>
        <v>No</v>
      </c>
      <c r="T89" t="str">
        <f>""</f>
        <v/>
      </c>
      <c r="U89" t="str">
        <f t="shared" si="42"/>
        <v>No</v>
      </c>
      <c r="V89" t="str">
        <f>""</f>
        <v/>
      </c>
      <c r="X89" t="str">
        <f>"BALFRAN REMOVALS"</f>
        <v>BALFRAN REMOVALS</v>
      </c>
      <c r="Y89" t="str">
        <f>"PO BOX 303"</f>
        <v>PO BOX 303</v>
      </c>
      <c r="Z89" t="str">
        <f>"ERINDALE"</f>
        <v>ERINDALE</v>
      </c>
      <c r="AA89" t="str">
        <f>"2903"</f>
        <v>2903</v>
      </c>
      <c r="AB89" t="str">
        <f t="shared" si="38"/>
        <v>Australia</v>
      </c>
      <c r="AC89" t="str">
        <f t="shared" si="39"/>
        <v>No</v>
      </c>
      <c r="AD89" t="str">
        <f>"78008652962"</f>
        <v>78008652962</v>
      </c>
      <c r="AE89" t="str">
        <f t="shared" si="43"/>
        <v>ADMIN OFFICER</v>
      </c>
      <c r="AF89" t="str">
        <f t="shared" si="26"/>
        <v>(02) 6271 1000</v>
      </c>
      <c r="AG89" t="str">
        <f>""</f>
        <v/>
      </c>
      <c r="AH89" t="str">
        <f>""</f>
        <v/>
      </c>
      <c r="AI89" t="str">
        <f>"CORPORATE TREASURY [OLD] Corporate Treasury"</f>
        <v>CORPORATE TREASURY [OLD] Corporate Treasury</v>
      </c>
      <c r="AJ89" t="str">
        <f t="shared" si="37"/>
        <v>2603</v>
      </c>
    </row>
    <row r="90" spans="1:36" x14ac:dyDescent="0.25">
      <c r="A90" t="str">
        <f t="shared" si="34"/>
        <v>Department of Communications</v>
      </c>
      <c r="B90" t="str">
        <f>""</f>
        <v/>
      </c>
      <c r="C90" t="str">
        <f>"CN2396751"</f>
        <v>CN2396751</v>
      </c>
      <c r="D90" t="str">
        <f t="shared" ref="D90:D107" si="44">"Thomas Lonsdale"</f>
        <v>Thomas Lonsdale</v>
      </c>
      <c r="E90" s="44">
        <v>41828.628472222219</v>
      </c>
      <c r="F90" t="s">
        <v>2508</v>
      </c>
      <c r="G90" t="str">
        <f t="shared" si="35"/>
        <v>published</v>
      </c>
      <c r="H90" s="45">
        <v>41821</v>
      </c>
      <c r="I90" s="45">
        <v>42185</v>
      </c>
      <c r="J90" s="46">
        <v>30000</v>
      </c>
      <c r="K90" t="s">
        <v>2520</v>
      </c>
      <c r="L90" t="str">
        <f>"0004604591"</f>
        <v>0004604591</v>
      </c>
      <c r="M90" t="str">
        <f>"Relocation services"</f>
        <v>Relocation services</v>
      </c>
      <c r="N90" t="str">
        <f>"Limited tender"</f>
        <v>Limited tender</v>
      </c>
      <c r="O90" t="str">
        <f>""</f>
        <v/>
      </c>
      <c r="Q90" t="str">
        <f t="shared" si="40"/>
        <v>No</v>
      </c>
      <c r="R90" t="str">
        <f>""</f>
        <v/>
      </c>
      <c r="S90" t="str">
        <f t="shared" si="41"/>
        <v>No</v>
      </c>
      <c r="T90" t="str">
        <f>""</f>
        <v/>
      </c>
      <c r="U90" t="str">
        <f t="shared" si="42"/>
        <v>No</v>
      </c>
      <c r="V90" t="str">
        <f>""</f>
        <v/>
      </c>
      <c r="X90" t="str">
        <f>"BALFRAN REMOVALS"</f>
        <v>BALFRAN REMOVALS</v>
      </c>
      <c r="Y90" t="str">
        <f>"PO BOX 303"</f>
        <v>PO BOX 303</v>
      </c>
      <c r="Z90" t="str">
        <f>"ERINDALE"</f>
        <v>ERINDALE</v>
      </c>
      <c r="AA90" t="str">
        <f>"2903"</f>
        <v>2903</v>
      </c>
      <c r="AB90" t="str">
        <f t="shared" si="38"/>
        <v>Australia</v>
      </c>
      <c r="AC90" t="str">
        <f t="shared" si="39"/>
        <v>No</v>
      </c>
      <c r="AD90" t="str">
        <f>"78008652962"</f>
        <v>78008652962</v>
      </c>
      <c r="AE90" t="str">
        <f t="shared" si="43"/>
        <v>ADMIN OFFICER</v>
      </c>
      <c r="AF90" t="str">
        <f t="shared" si="26"/>
        <v>(02) 6271 1000</v>
      </c>
      <c r="AG90" t="str">
        <f>""</f>
        <v/>
      </c>
      <c r="AH90" t="str">
        <f>""</f>
        <v/>
      </c>
      <c r="AI90" t="str">
        <f>"CORPORATE Corporate"</f>
        <v>CORPORATE Corporate</v>
      </c>
      <c r="AJ90" t="str">
        <f t="shared" si="37"/>
        <v>2603</v>
      </c>
    </row>
    <row r="91" spans="1:36" x14ac:dyDescent="0.25">
      <c r="A91" t="str">
        <f t="shared" si="34"/>
        <v>Department of Communications</v>
      </c>
      <c r="B91" t="str">
        <f>""</f>
        <v/>
      </c>
      <c r="C91" t="str">
        <f>"CN2454621"</f>
        <v>CN2454621</v>
      </c>
      <c r="D91" t="str">
        <f t="shared" si="44"/>
        <v>Thomas Lonsdale</v>
      </c>
      <c r="E91" s="44">
        <v>41850.395833333336</v>
      </c>
      <c r="F91" t="s">
        <v>2508</v>
      </c>
      <c r="G91" t="str">
        <f t="shared" si="35"/>
        <v>published</v>
      </c>
      <c r="H91" s="45">
        <v>41820</v>
      </c>
      <c r="I91" s="45">
        <v>41843</v>
      </c>
      <c r="J91" s="46">
        <v>10000</v>
      </c>
      <c r="K91" t="s">
        <v>2206</v>
      </c>
      <c r="L91" t="str">
        <f>"0004604593"</f>
        <v>0004604593</v>
      </c>
      <c r="M91" t="str">
        <f>"Corporate objectives or policy development"</f>
        <v>Corporate objectives or policy development</v>
      </c>
      <c r="N91" t="str">
        <f>"Limited tender"</f>
        <v>Limited tender</v>
      </c>
      <c r="O91" t="str">
        <f>""</f>
        <v/>
      </c>
      <c r="Q91" t="str">
        <f t="shared" si="40"/>
        <v>No</v>
      </c>
      <c r="R91" t="str">
        <f>""</f>
        <v/>
      </c>
      <c r="S91" t="str">
        <f t="shared" si="41"/>
        <v>No</v>
      </c>
      <c r="T91" t="str">
        <f>""</f>
        <v/>
      </c>
      <c r="U91" t="str">
        <f>"Yes"</f>
        <v>Yes</v>
      </c>
      <c r="V91" t="str">
        <f>"Skills currently unavailable within agency"</f>
        <v>Skills currently unavailable within agency</v>
      </c>
      <c r="X91" t="str">
        <f>"Worrad Associates"</f>
        <v>Worrad Associates</v>
      </c>
      <c r="Y91" t="str">
        <f>"34 Bentley Street"</f>
        <v>34 Bentley Street</v>
      </c>
      <c r="Z91" t="str">
        <f>"Redhead"</f>
        <v>Redhead</v>
      </c>
      <c r="AA91" t="str">
        <f>"2290"</f>
        <v>2290</v>
      </c>
      <c r="AB91" t="str">
        <f t="shared" si="38"/>
        <v>Australia</v>
      </c>
      <c r="AC91" t="str">
        <f t="shared" si="39"/>
        <v>No</v>
      </c>
      <c r="AD91" t="str">
        <f>"53107932061"</f>
        <v>53107932061</v>
      </c>
      <c r="AE91" t="str">
        <f t="shared" si="43"/>
        <v>ADMIN OFFICER</v>
      </c>
      <c r="AF91" t="str">
        <f t="shared" si="26"/>
        <v>(02) 6271 1000</v>
      </c>
      <c r="AG91" t="str">
        <f>""</f>
        <v/>
      </c>
      <c r="AH91" t="str">
        <f>""</f>
        <v/>
      </c>
      <c r="AI91" t="str">
        <f>"NPAR"</f>
        <v>NPAR</v>
      </c>
      <c r="AJ91" t="str">
        <f t="shared" si="37"/>
        <v>2603</v>
      </c>
    </row>
    <row r="92" spans="1:36" x14ac:dyDescent="0.25">
      <c r="A92" t="str">
        <f t="shared" si="34"/>
        <v>Department of Communications</v>
      </c>
      <c r="B92" t="str">
        <f>""</f>
        <v/>
      </c>
      <c r="C92" t="str">
        <f>"CN2396741"</f>
        <v>CN2396741</v>
      </c>
      <c r="D92" t="str">
        <f t="shared" si="44"/>
        <v>Thomas Lonsdale</v>
      </c>
      <c r="E92" s="44">
        <v>41828.628472222219</v>
      </c>
      <c r="F92" t="s">
        <v>2508</v>
      </c>
      <c r="G92" t="str">
        <f t="shared" si="35"/>
        <v>published</v>
      </c>
      <c r="H92" s="45">
        <v>41824</v>
      </c>
      <c r="I92" s="45">
        <v>42185</v>
      </c>
      <c r="J92" s="46">
        <v>59730</v>
      </c>
      <c r="K92" t="s">
        <v>1453</v>
      </c>
      <c r="L92" t="str">
        <f>"0004604594"</f>
        <v>0004604594</v>
      </c>
      <c r="M92" t="str">
        <f>"Software"</f>
        <v>Software</v>
      </c>
      <c r="N92" t="str">
        <f>"Open tender"</f>
        <v>Open tender</v>
      </c>
      <c r="O92" t="str">
        <f>"2009:P0037"</f>
        <v>2009:P0037</v>
      </c>
      <c r="P92" t="str">
        <f>"SON263913"</f>
        <v>SON263913</v>
      </c>
      <c r="Q92" t="str">
        <f t="shared" si="40"/>
        <v>No</v>
      </c>
      <c r="R92" t="str">
        <f>""</f>
        <v/>
      </c>
      <c r="S92" t="str">
        <f t="shared" si="41"/>
        <v>No</v>
      </c>
      <c r="T92" t="str">
        <f>""</f>
        <v/>
      </c>
      <c r="U92" t="str">
        <f t="shared" ref="U92:U128" si="45">"No"</f>
        <v>No</v>
      </c>
      <c r="V92" t="str">
        <f>""</f>
        <v/>
      </c>
      <c r="X92" t="str">
        <f>"Viocorp International Pty Ltd"</f>
        <v>Viocorp International Pty Ltd</v>
      </c>
      <c r="Y92" t="str">
        <f>"Suite 110 Jones Bay Wharf, 26-32 Pi"</f>
        <v>Suite 110 Jones Bay Wharf, 26-32 Pi</v>
      </c>
      <c r="Z92" t="str">
        <f>"Sydney"</f>
        <v>Sydney</v>
      </c>
      <c r="AA92" t="str">
        <f>"2009"</f>
        <v>2009</v>
      </c>
      <c r="AB92" t="str">
        <f t="shared" si="38"/>
        <v>Australia</v>
      </c>
      <c r="AC92" t="str">
        <f t="shared" si="39"/>
        <v>No</v>
      </c>
      <c r="AD92" t="str">
        <f>"43100186838"</f>
        <v>43100186838</v>
      </c>
      <c r="AE92" t="str">
        <f t="shared" si="43"/>
        <v>ADMIN OFFICER</v>
      </c>
      <c r="AF92" t="str">
        <f t="shared" si="26"/>
        <v>(02) 6271 1000</v>
      </c>
      <c r="AG92" t="str">
        <f>""</f>
        <v/>
      </c>
      <c r="AH92" t="str">
        <f>""</f>
        <v/>
      </c>
      <c r="AI92" t="str">
        <f>"CORPORATE Corporate"</f>
        <v>CORPORATE Corporate</v>
      </c>
      <c r="AJ92" t="str">
        <f t="shared" si="37"/>
        <v>2603</v>
      </c>
    </row>
    <row r="93" spans="1:36" x14ac:dyDescent="0.25">
      <c r="A93" t="str">
        <f t="shared" si="34"/>
        <v>Department of Communications</v>
      </c>
      <c r="B93" t="str">
        <f>""</f>
        <v/>
      </c>
      <c r="C93" t="str">
        <f>"CN2474871"</f>
        <v>CN2474871</v>
      </c>
      <c r="D93" t="str">
        <f t="shared" si="44"/>
        <v>Thomas Lonsdale</v>
      </c>
      <c r="E93" s="44">
        <v>41857.48541666667</v>
      </c>
      <c r="F93" t="s">
        <v>2508</v>
      </c>
      <c r="G93" t="str">
        <f t="shared" si="35"/>
        <v>published</v>
      </c>
      <c r="H93" s="45">
        <v>41823</v>
      </c>
      <c r="I93" s="45">
        <v>42185</v>
      </c>
      <c r="J93" s="46">
        <v>38500</v>
      </c>
      <c r="K93" t="s">
        <v>1455</v>
      </c>
      <c r="L93" t="str">
        <f>"0004604595"</f>
        <v>0004604595</v>
      </c>
      <c r="M93" t="str">
        <f>"Building support services"</f>
        <v>Building support services</v>
      </c>
      <c r="N93" t="str">
        <f>"Limited tender"</f>
        <v>Limited tender</v>
      </c>
      <c r="O93" t="str">
        <f>""</f>
        <v/>
      </c>
      <c r="Q93" t="str">
        <f t="shared" si="40"/>
        <v>No</v>
      </c>
      <c r="R93" t="str">
        <f>""</f>
        <v/>
      </c>
      <c r="S93" t="str">
        <f t="shared" si="41"/>
        <v>No</v>
      </c>
      <c r="T93" t="str">
        <f>""</f>
        <v/>
      </c>
      <c r="U93" t="str">
        <f t="shared" si="45"/>
        <v>No</v>
      </c>
      <c r="V93" t="str">
        <f>""</f>
        <v/>
      </c>
      <c r="X93" t="str">
        <f>"NEF Consulting Services"</f>
        <v>NEF Consulting Services</v>
      </c>
      <c r="Y93" t="str">
        <f>"PO Box 260"</f>
        <v>PO Box 260</v>
      </c>
      <c r="Z93" t="str">
        <f>"Dickson"</f>
        <v>Dickson</v>
      </c>
      <c r="AA93" t="str">
        <f>"2602"</f>
        <v>2602</v>
      </c>
      <c r="AB93" t="str">
        <f t="shared" si="38"/>
        <v>Australia</v>
      </c>
      <c r="AC93" t="str">
        <f t="shared" si="39"/>
        <v>No</v>
      </c>
      <c r="AD93" t="str">
        <f>"17125808188"</f>
        <v>17125808188</v>
      </c>
      <c r="AE93" t="str">
        <f t="shared" si="43"/>
        <v>ADMIN OFFICER</v>
      </c>
      <c r="AF93" t="str">
        <f t="shared" si="26"/>
        <v>(02) 6271 1000</v>
      </c>
      <c r="AG93" t="str">
        <f>""</f>
        <v/>
      </c>
      <c r="AH93" t="str">
        <f>""</f>
        <v/>
      </c>
      <c r="AI93" t="str">
        <f>"CORPORATE Corporate"</f>
        <v>CORPORATE Corporate</v>
      </c>
      <c r="AJ93" t="str">
        <f t="shared" si="37"/>
        <v>2603</v>
      </c>
    </row>
    <row r="94" spans="1:36" x14ac:dyDescent="0.25">
      <c r="A94" t="str">
        <f t="shared" si="34"/>
        <v>Department of Communications</v>
      </c>
      <c r="B94" t="str">
        <f>""</f>
        <v/>
      </c>
      <c r="C94" t="str">
        <f>"CN2396731"</f>
        <v>CN2396731</v>
      </c>
      <c r="D94" t="str">
        <f t="shared" si="44"/>
        <v>Thomas Lonsdale</v>
      </c>
      <c r="E94" s="44">
        <v>41828.628472222219</v>
      </c>
      <c r="F94" t="s">
        <v>2508</v>
      </c>
      <c r="G94" t="str">
        <f t="shared" si="35"/>
        <v>published</v>
      </c>
      <c r="H94" s="45">
        <v>41860</v>
      </c>
      <c r="I94" s="45">
        <v>42224</v>
      </c>
      <c r="J94" s="46">
        <v>15000</v>
      </c>
      <c r="K94" t="s">
        <v>1459</v>
      </c>
      <c r="L94" t="str">
        <f>"0004604596"</f>
        <v>0004604596</v>
      </c>
      <c r="M94" t="str">
        <f>"Building support services"</f>
        <v>Building support services</v>
      </c>
      <c r="N94" t="str">
        <f>"Limited tender"</f>
        <v>Limited tender</v>
      </c>
      <c r="O94" t="str">
        <f>""</f>
        <v/>
      </c>
      <c r="Q94" t="str">
        <f t="shared" si="40"/>
        <v>No</v>
      </c>
      <c r="R94" t="str">
        <f>""</f>
        <v/>
      </c>
      <c r="S94" t="str">
        <f t="shared" si="41"/>
        <v>No</v>
      </c>
      <c r="T94" t="str">
        <f>""</f>
        <v/>
      </c>
      <c r="U94" t="str">
        <f t="shared" si="45"/>
        <v>No</v>
      </c>
      <c r="V94" t="str">
        <f>""</f>
        <v/>
      </c>
      <c r="X94" t="str">
        <f>"Eaton Industries Pty Ltd"</f>
        <v>Eaton Industries Pty Ltd</v>
      </c>
      <c r="Y94" t="str">
        <f>"PO Box L BAG 1006"</f>
        <v>PO Box L BAG 1006</v>
      </c>
      <c r="Z94" t="str">
        <f>"MASCOT"</f>
        <v>MASCOT</v>
      </c>
      <c r="AA94" t="str">
        <f>"1445"</f>
        <v>1445</v>
      </c>
      <c r="AB94" t="str">
        <f t="shared" si="38"/>
        <v>Australia</v>
      </c>
      <c r="AC94" t="str">
        <f t="shared" si="39"/>
        <v>No</v>
      </c>
      <c r="AD94" t="str">
        <f>"66103014571"</f>
        <v>66103014571</v>
      </c>
      <c r="AE94" t="str">
        <f t="shared" si="43"/>
        <v>ADMIN OFFICER</v>
      </c>
      <c r="AF94" t="str">
        <f t="shared" si="26"/>
        <v>(02) 6271 1000</v>
      </c>
      <c r="AG94" t="str">
        <f>""</f>
        <v/>
      </c>
      <c r="AH94" t="str">
        <f>""</f>
        <v/>
      </c>
      <c r="AI94" t="str">
        <f>"CORPORATE Corporate"</f>
        <v>CORPORATE Corporate</v>
      </c>
      <c r="AJ94" t="str">
        <f t="shared" si="37"/>
        <v>2603</v>
      </c>
    </row>
    <row r="95" spans="1:36" x14ac:dyDescent="0.25">
      <c r="A95" t="str">
        <f t="shared" si="34"/>
        <v>Department of Communications</v>
      </c>
      <c r="B95" t="str">
        <f>""</f>
        <v/>
      </c>
      <c r="C95" t="str">
        <f>"CN2440182"</f>
        <v>CN2440182</v>
      </c>
      <c r="D95" t="str">
        <f t="shared" si="44"/>
        <v>Thomas Lonsdale</v>
      </c>
      <c r="E95" s="44">
        <v>41843.574999999997</v>
      </c>
      <c r="F95" t="s">
        <v>2508</v>
      </c>
      <c r="G95" t="str">
        <f t="shared" si="35"/>
        <v>published</v>
      </c>
      <c r="H95" s="45">
        <v>41827</v>
      </c>
      <c r="I95" s="45">
        <v>41997</v>
      </c>
      <c r="J95" s="46">
        <v>126121.16</v>
      </c>
      <c r="K95" t="s">
        <v>1463</v>
      </c>
      <c r="L95" t="str">
        <f>"0004604597"</f>
        <v>0004604597</v>
      </c>
      <c r="M95" t="str">
        <f>"Project administration or planning"</f>
        <v>Project administration or planning</v>
      </c>
      <c r="N95" t="str">
        <f>"Open tender"</f>
        <v>Open tender</v>
      </c>
      <c r="O95" t="str">
        <f>"IPAC2010/13823"</f>
        <v>IPAC2010/13823</v>
      </c>
      <c r="P95" t="str">
        <f>"SON389818"</f>
        <v>SON389818</v>
      </c>
      <c r="Q95" t="str">
        <f t="shared" si="40"/>
        <v>No</v>
      </c>
      <c r="R95" t="str">
        <f>""</f>
        <v/>
      </c>
      <c r="S95" t="str">
        <f t="shared" si="41"/>
        <v>No</v>
      </c>
      <c r="T95" t="str">
        <f>""</f>
        <v/>
      </c>
      <c r="U95" t="str">
        <f t="shared" si="45"/>
        <v>No</v>
      </c>
      <c r="V95" t="str">
        <f>""</f>
        <v/>
      </c>
      <c r="X95" t="str">
        <f>"SOUTHERN CROSS COMPUTING PTY LTD"</f>
        <v>SOUTHERN CROSS COMPUTING PTY LTD</v>
      </c>
      <c r="Y95" t="str">
        <f>"PO BOX 1090"</f>
        <v>PO BOX 1090</v>
      </c>
      <c r="Z95" t="str">
        <f>"WODEN"</f>
        <v>WODEN</v>
      </c>
      <c r="AA95" t="str">
        <f>"2606"</f>
        <v>2606</v>
      </c>
      <c r="AB95" t="str">
        <f t="shared" si="38"/>
        <v>Australia</v>
      </c>
      <c r="AC95" t="str">
        <f t="shared" si="39"/>
        <v>No</v>
      </c>
      <c r="AD95" t="str">
        <f>"71008626131"</f>
        <v>71008626131</v>
      </c>
      <c r="AE95" t="str">
        <f t="shared" si="43"/>
        <v>ADMIN OFFICER</v>
      </c>
      <c r="AF95" t="str">
        <f t="shared" si="26"/>
        <v>(02) 6271 1000</v>
      </c>
      <c r="AG95" t="str">
        <f>""</f>
        <v/>
      </c>
      <c r="AH95" t="str">
        <f>""</f>
        <v/>
      </c>
      <c r="AI95" t="str">
        <f>"CORPORATE Corporate"</f>
        <v>CORPORATE Corporate</v>
      </c>
      <c r="AJ95" t="str">
        <f t="shared" si="37"/>
        <v>2603</v>
      </c>
    </row>
    <row r="96" spans="1:36" x14ac:dyDescent="0.25">
      <c r="A96" t="str">
        <f t="shared" si="34"/>
        <v>Department of Communications</v>
      </c>
      <c r="B96" t="str">
        <f>""</f>
        <v/>
      </c>
      <c r="C96" t="str">
        <f>"CN2440192"</f>
        <v>CN2440192</v>
      </c>
      <c r="D96" t="str">
        <f t="shared" si="44"/>
        <v>Thomas Lonsdale</v>
      </c>
      <c r="E96" s="44">
        <v>41843.574999999997</v>
      </c>
      <c r="F96" t="s">
        <v>2508</v>
      </c>
      <c r="G96" t="str">
        <f t="shared" si="35"/>
        <v>published</v>
      </c>
      <c r="H96" s="45">
        <v>41821</v>
      </c>
      <c r="I96" s="45">
        <v>42185</v>
      </c>
      <c r="J96" s="46">
        <v>12000</v>
      </c>
      <c r="K96" t="s">
        <v>1464</v>
      </c>
      <c r="L96" t="str">
        <f>"0004604598"</f>
        <v>0004604598</v>
      </c>
      <c r="M96" t="str">
        <f>"Network security equipment"</f>
        <v>Network security equipment</v>
      </c>
      <c r="N96" t="str">
        <f>"Limited tender"</f>
        <v>Limited tender</v>
      </c>
      <c r="O96" t="str">
        <f>""</f>
        <v/>
      </c>
      <c r="Q96" t="str">
        <f t="shared" si="40"/>
        <v>No</v>
      </c>
      <c r="R96" t="str">
        <f>""</f>
        <v/>
      </c>
      <c r="S96" t="str">
        <f t="shared" si="41"/>
        <v>No</v>
      </c>
      <c r="T96" t="str">
        <f>""</f>
        <v/>
      </c>
      <c r="U96" t="str">
        <f t="shared" si="45"/>
        <v>No</v>
      </c>
      <c r="V96" t="str">
        <f>""</f>
        <v/>
      </c>
      <c r="X96" t="str">
        <f>"Verizon Australia Pty Ltd"</f>
        <v>Verizon Australia Pty Ltd</v>
      </c>
      <c r="Y96" t="str">
        <f>"GPO Box 5115"</f>
        <v>GPO Box 5115</v>
      </c>
      <c r="Z96" t="str">
        <f>"Sydney"</f>
        <v>Sydney</v>
      </c>
      <c r="AA96" t="str">
        <f>"2001"</f>
        <v>2001</v>
      </c>
      <c r="AB96" t="str">
        <f t="shared" si="38"/>
        <v>Australia</v>
      </c>
      <c r="AC96" t="str">
        <f t="shared" si="39"/>
        <v>No</v>
      </c>
      <c r="AD96" t="str">
        <f>"62081001194"</f>
        <v>62081001194</v>
      </c>
      <c r="AE96" t="str">
        <f t="shared" si="43"/>
        <v>ADMIN OFFICER</v>
      </c>
      <c r="AF96" t="str">
        <f t="shared" si="26"/>
        <v>(02) 6271 1000</v>
      </c>
      <c r="AG96" t="str">
        <f>""</f>
        <v/>
      </c>
      <c r="AH96" t="str">
        <f>""</f>
        <v/>
      </c>
      <c r="AI96" t="str">
        <f>"CORPORATE Corporate"</f>
        <v>CORPORATE Corporate</v>
      </c>
      <c r="AJ96" t="str">
        <f t="shared" si="37"/>
        <v>2603</v>
      </c>
    </row>
    <row r="97" spans="1:36" x14ac:dyDescent="0.25">
      <c r="A97" t="str">
        <f t="shared" si="34"/>
        <v>Department of Communications</v>
      </c>
      <c r="B97" t="str">
        <f>""</f>
        <v/>
      </c>
      <c r="C97" t="str">
        <f>"CN2510821"</f>
        <v>CN2510821</v>
      </c>
      <c r="D97" t="str">
        <f t="shared" si="44"/>
        <v>Thomas Lonsdale</v>
      </c>
      <c r="E97" s="44">
        <v>41871.430555555555</v>
      </c>
      <c r="F97" t="s">
        <v>2508</v>
      </c>
      <c r="G97" t="str">
        <f t="shared" si="35"/>
        <v>published</v>
      </c>
      <c r="H97" s="45">
        <v>41821</v>
      </c>
      <c r="I97" s="45">
        <v>42185</v>
      </c>
      <c r="J97" s="46">
        <v>20000</v>
      </c>
      <c r="K97" t="s">
        <v>1466</v>
      </c>
      <c r="L97" t="str">
        <f>"0004604599"</f>
        <v>0004604599</v>
      </c>
      <c r="M97" t="str">
        <f>"Mobile phones"</f>
        <v>Mobile phones</v>
      </c>
      <c r="N97" t="str">
        <f>"Open tender"</f>
        <v>Open tender</v>
      </c>
      <c r="O97" t="str">
        <f>"FIN10/AGI002"</f>
        <v>FIN10/AGI002</v>
      </c>
      <c r="P97" t="str">
        <f>"SON361177"</f>
        <v>SON361177</v>
      </c>
      <c r="Q97" t="str">
        <f t="shared" si="40"/>
        <v>No</v>
      </c>
      <c r="R97" t="str">
        <f>""</f>
        <v/>
      </c>
      <c r="S97" t="str">
        <f t="shared" si="41"/>
        <v>No</v>
      </c>
      <c r="T97" t="str">
        <f>""</f>
        <v/>
      </c>
      <c r="U97" t="str">
        <f t="shared" si="45"/>
        <v>No</v>
      </c>
      <c r="V97" t="str">
        <f>""</f>
        <v/>
      </c>
      <c r="X97" t="str">
        <f>"TELSTRA"</f>
        <v>TELSTRA</v>
      </c>
      <c r="Y97" t="str">
        <f>"PO Box 9901"</f>
        <v>PO Box 9901</v>
      </c>
      <c r="Z97" t="str">
        <f>"Melbourne"</f>
        <v>Melbourne</v>
      </c>
      <c r="AA97" t="str">
        <f>"3001"</f>
        <v>3001</v>
      </c>
      <c r="AB97" t="str">
        <f t="shared" si="38"/>
        <v>Australia</v>
      </c>
      <c r="AC97" t="str">
        <f t="shared" si="39"/>
        <v>No</v>
      </c>
      <c r="AD97" t="str">
        <f>"33051775556"</f>
        <v>33051775556</v>
      </c>
      <c r="AE97" t="str">
        <f t="shared" si="43"/>
        <v>ADMIN OFFICER</v>
      </c>
      <c r="AF97" t="str">
        <f t="shared" si="26"/>
        <v>(02) 6271 1000</v>
      </c>
      <c r="AG97" t="str">
        <f>""</f>
        <v/>
      </c>
      <c r="AH97" t="str">
        <f>""</f>
        <v/>
      </c>
      <c r="AI97" t="str">
        <f>"CORPORATE [OLD] Corporate Treasury"</f>
        <v>CORPORATE [OLD] Corporate Treasury</v>
      </c>
      <c r="AJ97" t="str">
        <f t="shared" si="37"/>
        <v>2603</v>
      </c>
    </row>
    <row r="98" spans="1:36" x14ac:dyDescent="0.25">
      <c r="A98" t="str">
        <f t="shared" si="34"/>
        <v>Department of Communications</v>
      </c>
      <c r="B98" t="str">
        <f>""</f>
        <v/>
      </c>
      <c r="C98" t="str">
        <f>"CN2440212"</f>
        <v>CN2440212</v>
      </c>
      <c r="D98" t="str">
        <f t="shared" si="44"/>
        <v>Thomas Lonsdale</v>
      </c>
      <c r="E98" s="44">
        <v>41843.575694444444</v>
      </c>
      <c r="F98" t="s">
        <v>2508</v>
      </c>
      <c r="G98" t="str">
        <f t="shared" si="35"/>
        <v>published</v>
      </c>
      <c r="H98" s="45">
        <v>41821</v>
      </c>
      <c r="I98" s="45">
        <v>42185</v>
      </c>
      <c r="J98" s="46">
        <v>20000</v>
      </c>
      <c r="K98" t="s">
        <v>1466</v>
      </c>
      <c r="L98" t="str">
        <f>"0004604599"</f>
        <v>0004604599</v>
      </c>
      <c r="M98" t="str">
        <f>"Mobile phones"</f>
        <v>Mobile phones</v>
      </c>
      <c r="N98" t="str">
        <f>"Open tender"</f>
        <v>Open tender</v>
      </c>
      <c r="O98" t="str">
        <f>"FIN10/AGI002"</f>
        <v>FIN10/AGI002</v>
      </c>
      <c r="P98" t="str">
        <f>"SON361177"</f>
        <v>SON361177</v>
      </c>
      <c r="Q98" t="str">
        <f t="shared" si="40"/>
        <v>No</v>
      </c>
      <c r="R98" t="str">
        <f>""</f>
        <v/>
      </c>
      <c r="S98" t="str">
        <f t="shared" si="41"/>
        <v>No</v>
      </c>
      <c r="T98" t="str">
        <f>""</f>
        <v/>
      </c>
      <c r="U98" t="str">
        <f t="shared" si="45"/>
        <v>No</v>
      </c>
      <c r="V98" t="str">
        <f>""</f>
        <v/>
      </c>
      <c r="X98" t="str">
        <f>"TELSTRA"</f>
        <v>TELSTRA</v>
      </c>
      <c r="Y98" t="str">
        <f>"PO Box 9901"</f>
        <v>PO Box 9901</v>
      </c>
      <c r="Z98" t="str">
        <f>"Melbourne"</f>
        <v>Melbourne</v>
      </c>
      <c r="AA98" t="str">
        <f>"3001"</f>
        <v>3001</v>
      </c>
      <c r="AB98" t="str">
        <f t="shared" si="38"/>
        <v>Australia</v>
      </c>
      <c r="AC98" t="str">
        <f t="shared" si="39"/>
        <v>No</v>
      </c>
      <c r="AD98" t="str">
        <f>"33051775556"</f>
        <v>33051775556</v>
      </c>
      <c r="AE98" t="str">
        <f t="shared" si="43"/>
        <v>ADMIN OFFICER</v>
      </c>
      <c r="AF98" t="str">
        <f t="shared" si="26"/>
        <v>(02) 6271 1000</v>
      </c>
      <c r="AG98" t="str">
        <f>""</f>
        <v/>
      </c>
      <c r="AH98" t="str">
        <f>""</f>
        <v/>
      </c>
      <c r="AI98" t="str">
        <f t="shared" ref="AI98:AI107" si="46">"CORPORATE Corporate"</f>
        <v>CORPORATE Corporate</v>
      </c>
      <c r="AJ98" t="str">
        <f t="shared" si="37"/>
        <v>2603</v>
      </c>
    </row>
    <row r="99" spans="1:36" x14ac:dyDescent="0.25">
      <c r="A99" t="str">
        <f t="shared" si="34"/>
        <v>Department of Communications</v>
      </c>
      <c r="B99" t="str">
        <f>""</f>
        <v/>
      </c>
      <c r="C99" t="str">
        <f>"CN2440232"</f>
        <v>CN2440232</v>
      </c>
      <c r="D99" t="str">
        <f t="shared" si="44"/>
        <v>Thomas Lonsdale</v>
      </c>
      <c r="E99" s="44">
        <v>41843.575694444444</v>
      </c>
      <c r="F99" t="s">
        <v>2508</v>
      </c>
      <c r="G99" t="str">
        <f t="shared" si="35"/>
        <v>published</v>
      </c>
      <c r="H99" s="45">
        <v>41821</v>
      </c>
      <c r="I99" s="45">
        <v>42185</v>
      </c>
      <c r="J99" s="46">
        <v>20000</v>
      </c>
      <c r="K99" t="s">
        <v>1472</v>
      </c>
      <c r="L99" t="str">
        <f>"0004604600"</f>
        <v>0004604600</v>
      </c>
      <c r="M99" t="str">
        <f>"Notebook computers"</f>
        <v>Notebook computers</v>
      </c>
      <c r="N99" t="str">
        <f>"Open tender"</f>
        <v>Open tender</v>
      </c>
      <c r="O99" t="str">
        <f>"FIN10/AGI001"</f>
        <v>FIN10/AGI001</v>
      </c>
      <c r="P99" t="str">
        <f>"SON335550"</f>
        <v>SON335550</v>
      </c>
      <c r="Q99" t="str">
        <f t="shared" si="40"/>
        <v>No</v>
      </c>
      <c r="R99" t="str">
        <f>""</f>
        <v/>
      </c>
      <c r="S99" t="str">
        <f t="shared" si="41"/>
        <v>No</v>
      </c>
      <c r="T99" t="str">
        <f>""</f>
        <v/>
      </c>
      <c r="U99" t="str">
        <f t="shared" si="45"/>
        <v>No</v>
      </c>
      <c r="V99" t="str">
        <f>""</f>
        <v/>
      </c>
      <c r="X99" t="str">
        <f>"ETHANGROUP"</f>
        <v>ETHANGROUP</v>
      </c>
      <c r="Y99" t="str">
        <f>"Level 5, 13-15 Lyon Park Road"</f>
        <v>Level 5, 13-15 Lyon Park Road</v>
      </c>
      <c r="Z99" t="str">
        <f>"North Ryde"</f>
        <v>North Ryde</v>
      </c>
      <c r="AA99" t="str">
        <f>"2113"</f>
        <v>2113</v>
      </c>
      <c r="AB99" t="str">
        <f t="shared" si="38"/>
        <v>Australia</v>
      </c>
      <c r="AC99" t="str">
        <f t="shared" si="39"/>
        <v>No</v>
      </c>
      <c r="AD99" t="str">
        <f>"93099503456"</f>
        <v>93099503456</v>
      </c>
      <c r="AE99" t="str">
        <f t="shared" si="43"/>
        <v>ADMIN OFFICER</v>
      </c>
      <c r="AF99" t="str">
        <f t="shared" si="26"/>
        <v>(02) 6271 1000</v>
      </c>
      <c r="AG99" t="str">
        <f>""</f>
        <v/>
      </c>
      <c r="AH99" t="str">
        <f>""</f>
        <v/>
      </c>
      <c r="AI99" t="str">
        <f t="shared" si="46"/>
        <v>CORPORATE Corporate</v>
      </c>
      <c r="AJ99" t="str">
        <f t="shared" si="37"/>
        <v>2603</v>
      </c>
    </row>
    <row r="100" spans="1:36" x14ac:dyDescent="0.25">
      <c r="A100" t="str">
        <f t="shared" si="34"/>
        <v>Department of Communications</v>
      </c>
      <c r="B100" t="str">
        <f>""</f>
        <v/>
      </c>
      <c r="C100" t="str">
        <f>"CN2440252"</f>
        <v>CN2440252</v>
      </c>
      <c r="D100" t="str">
        <f t="shared" si="44"/>
        <v>Thomas Lonsdale</v>
      </c>
      <c r="E100" s="44">
        <v>41843.575694444444</v>
      </c>
      <c r="F100" t="s">
        <v>2508</v>
      </c>
      <c r="G100" t="str">
        <f t="shared" si="35"/>
        <v>published</v>
      </c>
      <c r="H100" s="45">
        <v>41827</v>
      </c>
      <c r="I100" s="45">
        <v>42004</v>
      </c>
      <c r="J100" s="46">
        <v>5340963.29</v>
      </c>
      <c r="K100" t="s">
        <v>1478</v>
      </c>
      <c r="L100" t="str">
        <f>"0004604601"</f>
        <v>0004604601</v>
      </c>
      <c r="M100" t="str">
        <f>"Advertising"</f>
        <v>Advertising</v>
      </c>
      <c r="N100" t="str">
        <f>"Open tender"</f>
        <v>Open tender</v>
      </c>
      <c r="O100" t="str">
        <f>"FIN13BPAM1826-RFT"</f>
        <v>FIN13BPAM1826-RFT</v>
      </c>
      <c r="P100" t="str">
        <f>"SON2186301"</f>
        <v>SON2186301</v>
      </c>
      <c r="Q100" t="str">
        <f t="shared" si="40"/>
        <v>No</v>
      </c>
      <c r="R100" t="str">
        <f>""</f>
        <v/>
      </c>
      <c r="S100" t="str">
        <f t="shared" si="41"/>
        <v>No</v>
      </c>
      <c r="T100" t="str">
        <f>""</f>
        <v/>
      </c>
      <c r="U100" t="str">
        <f t="shared" si="45"/>
        <v>No</v>
      </c>
      <c r="V100" t="str">
        <f>""</f>
        <v/>
      </c>
      <c r="X100" t="str">
        <f>"Mitchell &amp; Partners Australia Pty L"</f>
        <v>Mitchell &amp; Partners Australia Pty L</v>
      </c>
      <c r="Y100" t="str">
        <f>"105 York Street"</f>
        <v>105 York Street</v>
      </c>
      <c r="Z100" t="str">
        <f>"South Melbourne"</f>
        <v>South Melbourne</v>
      </c>
      <c r="AA100" t="str">
        <f>"3205"</f>
        <v>3205</v>
      </c>
      <c r="AB100" t="str">
        <f t="shared" si="38"/>
        <v>Australia</v>
      </c>
      <c r="AC100" t="str">
        <f t="shared" si="39"/>
        <v>No</v>
      </c>
      <c r="AD100" t="str">
        <f>"44123609629"</f>
        <v>44123609629</v>
      </c>
      <c r="AE100" t="str">
        <f t="shared" si="43"/>
        <v>ADMIN OFFICER</v>
      </c>
      <c r="AF100" t="str">
        <f t="shared" si="26"/>
        <v>(02) 6271 1000</v>
      </c>
      <c r="AG100" t="str">
        <f>""</f>
        <v/>
      </c>
      <c r="AH100" t="str">
        <f>""</f>
        <v/>
      </c>
      <c r="AI100" t="str">
        <f t="shared" si="46"/>
        <v>CORPORATE Corporate</v>
      </c>
      <c r="AJ100" t="str">
        <f t="shared" si="37"/>
        <v>2603</v>
      </c>
    </row>
    <row r="101" spans="1:36" x14ac:dyDescent="0.25">
      <c r="A101" t="str">
        <f t="shared" si="34"/>
        <v>Department of Communications</v>
      </c>
      <c r="B101" t="str">
        <f>""</f>
        <v/>
      </c>
      <c r="C101" t="str">
        <f>"CN2440272"</f>
        <v>CN2440272</v>
      </c>
      <c r="D101" t="str">
        <f t="shared" si="44"/>
        <v>Thomas Lonsdale</v>
      </c>
      <c r="E101" s="44">
        <v>41843.575694444444</v>
      </c>
      <c r="F101" t="s">
        <v>2508</v>
      </c>
      <c r="G101" t="str">
        <f t="shared" si="35"/>
        <v>published</v>
      </c>
      <c r="H101" s="45">
        <v>41827</v>
      </c>
      <c r="I101" s="45">
        <v>41883</v>
      </c>
      <c r="J101" s="46">
        <v>15000</v>
      </c>
      <c r="K101" t="s">
        <v>1480</v>
      </c>
      <c r="L101" t="str">
        <f>"0004604602"</f>
        <v>0004604602</v>
      </c>
      <c r="M101" t="str">
        <f>"Information technology consultation services"</f>
        <v>Information technology consultation services</v>
      </c>
      <c r="N101" t="str">
        <f>"Limited tender"</f>
        <v>Limited tender</v>
      </c>
      <c r="O101" t="str">
        <f>""</f>
        <v/>
      </c>
      <c r="Q101" t="str">
        <f t="shared" si="40"/>
        <v>No</v>
      </c>
      <c r="R101" t="str">
        <f>""</f>
        <v/>
      </c>
      <c r="S101" t="str">
        <f t="shared" si="41"/>
        <v>No</v>
      </c>
      <c r="T101" t="str">
        <f>""</f>
        <v/>
      </c>
      <c r="U101" t="str">
        <f t="shared" si="45"/>
        <v>No</v>
      </c>
      <c r="V101" t="str">
        <f>""</f>
        <v/>
      </c>
      <c r="X101" t="str">
        <f>"Excelerated Consulting Pty Ltd"</f>
        <v>Excelerated Consulting Pty Ltd</v>
      </c>
      <c r="Y101" t="str">
        <f>"PO Box 4188"</f>
        <v>PO Box 4188</v>
      </c>
      <c r="Z101" t="str">
        <f>"Manuka"</f>
        <v>Manuka</v>
      </c>
      <c r="AA101" t="str">
        <f>"2603"</f>
        <v>2603</v>
      </c>
      <c r="AB101" t="str">
        <f t="shared" si="38"/>
        <v>Australia</v>
      </c>
      <c r="AC101" t="str">
        <f t="shared" si="39"/>
        <v>No</v>
      </c>
      <c r="AD101" t="str">
        <f>"30082667776"</f>
        <v>30082667776</v>
      </c>
      <c r="AE101" t="str">
        <f t="shared" si="43"/>
        <v>ADMIN OFFICER</v>
      </c>
      <c r="AF101" t="str">
        <f t="shared" si="26"/>
        <v>(02) 6271 1000</v>
      </c>
      <c r="AG101" t="str">
        <f>""</f>
        <v/>
      </c>
      <c r="AH101" t="str">
        <f>""</f>
        <v/>
      </c>
      <c r="AI101" t="str">
        <f t="shared" si="46"/>
        <v>CORPORATE Corporate</v>
      </c>
      <c r="AJ101" t="str">
        <f t="shared" si="37"/>
        <v>2603</v>
      </c>
    </row>
    <row r="102" spans="1:36" x14ac:dyDescent="0.25">
      <c r="A102" t="str">
        <f t="shared" si="34"/>
        <v>Department of Communications</v>
      </c>
      <c r="B102" t="str">
        <f>""</f>
        <v/>
      </c>
      <c r="C102" t="str">
        <f>"CN2440282"</f>
        <v>CN2440282</v>
      </c>
      <c r="D102" t="str">
        <f t="shared" si="44"/>
        <v>Thomas Lonsdale</v>
      </c>
      <c r="E102" s="44">
        <v>41843.575694444444</v>
      </c>
      <c r="F102" t="s">
        <v>2508</v>
      </c>
      <c r="G102" t="str">
        <f t="shared" si="35"/>
        <v>published</v>
      </c>
      <c r="H102" s="45">
        <v>41821</v>
      </c>
      <c r="I102" s="45">
        <v>42185</v>
      </c>
      <c r="J102" s="46">
        <v>20000</v>
      </c>
      <c r="K102" t="s">
        <v>2521</v>
      </c>
      <c r="L102" t="str">
        <f>"0004604603"</f>
        <v>0004604603</v>
      </c>
      <c r="M102" t="str">
        <f>"Postal and small parcel and courier services"</f>
        <v>Postal and small parcel and courier services</v>
      </c>
      <c r="N102" t="str">
        <f>"Limited tender"</f>
        <v>Limited tender</v>
      </c>
      <c r="O102" t="str">
        <f>""</f>
        <v/>
      </c>
      <c r="Q102" t="str">
        <f t="shared" si="40"/>
        <v>No</v>
      </c>
      <c r="R102" t="str">
        <f>""</f>
        <v/>
      </c>
      <c r="S102" t="str">
        <f t="shared" si="41"/>
        <v>No</v>
      </c>
      <c r="T102" t="str">
        <f>""</f>
        <v/>
      </c>
      <c r="U102" t="str">
        <f t="shared" si="45"/>
        <v>No</v>
      </c>
      <c r="V102" t="str">
        <f>""</f>
        <v/>
      </c>
      <c r="X102" t="str">
        <f>"Australia Post 227141"</f>
        <v>Australia Post 227141</v>
      </c>
      <c r="Y102" t="str">
        <f>"219-241 Cleveland Street"</f>
        <v>219-241 Cleveland Street</v>
      </c>
      <c r="Z102" t="str">
        <f>"Strawberry Hills"</f>
        <v>Strawberry Hills</v>
      </c>
      <c r="AA102" t="str">
        <f>"1427"</f>
        <v>1427</v>
      </c>
      <c r="AB102" t="str">
        <f t="shared" si="38"/>
        <v>Australia</v>
      </c>
      <c r="AC102" t="str">
        <f t="shared" si="39"/>
        <v>No</v>
      </c>
      <c r="AD102" t="str">
        <f>"28864970579"</f>
        <v>28864970579</v>
      </c>
      <c r="AE102" t="str">
        <f t="shared" si="43"/>
        <v>ADMIN OFFICER</v>
      </c>
      <c r="AF102" t="str">
        <f t="shared" si="26"/>
        <v>(02) 6271 1000</v>
      </c>
      <c r="AG102" t="str">
        <f>""</f>
        <v/>
      </c>
      <c r="AH102" t="str">
        <f>""</f>
        <v/>
      </c>
      <c r="AI102" t="str">
        <f t="shared" si="46"/>
        <v>CORPORATE Corporate</v>
      </c>
      <c r="AJ102" t="str">
        <f t="shared" si="37"/>
        <v>2603</v>
      </c>
    </row>
    <row r="103" spans="1:36" x14ac:dyDescent="0.25">
      <c r="A103" t="str">
        <f t="shared" si="34"/>
        <v>Department of Communications</v>
      </c>
      <c r="B103" t="str">
        <f>""</f>
        <v/>
      </c>
      <c r="C103" t="str">
        <f>"CN2440292"</f>
        <v>CN2440292</v>
      </c>
      <c r="D103" t="str">
        <f t="shared" si="44"/>
        <v>Thomas Lonsdale</v>
      </c>
      <c r="E103" s="44">
        <v>41843.575694444444</v>
      </c>
      <c r="F103" t="s">
        <v>2508</v>
      </c>
      <c r="G103" t="str">
        <f t="shared" si="35"/>
        <v>published</v>
      </c>
      <c r="H103" s="45">
        <v>41821</v>
      </c>
      <c r="I103" s="45">
        <v>42185</v>
      </c>
      <c r="J103" s="46">
        <v>20000</v>
      </c>
      <c r="K103" t="s">
        <v>1483</v>
      </c>
      <c r="L103" t="str">
        <f>"0004604604"</f>
        <v>0004604604</v>
      </c>
      <c r="M103" t="str">
        <f>"Postal and small parcel and courier services"</f>
        <v>Postal and small parcel and courier services</v>
      </c>
      <c r="N103" t="str">
        <f>"Limited tender"</f>
        <v>Limited tender</v>
      </c>
      <c r="O103" t="str">
        <f>""</f>
        <v/>
      </c>
      <c r="Q103" t="str">
        <f t="shared" si="40"/>
        <v>No</v>
      </c>
      <c r="R103" t="str">
        <f>""</f>
        <v/>
      </c>
      <c r="S103" t="str">
        <f t="shared" si="41"/>
        <v>No</v>
      </c>
      <c r="T103" t="str">
        <f>""</f>
        <v/>
      </c>
      <c r="U103" t="str">
        <f t="shared" si="45"/>
        <v>No</v>
      </c>
      <c r="V103" t="str">
        <f>""</f>
        <v/>
      </c>
      <c r="X103" t="str">
        <f>"AUSTRALIA POST 199778"</f>
        <v>AUSTRALIA POST 199778</v>
      </c>
      <c r="Y103" t="str">
        <f>"219-241 Cleveland Street"</f>
        <v>219-241 Cleveland Street</v>
      </c>
      <c r="Z103" t="str">
        <f>"Strawberry Hills"</f>
        <v>Strawberry Hills</v>
      </c>
      <c r="AA103" t="str">
        <f>"1427"</f>
        <v>1427</v>
      </c>
      <c r="AB103" t="str">
        <f t="shared" si="38"/>
        <v>Australia</v>
      </c>
      <c r="AC103" t="str">
        <f t="shared" si="39"/>
        <v>No</v>
      </c>
      <c r="AD103" t="str">
        <f>"28864970579"</f>
        <v>28864970579</v>
      </c>
      <c r="AE103" t="str">
        <f t="shared" si="43"/>
        <v>ADMIN OFFICER</v>
      </c>
      <c r="AF103" t="str">
        <f t="shared" si="26"/>
        <v>(02) 6271 1000</v>
      </c>
      <c r="AG103" t="str">
        <f>""</f>
        <v/>
      </c>
      <c r="AH103" t="str">
        <f>""</f>
        <v/>
      </c>
      <c r="AI103" t="str">
        <f t="shared" si="46"/>
        <v>CORPORATE Corporate</v>
      </c>
      <c r="AJ103" t="str">
        <f t="shared" si="37"/>
        <v>2603</v>
      </c>
    </row>
    <row r="104" spans="1:36" x14ac:dyDescent="0.25">
      <c r="A104" t="str">
        <f t="shared" si="34"/>
        <v>Department of Communications</v>
      </c>
      <c r="B104" t="str">
        <f>""</f>
        <v/>
      </c>
      <c r="C104" t="str">
        <f>"CN2440302"</f>
        <v>CN2440302</v>
      </c>
      <c r="D104" t="str">
        <f t="shared" si="44"/>
        <v>Thomas Lonsdale</v>
      </c>
      <c r="E104" s="44">
        <v>41843.575694444444</v>
      </c>
      <c r="F104" t="s">
        <v>2508</v>
      </c>
      <c r="G104" t="str">
        <f t="shared" si="35"/>
        <v>published</v>
      </c>
      <c r="H104" s="45">
        <v>41829</v>
      </c>
      <c r="I104" s="45">
        <v>42185</v>
      </c>
      <c r="J104" s="46">
        <v>35000</v>
      </c>
      <c r="K104" t="s">
        <v>1487</v>
      </c>
      <c r="L104" t="str">
        <f>"0004604606"</f>
        <v>0004604606</v>
      </c>
      <c r="M104" t="str">
        <f>"Components for information technology or broadcasting or telecommunications"</f>
        <v>Components for information technology or broadcasting or telecommunications</v>
      </c>
      <c r="N104" t="str">
        <f>"Open tender"</f>
        <v>Open tender</v>
      </c>
      <c r="O104" t="str">
        <f>"FIN10/AGI002"</f>
        <v>FIN10/AGI002</v>
      </c>
      <c r="Q104" t="str">
        <f t="shared" si="40"/>
        <v>No</v>
      </c>
      <c r="R104" t="str">
        <f>""</f>
        <v/>
      </c>
      <c r="S104" t="str">
        <f t="shared" si="41"/>
        <v>No</v>
      </c>
      <c r="T104" t="str">
        <f>""</f>
        <v/>
      </c>
      <c r="U104" t="str">
        <f t="shared" si="45"/>
        <v>No</v>
      </c>
      <c r="V104" t="str">
        <f>""</f>
        <v/>
      </c>
      <c r="X104" t="str">
        <f>"Optus Billing Services Pty Ltd"</f>
        <v>Optus Billing Services Pty Ltd</v>
      </c>
      <c r="Y104" t="str">
        <f>"101 Miller Street"</f>
        <v>101 Miller Street</v>
      </c>
      <c r="Z104" t="str">
        <f>"NORTH SYDNEY"</f>
        <v>NORTH SYDNEY</v>
      </c>
      <c r="AA104" t="str">
        <f>"2060"</f>
        <v>2060</v>
      </c>
      <c r="AB104" t="str">
        <f t="shared" si="38"/>
        <v>Australia</v>
      </c>
      <c r="AC104" t="str">
        <f t="shared" si="39"/>
        <v>No</v>
      </c>
      <c r="AD104" t="str">
        <f>"95088011536"</f>
        <v>95088011536</v>
      </c>
      <c r="AE104" t="str">
        <f t="shared" si="43"/>
        <v>ADMIN OFFICER</v>
      </c>
      <c r="AF104" t="str">
        <f t="shared" si="26"/>
        <v>(02) 6271 1000</v>
      </c>
      <c r="AG104" t="str">
        <f>""</f>
        <v/>
      </c>
      <c r="AH104" t="str">
        <f>""</f>
        <v/>
      </c>
      <c r="AI104" t="str">
        <f t="shared" si="46"/>
        <v>CORPORATE Corporate</v>
      </c>
      <c r="AJ104" t="str">
        <f t="shared" si="37"/>
        <v>2603</v>
      </c>
    </row>
    <row r="105" spans="1:36" x14ac:dyDescent="0.25">
      <c r="A105" t="str">
        <f t="shared" si="34"/>
        <v>Department of Communications</v>
      </c>
      <c r="B105" t="str">
        <f>""</f>
        <v/>
      </c>
      <c r="C105" t="str">
        <f>"CN2440312"</f>
        <v>CN2440312</v>
      </c>
      <c r="D105" t="str">
        <f t="shared" si="44"/>
        <v>Thomas Lonsdale</v>
      </c>
      <c r="E105" s="44">
        <v>41843.575694444444</v>
      </c>
      <c r="F105" t="s">
        <v>2508</v>
      </c>
      <c r="G105" t="str">
        <f t="shared" si="35"/>
        <v>published</v>
      </c>
      <c r="H105" s="45">
        <v>41830</v>
      </c>
      <c r="I105" s="45">
        <v>41852</v>
      </c>
      <c r="J105" s="46">
        <v>146014.12</v>
      </c>
      <c r="K105" t="s">
        <v>1489</v>
      </c>
      <c r="L105" t="str">
        <f>"0004604607"</f>
        <v>0004604607</v>
      </c>
      <c r="M105" t="str">
        <f>"Software"</f>
        <v>Software</v>
      </c>
      <c r="N105" t="str">
        <f>"Open tender"</f>
        <v>Open tender</v>
      </c>
      <c r="O105" t="str">
        <f>"DCON/09/67"</f>
        <v>DCON/09/67</v>
      </c>
      <c r="P105" t="str">
        <f>"SON269193"</f>
        <v>SON269193</v>
      </c>
      <c r="Q105" t="str">
        <f t="shared" si="40"/>
        <v>No</v>
      </c>
      <c r="R105" t="str">
        <f>""</f>
        <v/>
      </c>
      <c r="S105" t="str">
        <f t="shared" si="41"/>
        <v>No</v>
      </c>
      <c r="T105" t="str">
        <f>""</f>
        <v/>
      </c>
      <c r="U105" t="str">
        <f t="shared" si="45"/>
        <v>No</v>
      </c>
      <c r="V105" t="str">
        <f>""</f>
        <v/>
      </c>
      <c r="X105" t="str">
        <f>"ASG Group Limited"</f>
        <v>ASG Group Limited</v>
      </c>
      <c r="Y105" t="str">
        <f>"Level 1, 267 Georges Terrace"</f>
        <v>Level 1, 267 Georges Terrace</v>
      </c>
      <c r="Z105" t="str">
        <f>"Perth"</f>
        <v>Perth</v>
      </c>
      <c r="AA105" t="str">
        <f>"6000"</f>
        <v>6000</v>
      </c>
      <c r="AB105" t="str">
        <f t="shared" si="38"/>
        <v>Australia</v>
      </c>
      <c r="AC105" t="str">
        <f t="shared" si="39"/>
        <v>No</v>
      </c>
      <c r="AD105" t="str">
        <f>"57070045117"</f>
        <v>57070045117</v>
      </c>
      <c r="AE105" t="str">
        <f t="shared" si="43"/>
        <v>ADMIN OFFICER</v>
      </c>
      <c r="AF105" t="str">
        <f t="shared" ref="AF105:AF168" si="47">"(02) 6271 1000"</f>
        <v>(02) 6271 1000</v>
      </c>
      <c r="AG105" t="str">
        <f>""</f>
        <v/>
      </c>
      <c r="AH105" t="str">
        <f>""</f>
        <v/>
      </c>
      <c r="AI105" t="str">
        <f t="shared" si="46"/>
        <v>CORPORATE Corporate</v>
      </c>
      <c r="AJ105" t="str">
        <f t="shared" si="37"/>
        <v>2603</v>
      </c>
    </row>
    <row r="106" spans="1:36" x14ac:dyDescent="0.25">
      <c r="A106" t="str">
        <f t="shared" si="34"/>
        <v>Department of Communications</v>
      </c>
      <c r="B106" t="str">
        <f>""</f>
        <v/>
      </c>
      <c r="C106" t="str">
        <f>"CN2440322"</f>
        <v>CN2440322</v>
      </c>
      <c r="D106" t="str">
        <f t="shared" si="44"/>
        <v>Thomas Lonsdale</v>
      </c>
      <c r="E106" s="44">
        <v>41843.576388888891</v>
      </c>
      <c r="F106" t="s">
        <v>2508</v>
      </c>
      <c r="G106" t="str">
        <f t="shared" si="35"/>
        <v>published</v>
      </c>
      <c r="H106" s="45">
        <v>41827</v>
      </c>
      <c r="I106" s="45">
        <v>42185</v>
      </c>
      <c r="J106" s="46">
        <v>13100</v>
      </c>
      <c r="K106" t="s">
        <v>1493</v>
      </c>
      <c r="L106" t="str">
        <f>"0004604608"</f>
        <v>0004604608</v>
      </c>
      <c r="M106" t="str">
        <f>"Lease and rental of property or building"</f>
        <v>Lease and rental of property or building</v>
      </c>
      <c r="N106" t="str">
        <f>"Limited tender"</f>
        <v>Limited tender</v>
      </c>
      <c r="O106" t="str">
        <f>""</f>
        <v/>
      </c>
      <c r="Q106" t="str">
        <f t="shared" si="40"/>
        <v>No</v>
      </c>
      <c r="R106" t="str">
        <f>""</f>
        <v/>
      </c>
      <c r="S106" t="str">
        <f t="shared" si="41"/>
        <v>No</v>
      </c>
      <c r="T106" t="str">
        <f>""</f>
        <v/>
      </c>
      <c r="U106" t="str">
        <f t="shared" si="45"/>
        <v>No</v>
      </c>
      <c r="V106" t="str">
        <f>""</f>
        <v/>
      </c>
      <c r="X106" t="str">
        <f>"Wilson Parking"</f>
        <v>Wilson Parking</v>
      </c>
      <c r="Y106" t="str">
        <f>"PO Box 14185"</f>
        <v>PO Box 14185</v>
      </c>
      <c r="Z106" t="str">
        <f>"Melbourne"</f>
        <v>Melbourne</v>
      </c>
      <c r="AA106" t="str">
        <f>"8001"</f>
        <v>8001</v>
      </c>
      <c r="AB106" t="str">
        <f t="shared" si="38"/>
        <v>Australia</v>
      </c>
      <c r="AC106" t="str">
        <f t="shared" si="39"/>
        <v>No</v>
      </c>
      <c r="AD106" t="str">
        <f>"67052475911"</f>
        <v>67052475911</v>
      </c>
      <c r="AE106" t="str">
        <f t="shared" si="43"/>
        <v>ADMIN OFFICER</v>
      </c>
      <c r="AF106" t="str">
        <f t="shared" si="47"/>
        <v>(02) 6271 1000</v>
      </c>
      <c r="AG106" t="str">
        <f>""</f>
        <v/>
      </c>
      <c r="AH106" t="str">
        <f>""</f>
        <v/>
      </c>
      <c r="AI106" t="str">
        <f t="shared" si="46"/>
        <v>CORPORATE Corporate</v>
      </c>
      <c r="AJ106" t="str">
        <f t="shared" si="37"/>
        <v>2603</v>
      </c>
    </row>
    <row r="107" spans="1:36" x14ac:dyDescent="0.25">
      <c r="A107" t="str">
        <f t="shared" si="34"/>
        <v>Department of Communications</v>
      </c>
      <c r="B107" t="str">
        <f>""</f>
        <v/>
      </c>
      <c r="C107" t="str">
        <f>"CN2440332"</f>
        <v>CN2440332</v>
      </c>
      <c r="D107" t="str">
        <f t="shared" si="44"/>
        <v>Thomas Lonsdale</v>
      </c>
      <c r="E107" s="44">
        <v>41843.576388888891</v>
      </c>
      <c r="F107" t="s">
        <v>2508</v>
      </c>
      <c r="G107" t="str">
        <f t="shared" si="35"/>
        <v>published</v>
      </c>
      <c r="H107" s="45">
        <v>41821</v>
      </c>
      <c r="I107" s="45">
        <v>42916</v>
      </c>
      <c r="J107" s="46">
        <v>1324400</v>
      </c>
      <c r="K107" t="s">
        <v>1495</v>
      </c>
      <c r="L107" t="str">
        <f>"0004604609"</f>
        <v>0004604609</v>
      </c>
      <c r="M107" t="str">
        <f>"Lease and rental of property or building"</f>
        <v>Lease and rental of property or building</v>
      </c>
      <c r="N107" t="str">
        <f>"Limited tender"</f>
        <v>Limited tender</v>
      </c>
      <c r="O107" t="str">
        <f>""</f>
        <v/>
      </c>
      <c r="Q107" t="str">
        <f t="shared" si="40"/>
        <v>No</v>
      </c>
      <c r="R107" t="str">
        <f>""</f>
        <v/>
      </c>
      <c r="S107" t="str">
        <f t="shared" si="41"/>
        <v>No</v>
      </c>
      <c r="T107" t="str">
        <f>""</f>
        <v/>
      </c>
      <c r="U107" t="str">
        <f t="shared" si="45"/>
        <v>No</v>
      </c>
      <c r="V107" t="str">
        <f>""</f>
        <v/>
      </c>
      <c r="X107" t="str">
        <f>"Investa Asset Management Pty Ltd"</f>
        <v>Investa Asset Management Pty Ltd</v>
      </c>
      <c r="Y107" t="str">
        <f>"L6 Deutsche Bank Pl, 126 Phillip St"</f>
        <v>L6 Deutsche Bank Pl, 126 Phillip St</v>
      </c>
      <c r="Z107" t="str">
        <f>"Sydney"</f>
        <v>Sydney</v>
      </c>
      <c r="AA107" t="str">
        <f>"2000"</f>
        <v>2000</v>
      </c>
      <c r="AB107" t="str">
        <f t="shared" si="38"/>
        <v>Australia</v>
      </c>
      <c r="AC107" t="str">
        <f t="shared" si="39"/>
        <v>No</v>
      </c>
      <c r="AD107" t="str">
        <f>"16089301922"</f>
        <v>16089301922</v>
      </c>
      <c r="AE107" t="str">
        <f t="shared" si="43"/>
        <v>ADMIN OFFICER</v>
      </c>
      <c r="AF107" t="str">
        <f t="shared" si="47"/>
        <v>(02) 6271 1000</v>
      </c>
      <c r="AG107" t="str">
        <f>""</f>
        <v/>
      </c>
      <c r="AH107" t="str">
        <f>""</f>
        <v/>
      </c>
      <c r="AI107" t="str">
        <f t="shared" si="46"/>
        <v>CORPORATE Corporate</v>
      </c>
      <c r="AJ107" t="str">
        <f t="shared" ref="AJ107:AJ138" si="48">"2603"</f>
        <v>2603</v>
      </c>
    </row>
    <row r="108" spans="1:36" x14ac:dyDescent="0.25">
      <c r="A108" t="str">
        <f t="shared" si="34"/>
        <v>Department of Communications</v>
      </c>
      <c r="B108" t="str">
        <f>""</f>
        <v/>
      </c>
      <c r="C108" t="str">
        <f>"CN2548862"</f>
        <v>CN2548862</v>
      </c>
      <c r="D108" t="str">
        <f>"Anna Binos"</f>
        <v>Anna Binos</v>
      </c>
      <c r="E108" s="44">
        <v>41886.648611111108</v>
      </c>
      <c r="F108" t="s">
        <v>2508</v>
      </c>
      <c r="G108" t="str">
        <f t="shared" si="35"/>
        <v>published</v>
      </c>
      <c r="H108" s="45">
        <v>41821</v>
      </c>
      <c r="I108" s="45">
        <v>42185</v>
      </c>
      <c r="J108" s="46">
        <v>21400</v>
      </c>
      <c r="K108" t="s">
        <v>1426</v>
      </c>
      <c r="L108" t="str">
        <f>"0004604610"</f>
        <v>0004604610</v>
      </c>
      <c r="M108" t="str">
        <f>"Software"</f>
        <v>Software</v>
      </c>
      <c r="N108" t="str">
        <f>"Limited tender"</f>
        <v>Limited tender</v>
      </c>
      <c r="O108" t="str">
        <f>"DCON/14/28"</f>
        <v>DCON/14/28</v>
      </c>
      <c r="Q108" t="str">
        <f t="shared" si="40"/>
        <v>No</v>
      </c>
      <c r="R108" t="str">
        <f>""</f>
        <v/>
      </c>
      <c r="S108" t="str">
        <f t="shared" si="41"/>
        <v>No</v>
      </c>
      <c r="T108" t="str">
        <f>""</f>
        <v/>
      </c>
      <c r="U108" t="str">
        <f t="shared" si="45"/>
        <v>No</v>
      </c>
      <c r="V108" t="str">
        <f>""</f>
        <v/>
      </c>
      <c r="X108" t="str">
        <f>"Squiz Australia Pty Ltd"</f>
        <v>Squiz Australia Pty Ltd</v>
      </c>
      <c r="Y108" t="str">
        <f>"Unit 3, 19 Napier Close"</f>
        <v>Unit 3, 19 Napier Close</v>
      </c>
      <c r="Z108" t="str">
        <f>"Deakin"</f>
        <v>Deakin</v>
      </c>
      <c r="AA108" t="str">
        <f>"2600"</f>
        <v>2600</v>
      </c>
      <c r="AB108" t="str">
        <f t="shared" si="38"/>
        <v>Australia</v>
      </c>
      <c r="AC108" t="str">
        <f t="shared" si="39"/>
        <v>No</v>
      </c>
      <c r="AD108" t="str">
        <f>"53131581247"</f>
        <v>53131581247</v>
      </c>
      <c r="AE108" t="str">
        <f t="shared" si="43"/>
        <v>ADMIN OFFICER</v>
      </c>
      <c r="AF108" t="str">
        <f t="shared" si="47"/>
        <v>(02) 6271 1000</v>
      </c>
      <c r="AG108" t="str">
        <f>""</f>
        <v/>
      </c>
      <c r="AH108" t="str">
        <f>""</f>
        <v/>
      </c>
      <c r="AI108" t="str">
        <f>"CORPORATE TREASURY [OLD] Corporate Treasury"</f>
        <v>CORPORATE TREASURY [OLD] Corporate Treasury</v>
      </c>
      <c r="AJ108" t="str">
        <f t="shared" si="48"/>
        <v>2603</v>
      </c>
    </row>
    <row r="109" spans="1:36" x14ac:dyDescent="0.25">
      <c r="A109" t="str">
        <f t="shared" si="34"/>
        <v>Department of Communications</v>
      </c>
      <c r="B109" t="str">
        <f>""</f>
        <v/>
      </c>
      <c r="C109" t="str">
        <f>"CN2440342"</f>
        <v>CN2440342</v>
      </c>
      <c r="D109" t="str">
        <f>"Thomas Lonsdale"</f>
        <v>Thomas Lonsdale</v>
      </c>
      <c r="E109" s="44">
        <v>41843.576388888891</v>
      </c>
      <c r="F109" t="s">
        <v>2508</v>
      </c>
      <c r="G109" t="str">
        <f t="shared" si="35"/>
        <v>published</v>
      </c>
      <c r="H109" s="45">
        <v>41821</v>
      </c>
      <c r="I109" s="45">
        <v>42185</v>
      </c>
      <c r="J109" s="46">
        <v>390515</v>
      </c>
      <c r="K109" t="s">
        <v>1426</v>
      </c>
      <c r="L109" t="str">
        <f>"0004604610"</f>
        <v>0004604610</v>
      </c>
      <c r="M109" t="str">
        <f>"Software"</f>
        <v>Software</v>
      </c>
      <c r="N109" t="str">
        <f>"Limited tender"</f>
        <v>Limited tender</v>
      </c>
      <c r="O109" t="str">
        <f>"DCON/14/28"</f>
        <v>DCON/14/28</v>
      </c>
      <c r="Q109" t="str">
        <f t="shared" si="40"/>
        <v>No</v>
      </c>
      <c r="R109" t="str">
        <f>""</f>
        <v/>
      </c>
      <c r="S109" t="str">
        <f t="shared" si="41"/>
        <v>No</v>
      </c>
      <c r="T109" t="str">
        <f>""</f>
        <v/>
      </c>
      <c r="U109" t="str">
        <f t="shared" si="45"/>
        <v>No</v>
      </c>
      <c r="V109" t="str">
        <f>""</f>
        <v/>
      </c>
      <c r="X109" t="str">
        <f>"Squiz Australia Pty Ltd"</f>
        <v>Squiz Australia Pty Ltd</v>
      </c>
      <c r="Y109" t="str">
        <f>"Unit 3, 19 Napier Close"</f>
        <v>Unit 3, 19 Napier Close</v>
      </c>
      <c r="Z109" t="str">
        <f>"Deakin"</f>
        <v>Deakin</v>
      </c>
      <c r="AA109" t="str">
        <f>"2600"</f>
        <v>2600</v>
      </c>
      <c r="AB109" t="str">
        <f t="shared" si="38"/>
        <v>Australia</v>
      </c>
      <c r="AC109" t="str">
        <f t="shared" si="39"/>
        <v>No</v>
      </c>
      <c r="AD109" t="str">
        <f>"53131581247"</f>
        <v>53131581247</v>
      </c>
      <c r="AE109" t="str">
        <f t="shared" si="43"/>
        <v>ADMIN OFFICER</v>
      </c>
      <c r="AF109" t="str">
        <f t="shared" si="47"/>
        <v>(02) 6271 1000</v>
      </c>
      <c r="AG109" t="str">
        <f>""</f>
        <v/>
      </c>
      <c r="AH109" t="str">
        <f>""</f>
        <v/>
      </c>
      <c r="AI109" t="str">
        <f>"CORPORATE Corporate"</f>
        <v>CORPORATE Corporate</v>
      </c>
      <c r="AJ109" t="str">
        <f t="shared" si="48"/>
        <v>2603</v>
      </c>
    </row>
    <row r="110" spans="1:36" x14ac:dyDescent="0.25">
      <c r="A110" t="str">
        <f t="shared" si="34"/>
        <v>Department of Communications</v>
      </c>
      <c r="B110" t="str">
        <f>""</f>
        <v/>
      </c>
      <c r="C110" t="str">
        <f>"CN2440352"</f>
        <v>CN2440352</v>
      </c>
      <c r="D110" t="str">
        <f>"Thomas Lonsdale"</f>
        <v>Thomas Lonsdale</v>
      </c>
      <c r="E110" s="44">
        <v>41843.576388888891</v>
      </c>
      <c r="F110" t="s">
        <v>2508</v>
      </c>
      <c r="G110" t="str">
        <f t="shared" si="35"/>
        <v>published</v>
      </c>
      <c r="H110" s="45">
        <v>41821</v>
      </c>
      <c r="I110" s="45">
        <v>42185</v>
      </c>
      <c r="J110" s="46">
        <v>82953</v>
      </c>
      <c r="K110" t="s">
        <v>2373</v>
      </c>
      <c r="L110" t="str">
        <f>"0004604611"</f>
        <v>0004604611</v>
      </c>
      <c r="M110" t="str">
        <f>"Electronic reference material"</f>
        <v>Electronic reference material</v>
      </c>
      <c r="N110" t="str">
        <f>"Limited tender"</f>
        <v>Limited tender</v>
      </c>
      <c r="O110" t="str">
        <f>""</f>
        <v/>
      </c>
      <c r="Q110" t="str">
        <f t="shared" si="40"/>
        <v>No</v>
      </c>
      <c r="R110" t="str">
        <f>""</f>
        <v/>
      </c>
      <c r="S110" t="str">
        <f t="shared" si="41"/>
        <v>No</v>
      </c>
      <c r="T110" t="str">
        <f>""</f>
        <v/>
      </c>
      <c r="U110" t="str">
        <f t="shared" si="45"/>
        <v>No</v>
      </c>
      <c r="V110" t="str">
        <f>""</f>
        <v/>
      </c>
      <c r="X110" t="str">
        <f>"OFFICE OF PARLIAMENTARY COUNSEL"</f>
        <v>OFFICE OF PARLIAMENTARY COUNSEL</v>
      </c>
      <c r="Y110" t="str">
        <f>"LOCKED BAG 30"</f>
        <v>LOCKED BAG 30</v>
      </c>
      <c r="Z110" t="str">
        <f>"KINGSTON"</f>
        <v>KINGSTON</v>
      </c>
      <c r="AA110" t="str">
        <f>"2604"</f>
        <v>2604</v>
      </c>
      <c r="AB110" t="str">
        <f t="shared" si="38"/>
        <v>Australia</v>
      </c>
      <c r="AC110" t="str">
        <f t="shared" si="39"/>
        <v>No</v>
      </c>
      <c r="AD110" t="str">
        <f>"41425630817"</f>
        <v>41425630817</v>
      </c>
      <c r="AE110" t="str">
        <f t="shared" si="43"/>
        <v>ADMIN OFFICER</v>
      </c>
      <c r="AF110" t="str">
        <f t="shared" si="47"/>
        <v>(02) 6271 1000</v>
      </c>
      <c r="AG110" t="str">
        <f>""</f>
        <v/>
      </c>
      <c r="AH110" t="str">
        <f>""</f>
        <v/>
      </c>
      <c r="AI110" t="str">
        <f>"LEGAL Legal"</f>
        <v>LEGAL Legal</v>
      </c>
      <c r="AJ110" t="str">
        <f t="shared" si="48"/>
        <v>2603</v>
      </c>
    </row>
    <row r="111" spans="1:36" x14ac:dyDescent="0.25">
      <c r="A111" t="str">
        <f t="shared" si="34"/>
        <v>Department of Communications</v>
      </c>
      <c r="B111" t="str">
        <f>""</f>
        <v/>
      </c>
      <c r="C111" t="str">
        <f>"CN2440362"</f>
        <v>CN2440362</v>
      </c>
      <c r="D111" t="str">
        <f>"Thomas Lonsdale"</f>
        <v>Thomas Lonsdale</v>
      </c>
      <c r="E111" s="44">
        <v>41843.576388888891</v>
      </c>
      <c r="F111" t="s">
        <v>2508</v>
      </c>
      <c r="G111" t="str">
        <f t="shared" si="35"/>
        <v>published</v>
      </c>
      <c r="H111" s="45">
        <v>41834</v>
      </c>
      <c r="I111" s="45">
        <v>42185</v>
      </c>
      <c r="J111" s="46">
        <v>316800</v>
      </c>
      <c r="K111" t="s">
        <v>1503</v>
      </c>
      <c r="L111" t="str">
        <f>"0004604614"</f>
        <v>0004604614</v>
      </c>
      <c r="M111" t="str">
        <f>"Software maintenance and support"</f>
        <v>Software maintenance and support</v>
      </c>
      <c r="N111" t="str">
        <f>"Open tender"</f>
        <v>Open tender</v>
      </c>
      <c r="O111" t="str">
        <f>"11/000006268"</f>
        <v>11/000006268</v>
      </c>
      <c r="P111" t="str">
        <f>"SON867801"</f>
        <v>SON867801</v>
      </c>
      <c r="Q111" t="str">
        <f t="shared" si="40"/>
        <v>No</v>
      </c>
      <c r="R111" t="str">
        <f>""</f>
        <v/>
      </c>
      <c r="S111" t="str">
        <f t="shared" si="41"/>
        <v>No</v>
      </c>
      <c r="T111" t="str">
        <f>""</f>
        <v/>
      </c>
      <c r="U111" t="str">
        <f t="shared" si="45"/>
        <v>No</v>
      </c>
      <c r="V111" t="str">
        <f>""</f>
        <v/>
      </c>
      <c r="X111" t="str">
        <f>"Omaha IT Services Pty Ltd"</f>
        <v>Omaha IT Services Pty Ltd</v>
      </c>
      <c r="Y111" t="str">
        <f>"PO Box 196"</f>
        <v>PO Box 196</v>
      </c>
      <c r="Z111" t="str">
        <f>"Calwell"</f>
        <v>Calwell</v>
      </c>
      <c r="AA111" t="str">
        <f>"2905"</f>
        <v>2905</v>
      </c>
      <c r="AB111" t="str">
        <f t="shared" si="38"/>
        <v>Australia</v>
      </c>
      <c r="AC111" t="str">
        <f t="shared" si="39"/>
        <v>No</v>
      </c>
      <c r="AD111" t="str">
        <f>"50050494196"</f>
        <v>50050494196</v>
      </c>
      <c r="AE111" t="str">
        <f t="shared" si="43"/>
        <v>ADMIN OFFICER</v>
      </c>
      <c r="AF111" t="str">
        <f t="shared" si="47"/>
        <v>(02) 6271 1000</v>
      </c>
      <c r="AG111" t="str">
        <f>""</f>
        <v/>
      </c>
      <c r="AH111" t="str">
        <f>""</f>
        <v/>
      </c>
      <c r="AI111" t="str">
        <f>"CORPORATE Corporate"</f>
        <v>CORPORATE Corporate</v>
      </c>
      <c r="AJ111" t="str">
        <f t="shared" si="48"/>
        <v>2603</v>
      </c>
    </row>
    <row r="112" spans="1:36" x14ac:dyDescent="0.25">
      <c r="A112" t="str">
        <f t="shared" si="34"/>
        <v>Department of Communications</v>
      </c>
      <c r="B112" t="str">
        <f>""</f>
        <v/>
      </c>
      <c r="C112" t="str">
        <f>"CN2440372"</f>
        <v>CN2440372</v>
      </c>
      <c r="D112" t="str">
        <f>"Thomas Lonsdale"</f>
        <v>Thomas Lonsdale</v>
      </c>
      <c r="E112" s="44">
        <v>41843.576388888891</v>
      </c>
      <c r="F112" t="s">
        <v>2508</v>
      </c>
      <c r="G112" t="str">
        <f t="shared" si="35"/>
        <v>published</v>
      </c>
      <c r="H112" s="45">
        <v>41834</v>
      </c>
      <c r="I112" s="45">
        <v>42185</v>
      </c>
      <c r="J112" s="46">
        <v>308000</v>
      </c>
      <c r="K112" t="s">
        <v>1506</v>
      </c>
      <c r="L112" t="str">
        <f>"0004604615"</f>
        <v>0004604615</v>
      </c>
      <c r="M112" t="str">
        <f>"Software maintenance and support"</f>
        <v>Software maintenance and support</v>
      </c>
      <c r="N112" t="str">
        <f>"Open tender"</f>
        <v>Open tender</v>
      </c>
      <c r="O112" t="str">
        <f>"11/000006268"</f>
        <v>11/000006268</v>
      </c>
      <c r="P112" t="str">
        <f>"SON867801"</f>
        <v>SON867801</v>
      </c>
      <c r="Q112" t="str">
        <f t="shared" si="40"/>
        <v>No</v>
      </c>
      <c r="R112" t="str">
        <f>""</f>
        <v/>
      </c>
      <c r="S112" t="str">
        <f t="shared" si="41"/>
        <v>No</v>
      </c>
      <c r="T112" t="str">
        <f>""</f>
        <v/>
      </c>
      <c r="U112" t="str">
        <f t="shared" si="45"/>
        <v>No</v>
      </c>
      <c r="V112" t="str">
        <f>""</f>
        <v/>
      </c>
      <c r="X112" t="str">
        <f>"Jacobs Australia"</f>
        <v>Jacobs Australia</v>
      </c>
      <c r="Y112" t="str">
        <f>"PO Box 1976"</f>
        <v>PO Box 1976</v>
      </c>
      <c r="Z112" t="str">
        <f>"Canberra"</f>
        <v>Canberra</v>
      </c>
      <c r="AA112" t="str">
        <f>"2601"</f>
        <v>2601</v>
      </c>
      <c r="AB112" t="str">
        <f t="shared" si="38"/>
        <v>Australia</v>
      </c>
      <c r="AC112" t="str">
        <f t="shared" si="39"/>
        <v>No</v>
      </c>
      <c r="AD112" t="str">
        <f>"12079749287"</f>
        <v>12079749287</v>
      </c>
      <c r="AE112" t="str">
        <f t="shared" si="43"/>
        <v>ADMIN OFFICER</v>
      </c>
      <c r="AF112" t="str">
        <f t="shared" si="47"/>
        <v>(02) 6271 1000</v>
      </c>
      <c r="AG112" t="str">
        <f>""</f>
        <v/>
      </c>
      <c r="AH112" t="str">
        <f>""</f>
        <v/>
      </c>
      <c r="AI112" t="str">
        <f>"CORPORATE Corporate"</f>
        <v>CORPORATE Corporate</v>
      </c>
      <c r="AJ112" t="str">
        <f t="shared" si="48"/>
        <v>2603</v>
      </c>
    </row>
    <row r="113" spans="1:36" x14ac:dyDescent="0.25">
      <c r="A113" t="str">
        <f t="shared" si="34"/>
        <v>Department of Communications</v>
      </c>
      <c r="B113" t="str">
        <f>""</f>
        <v/>
      </c>
      <c r="C113" t="str">
        <f>"CN2440382"</f>
        <v>CN2440382</v>
      </c>
      <c r="D113" t="str">
        <f>"Thomas Lonsdale"</f>
        <v>Thomas Lonsdale</v>
      </c>
      <c r="E113" s="44">
        <v>41843.576388888891</v>
      </c>
      <c r="F113" t="s">
        <v>2508</v>
      </c>
      <c r="G113" t="str">
        <f t="shared" si="35"/>
        <v>published</v>
      </c>
      <c r="H113" s="45">
        <v>41834</v>
      </c>
      <c r="I113" s="45">
        <v>41997</v>
      </c>
      <c r="J113" s="46">
        <v>165000</v>
      </c>
      <c r="K113" t="s">
        <v>1509</v>
      </c>
      <c r="L113" t="str">
        <f>"0004604616"</f>
        <v>0004604616</v>
      </c>
      <c r="M113" t="str">
        <f>"Software maintenance and support"</f>
        <v>Software maintenance and support</v>
      </c>
      <c r="N113" t="str">
        <f>"Open tender"</f>
        <v>Open tender</v>
      </c>
      <c r="O113" t="str">
        <f>"11/000006268"</f>
        <v>11/000006268</v>
      </c>
      <c r="P113" t="str">
        <f>"SON867801"</f>
        <v>SON867801</v>
      </c>
      <c r="Q113" t="str">
        <f t="shared" si="40"/>
        <v>No</v>
      </c>
      <c r="R113" t="str">
        <f>""</f>
        <v/>
      </c>
      <c r="S113" t="str">
        <f t="shared" si="41"/>
        <v>No</v>
      </c>
      <c r="T113" t="str">
        <f>""</f>
        <v/>
      </c>
      <c r="U113" t="str">
        <f t="shared" si="45"/>
        <v>No</v>
      </c>
      <c r="V113" t="str">
        <f>""</f>
        <v/>
      </c>
      <c r="X113" t="str">
        <f>"Finite Recruitment Pty Ltd"</f>
        <v>Finite Recruitment Pty Ltd</v>
      </c>
      <c r="Y113" t="str">
        <f>"264-278 George Street, Level 31"</f>
        <v>264-278 George Street, Level 31</v>
      </c>
      <c r="Z113" t="str">
        <f>"Canberra City"</f>
        <v>Canberra City</v>
      </c>
      <c r="AA113" t="str">
        <f>"2600"</f>
        <v>2600</v>
      </c>
      <c r="AB113" t="str">
        <f t="shared" si="38"/>
        <v>Australia</v>
      </c>
      <c r="AC113" t="str">
        <f t="shared" si="39"/>
        <v>No</v>
      </c>
      <c r="AD113" t="str">
        <f>"43085406300"</f>
        <v>43085406300</v>
      </c>
      <c r="AE113" t="str">
        <f t="shared" si="43"/>
        <v>ADMIN OFFICER</v>
      </c>
      <c r="AF113" t="str">
        <f t="shared" si="47"/>
        <v>(02) 6271 1000</v>
      </c>
      <c r="AG113" t="str">
        <f>""</f>
        <v/>
      </c>
      <c r="AH113" t="str">
        <f>""</f>
        <v/>
      </c>
      <c r="AI113" t="str">
        <f>"CORPORATE Corporate"</f>
        <v>CORPORATE Corporate</v>
      </c>
      <c r="AJ113" t="str">
        <f t="shared" si="48"/>
        <v>2603</v>
      </c>
    </row>
    <row r="114" spans="1:36" x14ac:dyDescent="0.25">
      <c r="A114" t="str">
        <f t="shared" si="34"/>
        <v>Department of Communications</v>
      </c>
      <c r="B114" t="str">
        <f>""</f>
        <v/>
      </c>
      <c r="C114" t="str">
        <f>"CN2885812"</f>
        <v>CN2885812</v>
      </c>
      <c r="D114" t="str">
        <f>"David Kenny"</f>
        <v>David Kenny</v>
      </c>
      <c r="E114" s="44">
        <v>42062.686111111114</v>
      </c>
      <c r="F114" t="s">
        <v>2508</v>
      </c>
      <c r="G114" t="str">
        <f t="shared" si="35"/>
        <v>published</v>
      </c>
      <c r="H114" s="45">
        <v>41834</v>
      </c>
      <c r="I114" s="45">
        <v>42185</v>
      </c>
      <c r="J114" s="46">
        <v>105600</v>
      </c>
      <c r="K114" t="s">
        <v>1509</v>
      </c>
      <c r="L114" t="str">
        <f>"0004604616"</f>
        <v>0004604616</v>
      </c>
      <c r="M114" t="str">
        <f>"Software maintenance and support"</f>
        <v>Software maintenance and support</v>
      </c>
      <c r="N114" t="str">
        <f>"Open tender"</f>
        <v>Open tender</v>
      </c>
      <c r="O114" t="str">
        <f>"11/000006268"</f>
        <v>11/000006268</v>
      </c>
      <c r="P114" t="str">
        <f>"SON867801"</f>
        <v>SON867801</v>
      </c>
      <c r="Q114" t="str">
        <f t="shared" si="40"/>
        <v>No</v>
      </c>
      <c r="R114" t="str">
        <f>""</f>
        <v/>
      </c>
      <c r="S114" t="str">
        <f t="shared" si="41"/>
        <v>No</v>
      </c>
      <c r="T114" t="str">
        <f>""</f>
        <v/>
      </c>
      <c r="U114" t="str">
        <f t="shared" si="45"/>
        <v>No</v>
      </c>
      <c r="V114" t="str">
        <f>""</f>
        <v/>
      </c>
      <c r="X114" t="str">
        <f>"Finite Recruitment Pty Ltd"</f>
        <v>Finite Recruitment Pty Ltd</v>
      </c>
      <c r="Y114" t="str">
        <f>"264-278 George Street, Level 31"</f>
        <v>264-278 George Street, Level 31</v>
      </c>
      <c r="Z114" t="str">
        <f>"Canberra City"</f>
        <v>Canberra City</v>
      </c>
      <c r="AA114" t="str">
        <f>"2600"</f>
        <v>2600</v>
      </c>
      <c r="AB114" t="str">
        <f t="shared" si="38"/>
        <v>Australia</v>
      </c>
      <c r="AC114" t="str">
        <f t="shared" si="39"/>
        <v>No</v>
      </c>
      <c r="AD114" t="str">
        <f>"43085406300"</f>
        <v>43085406300</v>
      </c>
      <c r="AE114" t="str">
        <f t="shared" ref="AE114:AE142" si="49">"ADMIN OFFICER"</f>
        <v>ADMIN OFFICER</v>
      </c>
      <c r="AF114" t="str">
        <f t="shared" si="47"/>
        <v>(02) 6271 1000</v>
      </c>
      <c r="AG114" t="str">
        <f>""</f>
        <v/>
      </c>
      <c r="AH114" t="str">
        <f>""</f>
        <v/>
      </c>
      <c r="AI114" t="str">
        <f>"CORPORATE TREASURY [OLD] Corporate Treasury"</f>
        <v>CORPORATE TREASURY [OLD] Corporate Treasury</v>
      </c>
      <c r="AJ114" t="str">
        <f t="shared" si="48"/>
        <v>2603</v>
      </c>
    </row>
    <row r="115" spans="1:36" x14ac:dyDescent="0.25">
      <c r="A115" t="str">
        <f t="shared" si="34"/>
        <v>Department of Communications</v>
      </c>
      <c r="B115" t="str">
        <f>""</f>
        <v/>
      </c>
      <c r="C115" t="str">
        <f>"CN2440392"</f>
        <v>CN2440392</v>
      </c>
      <c r="D115" t="str">
        <f>"Thomas Lonsdale"</f>
        <v>Thomas Lonsdale</v>
      </c>
      <c r="E115" s="44">
        <v>41843.57708333333</v>
      </c>
      <c r="F115" t="s">
        <v>2508</v>
      </c>
      <c r="G115" t="str">
        <f t="shared" si="35"/>
        <v>published</v>
      </c>
      <c r="H115" s="45">
        <v>41821</v>
      </c>
      <c r="I115" s="45">
        <v>42185</v>
      </c>
      <c r="J115" s="46">
        <v>1115543</v>
      </c>
      <c r="K115" t="s">
        <v>1514</v>
      </c>
      <c r="L115" t="str">
        <f>"0004604617"</f>
        <v>0004604617</v>
      </c>
      <c r="M115" t="str">
        <f>"Administrative fees or tax collection services"</f>
        <v>Administrative fees or tax collection services</v>
      </c>
      <c r="N115" t="str">
        <f>"Limited tender"</f>
        <v>Limited tender</v>
      </c>
      <c r="O115" t="str">
        <f>""</f>
        <v/>
      </c>
      <c r="Q115" t="str">
        <f t="shared" si="40"/>
        <v>No</v>
      </c>
      <c r="R115" t="str">
        <f>""</f>
        <v/>
      </c>
      <c r="S115" t="str">
        <f t="shared" si="41"/>
        <v>No</v>
      </c>
      <c r="T115" t="str">
        <f>""</f>
        <v/>
      </c>
      <c r="U115" t="str">
        <f t="shared" si="45"/>
        <v>No</v>
      </c>
      <c r="V115" t="str">
        <f>""</f>
        <v/>
      </c>
      <c r="X115" t="str">
        <f>"COMCARE"</f>
        <v>COMCARE</v>
      </c>
      <c r="Y115" t="str">
        <f>"GPO Box 9905"</f>
        <v>GPO Box 9905</v>
      </c>
      <c r="Z115" t="str">
        <f>"CANBERRA"</f>
        <v>CANBERRA</v>
      </c>
      <c r="AA115" t="str">
        <f>"2601"</f>
        <v>2601</v>
      </c>
      <c r="AB115" t="str">
        <f t="shared" si="38"/>
        <v>Australia</v>
      </c>
      <c r="AC115" t="str">
        <f t="shared" si="39"/>
        <v>No</v>
      </c>
      <c r="AD115" t="str">
        <f>"41640788304"</f>
        <v>41640788304</v>
      </c>
      <c r="AE115" t="str">
        <f t="shared" si="49"/>
        <v>ADMIN OFFICER</v>
      </c>
      <c r="AF115" t="str">
        <f t="shared" si="47"/>
        <v>(02) 6271 1000</v>
      </c>
      <c r="AG115" t="str">
        <f>""</f>
        <v/>
      </c>
      <c r="AH115" t="str">
        <f>""</f>
        <v/>
      </c>
      <c r="AI115" t="str">
        <f>"CORPORATE Corporate"</f>
        <v>CORPORATE Corporate</v>
      </c>
      <c r="AJ115" t="str">
        <f t="shared" si="48"/>
        <v>2603</v>
      </c>
    </row>
    <row r="116" spans="1:36" x14ac:dyDescent="0.25">
      <c r="A116" t="str">
        <f t="shared" si="34"/>
        <v>Department of Communications</v>
      </c>
      <c r="B116" t="str">
        <f>""</f>
        <v/>
      </c>
      <c r="C116" t="str">
        <f>"CN2548852"</f>
        <v>CN2548852</v>
      </c>
      <c r="D116" t="str">
        <f>"Anna Binos"</f>
        <v>Anna Binos</v>
      </c>
      <c r="E116" s="44">
        <v>41886.648611111108</v>
      </c>
      <c r="F116" t="s">
        <v>2508</v>
      </c>
      <c r="G116" t="str">
        <f t="shared" si="35"/>
        <v>published</v>
      </c>
      <c r="H116" s="45">
        <v>41834</v>
      </c>
      <c r="I116" s="45">
        <v>41912</v>
      </c>
      <c r="J116" s="46">
        <v>46590</v>
      </c>
      <c r="K116" t="s">
        <v>1518</v>
      </c>
      <c r="L116" t="str">
        <f>"0004604618"</f>
        <v>0004604618</v>
      </c>
      <c r="M116" t="str">
        <f>"Software maintenance and support"</f>
        <v>Software maintenance and support</v>
      </c>
      <c r="N116" t="str">
        <f>"Limited tender"</f>
        <v>Limited tender</v>
      </c>
      <c r="O116" t="str">
        <f>""</f>
        <v/>
      </c>
      <c r="Q116" t="str">
        <f t="shared" si="40"/>
        <v>No</v>
      </c>
      <c r="R116" t="str">
        <f>""</f>
        <v/>
      </c>
      <c r="S116" t="str">
        <f t="shared" si="41"/>
        <v>No</v>
      </c>
      <c r="T116" t="str">
        <f>""</f>
        <v/>
      </c>
      <c r="U116" t="str">
        <f t="shared" si="45"/>
        <v>No</v>
      </c>
      <c r="V116" t="str">
        <f>""</f>
        <v/>
      </c>
      <c r="X116" t="str">
        <f>"Langtree Information Management"</f>
        <v>Langtree Information Management</v>
      </c>
      <c r="Y116" t="str">
        <f>"PO Box 255"</f>
        <v>PO Box 255</v>
      </c>
      <c r="Z116" t="str">
        <f>"Deakin West"</f>
        <v>Deakin West</v>
      </c>
      <c r="AA116" t="str">
        <f>"2600"</f>
        <v>2600</v>
      </c>
      <c r="AB116" t="str">
        <f t="shared" si="38"/>
        <v>Australia</v>
      </c>
      <c r="AC116" t="str">
        <f t="shared" si="39"/>
        <v>No</v>
      </c>
      <c r="AD116" t="str">
        <f>"78126364592"</f>
        <v>78126364592</v>
      </c>
      <c r="AE116" t="str">
        <f t="shared" si="49"/>
        <v>ADMIN OFFICER</v>
      </c>
      <c r="AF116" t="str">
        <f t="shared" si="47"/>
        <v>(02) 6271 1000</v>
      </c>
      <c r="AG116" t="str">
        <f>""</f>
        <v/>
      </c>
      <c r="AH116" t="str">
        <f>""</f>
        <v/>
      </c>
      <c r="AI116" t="str">
        <f>"CORPORATE TREASURY [OLD] Corporate Treasury"</f>
        <v>CORPORATE TREASURY [OLD] Corporate Treasury</v>
      </c>
      <c r="AJ116" t="str">
        <f t="shared" si="48"/>
        <v>2603</v>
      </c>
    </row>
    <row r="117" spans="1:36" x14ac:dyDescent="0.25">
      <c r="A117" t="str">
        <f t="shared" si="34"/>
        <v>Department of Communications</v>
      </c>
      <c r="B117" t="str">
        <f>""</f>
        <v/>
      </c>
      <c r="C117" t="str">
        <f>"CN2440402"</f>
        <v>CN2440402</v>
      </c>
      <c r="D117" t="str">
        <f>"Thomas Lonsdale"</f>
        <v>Thomas Lonsdale</v>
      </c>
      <c r="E117" s="44">
        <v>41843.57708333333</v>
      </c>
      <c r="F117" t="s">
        <v>2508</v>
      </c>
      <c r="G117" t="str">
        <f t="shared" si="35"/>
        <v>published</v>
      </c>
      <c r="H117" s="45">
        <v>41834</v>
      </c>
      <c r="I117" s="45">
        <v>41881</v>
      </c>
      <c r="J117" s="46">
        <v>25410</v>
      </c>
      <c r="K117" t="s">
        <v>1518</v>
      </c>
      <c r="L117" t="str">
        <f>"0004604618"</f>
        <v>0004604618</v>
      </c>
      <c r="M117" t="str">
        <f>"Software maintenance and support"</f>
        <v>Software maintenance and support</v>
      </c>
      <c r="N117" t="str">
        <f>"Limited tender"</f>
        <v>Limited tender</v>
      </c>
      <c r="O117" t="str">
        <f>""</f>
        <v/>
      </c>
      <c r="Q117" t="str">
        <f t="shared" si="40"/>
        <v>No</v>
      </c>
      <c r="R117" t="str">
        <f>""</f>
        <v/>
      </c>
      <c r="S117" t="str">
        <f t="shared" si="41"/>
        <v>No</v>
      </c>
      <c r="T117" t="str">
        <f>""</f>
        <v/>
      </c>
      <c r="U117" t="str">
        <f t="shared" si="45"/>
        <v>No</v>
      </c>
      <c r="V117" t="str">
        <f>""</f>
        <v/>
      </c>
      <c r="X117" t="str">
        <f>"Langtree Information Management"</f>
        <v>Langtree Information Management</v>
      </c>
      <c r="Y117" t="str">
        <f>"PO Box 255"</f>
        <v>PO Box 255</v>
      </c>
      <c r="Z117" t="str">
        <f>"Deakin West"</f>
        <v>Deakin West</v>
      </c>
      <c r="AA117" t="str">
        <f>"2600"</f>
        <v>2600</v>
      </c>
      <c r="AB117" t="str">
        <f t="shared" si="38"/>
        <v>Australia</v>
      </c>
      <c r="AC117" t="str">
        <f t="shared" si="39"/>
        <v>No</v>
      </c>
      <c r="AD117" t="str">
        <f>"78126364592"</f>
        <v>78126364592</v>
      </c>
      <c r="AE117" t="str">
        <f t="shared" si="49"/>
        <v>ADMIN OFFICER</v>
      </c>
      <c r="AF117" t="str">
        <f t="shared" si="47"/>
        <v>(02) 6271 1000</v>
      </c>
      <c r="AG117" t="str">
        <f>""</f>
        <v/>
      </c>
      <c r="AH117" t="str">
        <f>""</f>
        <v/>
      </c>
      <c r="AI117" t="str">
        <f>"CORPORATE Corporate"</f>
        <v>CORPORATE Corporate</v>
      </c>
      <c r="AJ117" t="str">
        <f t="shared" si="48"/>
        <v>2603</v>
      </c>
    </row>
    <row r="118" spans="1:36" x14ac:dyDescent="0.25">
      <c r="A118" t="str">
        <f t="shared" si="34"/>
        <v>Department of Communications</v>
      </c>
      <c r="B118" t="str">
        <f>""</f>
        <v/>
      </c>
      <c r="C118" t="str">
        <f>"CN2474861"</f>
        <v>CN2474861</v>
      </c>
      <c r="D118" t="str">
        <f>"Thomas Lonsdale"</f>
        <v>Thomas Lonsdale</v>
      </c>
      <c r="E118" s="44">
        <v>41857.48541666667</v>
      </c>
      <c r="F118" t="s">
        <v>2508</v>
      </c>
      <c r="G118" t="str">
        <f t="shared" si="35"/>
        <v>published</v>
      </c>
      <c r="H118" s="45">
        <v>41821</v>
      </c>
      <c r="I118" s="45">
        <v>42185</v>
      </c>
      <c r="J118" s="46">
        <v>32890</v>
      </c>
      <c r="K118" t="s">
        <v>2079</v>
      </c>
      <c r="L118" t="str">
        <f>"0004604619"</f>
        <v>0004604619</v>
      </c>
      <c r="M118" t="str">
        <f>"Software maintenance and support"</f>
        <v>Software maintenance and support</v>
      </c>
      <c r="N118" t="str">
        <f>"Open tender"</f>
        <v>Open tender</v>
      </c>
      <c r="O118" t="str">
        <f>"DCON/10/96"</f>
        <v>DCON/10/96</v>
      </c>
      <c r="P118" t="str">
        <f>"SON368749"</f>
        <v>SON368749</v>
      </c>
      <c r="Q118" t="str">
        <f t="shared" si="40"/>
        <v>No</v>
      </c>
      <c r="R118" t="str">
        <f>""</f>
        <v/>
      </c>
      <c r="S118" t="str">
        <f t="shared" si="41"/>
        <v>No</v>
      </c>
      <c r="T118" t="str">
        <f>""</f>
        <v/>
      </c>
      <c r="U118" t="str">
        <f t="shared" si="45"/>
        <v>No</v>
      </c>
      <c r="V118" t="str">
        <f>""</f>
        <v/>
      </c>
      <c r="X118" t="str">
        <f>"Ladoo Pty Ltd"</f>
        <v>Ladoo Pty Ltd</v>
      </c>
      <c r="Y118" t="str">
        <f>"Ground, 21 Victoris Street"</f>
        <v>Ground, 21 Victoris Street</v>
      </c>
      <c r="Z118" t="str">
        <f>"Melbourne"</f>
        <v>Melbourne</v>
      </c>
      <c r="AA118" t="str">
        <f>"3000"</f>
        <v>3000</v>
      </c>
      <c r="AB118" t="str">
        <f t="shared" si="38"/>
        <v>Australia</v>
      </c>
      <c r="AC118" t="str">
        <f t="shared" si="39"/>
        <v>No</v>
      </c>
      <c r="AD118" t="str">
        <f>"71147121551"</f>
        <v>71147121551</v>
      </c>
      <c r="AE118" t="str">
        <f t="shared" si="49"/>
        <v>ADMIN OFFICER</v>
      </c>
      <c r="AF118" t="str">
        <f t="shared" si="47"/>
        <v>(02) 6271 1000</v>
      </c>
      <c r="AG118" t="str">
        <f>""</f>
        <v/>
      </c>
      <c r="AH118" t="str">
        <f>""</f>
        <v/>
      </c>
      <c r="AI118" t="str">
        <f>"CSAF"</f>
        <v>CSAF</v>
      </c>
      <c r="AJ118" t="str">
        <f t="shared" si="48"/>
        <v>2603</v>
      </c>
    </row>
    <row r="119" spans="1:36" x14ac:dyDescent="0.25">
      <c r="A119" t="str">
        <f t="shared" si="34"/>
        <v>Department of Communications</v>
      </c>
      <c r="B119" t="str">
        <f>""</f>
        <v/>
      </c>
      <c r="C119" t="str">
        <f>"CN2440412"</f>
        <v>CN2440412</v>
      </c>
      <c r="D119" t="str">
        <f>"Thomas Lonsdale"</f>
        <v>Thomas Lonsdale</v>
      </c>
      <c r="E119" s="44">
        <v>41843.57708333333</v>
      </c>
      <c r="F119" t="s">
        <v>2508</v>
      </c>
      <c r="G119" t="str">
        <f t="shared" si="35"/>
        <v>published</v>
      </c>
      <c r="H119" s="45">
        <v>41831</v>
      </c>
      <c r="I119" s="45">
        <v>42185</v>
      </c>
      <c r="J119" s="46">
        <v>24000</v>
      </c>
      <c r="K119" t="s">
        <v>2086</v>
      </c>
      <c r="L119" t="str">
        <f>"0004604620"</f>
        <v>0004604620</v>
      </c>
      <c r="M119" t="str">
        <f>"Project administration or planning"</f>
        <v>Project administration or planning</v>
      </c>
      <c r="N119" t="str">
        <f>"Limited tender"</f>
        <v>Limited tender</v>
      </c>
      <c r="O119" t="str">
        <f>""</f>
        <v/>
      </c>
      <c r="Q119" t="str">
        <f t="shared" si="40"/>
        <v>No</v>
      </c>
      <c r="R119" t="str">
        <f>""</f>
        <v/>
      </c>
      <c r="S119" t="str">
        <f t="shared" si="41"/>
        <v>No</v>
      </c>
      <c r="T119" t="str">
        <f>""</f>
        <v/>
      </c>
      <c r="U119" t="str">
        <f t="shared" si="45"/>
        <v>No</v>
      </c>
      <c r="V119" t="str">
        <f>""</f>
        <v/>
      </c>
      <c r="X119" t="str">
        <f>"National Center for Civic Innovatio"</f>
        <v>National Center for Civic Innovatio</v>
      </c>
      <c r="Y119" t="str">
        <f>"121 Avenue of the Americas"</f>
        <v>121 Avenue of the Americas</v>
      </c>
      <c r="Z119" t="str">
        <f>"New York"</f>
        <v>New York</v>
      </c>
      <c r="AA119" t="str">
        <f>"10013"</f>
        <v>10013</v>
      </c>
      <c r="AB119" t="str">
        <f>"United States"</f>
        <v>United States</v>
      </c>
      <c r="AC119" t="str">
        <f>"Yes"</f>
        <v>Yes</v>
      </c>
      <c r="AD119" t="str">
        <f>""</f>
        <v/>
      </c>
      <c r="AE119" t="str">
        <f t="shared" si="49"/>
        <v>ADMIN OFFICER</v>
      </c>
      <c r="AF119" t="str">
        <f t="shared" si="47"/>
        <v>(02) 6271 1000</v>
      </c>
      <c r="AG119" t="str">
        <f>""</f>
        <v/>
      </c>
      <c r="AH119" t="str">
        <f>""</f>
        <v/>
      </c>
      <c r="AI119" t="str">
        <f>"SPOL"</f>
        <v>SPOL</v>
      </c>
      <c r="AJ119" t="str">
        <f t="shared" si="48"/>
        <v>2603</v>
      </c>
    </row>
    <row r="120" spans="1:36" x14ac:dyDescent="0.25">
      <c r="A120" t="str">
        <f t="shared" si="34"/>
        <v>Department of Communications</v>
      </c>
      <c r="B120" t="str">
        <f>""</f>
        <v/>
      </c>
      <c r="C120" t="str">
        <f>"CN2440242"</f>
        <v>CN2440242</v>
      </c>
      <c r="D120" t="str">
        <f>"Thomas Lonsdale"</f>
        <v>Thomas Lonsdale</v>
      </c>
      <c r="E120" s="44">
        <v>41843.575694444444</v>
      </c>
      <c r="F120" t="s">
        <v>2508</v>
      </c>
      <c r="G120" t="str">
        <f t="shared" si="35"/>
        <v>published</v>
      </c>
      <c r="H120" s="45">
        <v>41827</v>
      </c>
      <c r="I120" s="45">
        <v>42185</v>
      </c>
      <c r="J120" s="46">
        <v>22000</v>
      </c>
      <c r="K120" t="s">
        <v>1528</v>
      </c>
      <c r="L120" t="str">
        <f>"0004604624"</f>
        <v>0004604624</v>
      </c>
      <c r="M120" t="str">
        <f>"Utilities"</f>
        <v>Utilities</v>
      </c>
      <c r="N120" t="str">
        <f>"Limited tender"</f>
        <v>Limited tender</v>
      </c>
      <c r="O120" t="str">
        <f>""</f>
        <v/>
      </c>
      <c r="Q120" t="str">
        <f t="shared" si="40"/>
        <v>No</v>
      </c>
      <c r="R120" t="str">
        <f>""</f>
        <v/>
      </c>
      <c r="S120" t="str">
        <f t="shared" si="41"/>
        <v>No</v>
      </c>
      <c r="T120" t="str">
        <f>""</f>
        <v/>
      </c>
      <c r="U120" t="str">
        <f t="shared" si="45"/>
        <v>No</v>
      </c>
      <c r="V120" t="str">
        <f>""</f>
        <v/>
      </c>
      <c r="X120" t="str">
        <f>"TRUEnergy T/As Energy Australia"</f>
        <v>TRUEnergy T/As Energy Australia</v>
      </c>
      <c r="Y120" t="str">
        <f>"PO BOX 487"</f>
        <v>PO BOX 487</v>
      </c>
      <c r="Z120" t="str">
        <f>"Newcastle"</f>
        <v>Newcastle</v>
      </c>
      <c r="AA120" t="str">
        <f>"2300"</f>
        <v>2300</v>
      </c>
      <c r="AB120" t="str">
        <f t="shared" ref="AB120:AB151" si="50">"Australia"</f>
        <v>Australia</v>
      </c>
      <c r="AC120" t="str">
        <f t="shared" ref="AC120:AC151" si="51">"No"</f>
        <v>No</v>
      </c>
      <c r="AD120" t="str">
        <f>"99086014968"</f>
        <v>99086014968</v>
      </c>
      <c r="AE120" t="str">
        <f t="shared" si="49"/>
        <v>ADMIN OFFICER</v>
      </c>
      <c r="AF120" t="str">
        <f t="shared" si="47"/>
        <v>(02) 6271 1000</v>
      </c>
      <c r="AG120" t="str">
        <f>""</f>
        <v/>
      </c>
      <c r="AH120" t="str">
        <f>""</f>
        <v/>
      </c>
      <c r="AI120" t="str">
        <f>"CORPORATE Corporate"</f>
        <v>CORPORATE Corporate</v>
      </c>
      <c r="AJ120" t="str">
        <f t="shared" si="48"/>
        <v>2603</v>
      </c>
    </row>
    <row r="121" spans="1:36" x14ac:dyDescent="0.25">
      <c r="A121" t="str">
        <f t="shared" si="34"/>
        <v>Department of Communications</v>
      </c>
      <c r="B121" t="str">
        <f>""</f>
        <v/>
      </c>
      <c r="C121" t="str">
        <f>"CN2756812"</f>
        <v>CN2756812</v>
      </c>
      <c r="D121" t="str">
        <f>"David Kenny"</f>
        <v>David Kenny</v>
      </c>
      <c r="E121" s="44">
        <v>41990.523611111108</v>
      </c>
      <c r="F121" t="s">
        <v>2508</v>
      </c>
      <c r="G121" t="str">
        <f t="shared" si="35"/>
        <v>published</v>
      </c>
      <c r="H121" s="45">
        <v>41821</v>
      </c>
      <c r="I121" s="45">
        <v>42185</v>
      </c>
      <c r="J121" s="46">
        <v>20000</v>
      </c>
      <c r="K121" t="s">
        <v>1530</v>
      </c>
      <c r="L121" t="str">
        <f>"0004604625"</f>
        <v>0004604625</v>
      </c>
      <c r="M121" t="str">
        <f>"Electrical services"</f>
        <v>Electrical services</v>
      </c>
      <c r="N121" t="str">
        <f>"Open tender"</f>
        <v>Open tender</v>
      </c>
      <c r="O121" t="str">
        <f>"DCON/09/28"</f>
        <v>DCON/09/28</v>
      </c>
      <c r="P121" t="str">
        <f>"SON399480"</f>
        <v>SON399480</v>
      </c>
      <c r="Q121" t="str">
        <f t="shared" si="40"/>
        <v>No</v>
      </c>
      <c r="R121" t="str">
        <f>""</f>
        <v/>
      </c>
      <c r="S121" t="str">
        <f t="shared" si="41"/>
        <v>No</v>
      </c>
      <c r="T121" t="str">
        <f>""</f>
        <v/>
      </c>
      <c r="U121" t="str">
        <f t="shared" si="45"/>
        <v>No</v>
      </c>
      <c r="V121" t="str">
        <f>""</f>
        <v/>
      </c>
      <c r="X121" t="str">
        <f>"Stowe Australia Pty Ltd"</f>
        <v>Stowe Australia Pty Ltd</v>
      </c>
      <c r="Y121" t="str">
        <f>"19-25 Kembla Street"</f>
        <v>19-25 Kembla Street</v>
      </c>
      <c r="Z121" t="str">
        <f>"Fyshwick"</f>
        <v>Fyshwick</v>
      </c>
      <c r="AA121" t="str">
        <f>"2609"</f>
        <v>2609</v>
      </c>
      <c r="AB121" t="str">
        <f t="shared" si="50"/>
        <v>Australia</v>
      </c>
      <c r="AC121" t="str">
        <f t="shared" si="51"/>
        <v>No</v>
      </c>
      <c r="AD121" t="str">
        <f>"27002556603"</f>
        <v>27002556603</v>
      </c>
      <c r="AE121" t="str">
        <f t="shared" si="49"/>
        <v>ADMIN OFFICER</v>
      </c>
      <c r="AF121" t="str">
        <f t="shared" si="47"/>
        <v>(02) 6271 1000</v>
      </c>
      <c r="AG121" t="str">
        <f>""</f>
        <v/>
      </c>
      <c r="AH121" t="str">
        <f>""</f>
        <v/>
      </c>
      <c r="AI121" t="str">
        <f>"CORPORATE TREASURY [OLD] Corporate Treasury"</f>
        <v>CORPORATE TREASURY [OLD] Corporate Treasury</v>
      </c>
      <c r="AJ121" t="str">
        <f t="shared" si="48"/>
        <v>2603</v>
      </c>
    </row>
    <row r="122" spans="1:36" x14ac:dyDescent="0.25">
      <c r="A122" t="str">
        <f t="shared" si="34"/>
        <v>Department of Communications</v>
      </c>
      <c r="B122" t="str">
        <f>""</f>
        <v/>
      </c>
      <c r="C122" t="str">
        <f>"CN2440222"</f>
        <v>CN2440222</v>
      </c>
      <c r="D122" t="str">
        <f t="shared" ref="D122:D131" si="52">"Thomas Lonsdale"</f>
        <v>Thomas Lonsdale</v>
      </c>
      <c r="E122" s="44">
        <v>41843.575694444444</v>
      </c>
      <c r="F122" t="s">
        <v>2508</v>
      </c>
      <c r="G122" t="str">
        <f t="shared" si="35"/>
        <v>published</v>
      </c>
      <c r="H122" s="45">
        <v>41821</v>
      </c>
      <c r="I122" s="45">
        <v>42185</v>
      </c>
      <c r="J122" s="46">
        <v>30000</v>
      </c>
      <c r="K122" t="s">
        <v>1530</v>
      </c>
      <c r="L122" t="str">
        <f>"0004604625"</f>
        <v>0004604625</v>
      </c>
      <c r="M122" t="str">
        <f>"Electrical services"</f>
        <v>Electrical services</v>
      </c>
      <c r="N122" t="str">
        <f>"Open tender"</f>
        <v>Open tender</v>
      </c>
      <c r="O122" t="str">
        <f>"DCON/09/28"</f>
        <v>DCON/09/28</v>
      </c>
      <c r="P122" t="str">
        <f>"SON399480"</f>
        <v>SON399480</v>
      </c>
      <c r="Q122" t="str">
        <f t="shared" si="40"/>
        <v>No</v>
      </c>
      <c r="R122" t="str">
        <f>""</f>
        <v/>
      </c>
      <c r="S122" t="str">
        <f t="shared" si="41"/>
        <v>No</v>
      </c>
      <c r="T122" t="str">
        <f>""</f>
        <v/>
      </c>
      <c r="U122" t="str">
        <f t="shared" si="45"/>
        <v>No</v>
      </c>
      <c r="V122" t="str">
        <f>""</f>
        <v/>
      </c>
      <c r="X122" t="str">
        <f>"Stowe Australia Pty Ltd"</f>
        <v>Stowe Australia Pty Ltd</v>
      </c>
      <c r="Y122" t="str">
        <f>"19-25 Kembla Street"</f>
        <v>19-25 Kembla Street</v>
      </c>
      <c r="Z122" t="str">
        <f>"Fyshwick"</f>
        <v>Fyshwick</v>
      </c>
      <c r="AA122" t="str">
        <f>"2609"</f>
        <v>2609</v>
      </c>
      <c r="AB122" t="str">
        <f t="shared" si="50"/>
        <v>Australia</v>
      </c>
      <c r="AC122" t="str">
        <f t="shared" si="51"/>
        <v>No</v>
      </c>
      <c r="AD122" t="str">
        <f>"27002556603"</f>
        <v>27002556603</v>
      </c>
      <c r="AE122" t="str">
        <f t="shared" si="49"/>
        <v>ADMIN OFFICER</v>
      </c>
      <c r="AF122" t="str">
        <f t="shared" si="47"/>
        <v>(02) 6271 1000</v>
      </c>
      <c r="AG122" t="str">
        <f>""</f>
        <v/>
      </c>
      <c r="AH122" t="str">
        <f>""</f>
        <v/>
      </c>
      <c r="AI122" t="str">
        <f>"CORPORATE Corporate"</f>
        <v>CORPORATE Corporate</v>
      </c>
      <c r="AJ122" t="str">
        <f t="shared" si="48"/>
        <v>2603</v>
      </c>
    </row>
    <row r="123" spans="1:36" x14ac:dyDescent="0.25">
      <c r="A123" t="str">
        <f t="shared" si="34"/>
        <v>Department of Communications</v>
      </c>
      <c r="B123" t="str">
        <f>""</f>
        <v/>
      </c>
      <c r="C123" t="str">
        <f>"CN2440202"</f>
        <v>CN2440202</v>
      </c>
      <c r="D123" t="str">
        <f t="shared" si="52"/>
        <v>Thomas Lonsdale</v>
      </c>
      <c r="E123" s="44">
        <v>41843.574999999997</v>
      </c>
      <c r="F123" t="s">
        <v>2508</v>
      </c>
      <c r="G123" t="str">
        <f t="shared" si="35"/>
        <v>published</v>
      </c>
      <c r="H123" s="45">
        <v>41836</v>
      </c>
      <c r="I123" s="45">
        <v>41908</v>
      </c>
      <c r="J123" s="46">
        <v>135648.82999999999</v>
      </c>
      <c r="K123" t="s">
        <v>1536</v>
      </c>
      <c r="L123" t="str">
        <f>"0004604627"</f>
        <v>0004604627</v>
      </c>
      <c r="M123" t="str">
        <f>"Business administration services"</f>
        <v>Business administration services</v>
      </c>
      <c r="N123" t="str">
        <f>"Limited tender"</f>
        <v>Limited tender</v>
      </c>
      <c r="O123" t="str">
        <f>""</f>
        <v/>
      </c>
      <c r="Q123" t="str">
        <f t="shared" si="40"/>
        <v>No</v>
      </c>
      <c r="R123" t="str">
        <f>""</f>
        <v/>
      </c>
      <c r="S123" t="str">
        <f t="shared" si="41"/>
        <v>No</v>
      </c>
      <c r="T123" t="str">
        <f>""</f>
        <v/>
      </c>
      <c r="U123" t="str">
        <f t="shared" si="45"/>
        <v>No</v>
      </c>
      <c r="V123" t="str">
        <f>""</f>
        <v/>
      </c>
      <c r="X123" t="str">
        <f>"COMCOVER INSURANCE SERVICES"</f>
        <v>COMCOVER INSURANCE SERVICES</v>
      </c>
      <c r="Y123" t="str">
        <f>"PO BOX 3263"</f>
        <v>PO BOX 3263</v>
      </c>
      <c r="Z123" t="str">
        <f>"CANBERRA"</f>
        <v>CANBERRA</v>
      </c>
      <c r="AA123" t="str">
        <f>"2601"</f>
        <v>2601</v>
      </c>
      <c r="AB123" t="str">
        <f t="shared" si="50"/>
        <v>Australia</v>
      </c>
      <c r="AC123" t="str">
        <f t="shared" si="51"/>
        <v>No</v>
      </c>
      <c r="AD123" t="str">
        <f>"61970632495"</f>
        <v>61970632495</v>
      </c>
      <c r="AE123" t="str">
        <f t="shared" si="49"/>
        <v>ADMIN OFFICER</v>
      </c>
      <c r="AF123" t="str">
        <f t="shared" si="47"/>
        <v>(02) 6271 1000</v>
      </c>
      <c r="AG123" t="str">
        <f>""</f>
        <v/>
      </c>
      <c r="AH123" t="str">
        <f>""</f>
        <v/>
      </c>
      <c r="AI123" t="str">
        <f>"CORPORATE Corporate"</f>
        <v>CORPORATE Corporate</v>
      </c>
      <c r="AJ123" t="str">
        <f t="shared" si="48"/>
        <v>2603</v>
      </c>
    </row>
    <row r="124" spans="1:36" x14ac:dyDescent="0.25">
      <c r="A124" t="str">
        <f t="shared" si="34"/>
        <v>Department of Communications</v>
      </c>
      <c r="B124" t="str">
        <f>""</f>
        <v/>
      </c>
      <c r="C124" t="str">
        <f>"CN2454601"</f>
        <v>CN2454601</v>
      </c>
      <c r="D124" t="str">
        <f t="shared" si="52"/>
        <v>Thomas Lonsdale</v>
      </c>
      <c r="E124" s="44">
        <v>41850.395833333336</v>
      </c>
      <c r="F124" t="s">
        <v>2508</v>
      </c>
      <c r="G124" t="str">
        <f t="shared" si="35"/>
        <v>published</v>
      </c>
      <c r="H124" s="45">
        <v>41838</v>
      </c>
      <c r="I124" s="45">
        <v>41929</v>
      </c>
      <c r="J124" s="46">
        <v>14850</v>
      </c>
      <c r="K124" t="s">
        <v>2091</v>
      </c>
      <c r="L124" t="str">
        <f>"0004604628"</f>
        <v>0004604628</v>
      </c>
      <c r="M124" t="str">
        <f>"Sponsorship of event or celebrity"</f>
        <v>Sponsorship of event or celebrity</v>
      </c>
      <c r="N124" t="str">
        <f>"Limited tender"</f>
        <v>Limited tender</v>
      </c>
      <c r="O124" t="str">
        <f>""</f>
        <v/>
      </c>
      <c r="Q124" t="str">
        <f t="shared" si="40"/>
        <v>No</v>
      </c>
      <c r="R124" t="str">
        <f>""</f>
        <v/>
      </c>
      <c r="S124" t="str">
        <f t="shared" si="41"/>
        <v>No</v>
      </c>
      <c r="T124" t="str">
        <f>""</f>
        <v/>
      </c>
      <c r="U124" t="str">
        <f t="shared" si="45"/>
        <v>No</v>
      </c>
      <c r="V124" t="str">
        <f>""</f>
        <v/>
      </c>
      <c r="X124" t="str">
        <f>"Spatial Industries Business Associa"</f>
        <v>Spatial Industries Business Associa</v>
      </c>
      <c r="Y124" t="str">
        <f>"PO Box 75"</f>
        <v>PO Box 75</v>
      </c>
      <c r="Z124" t="str">
        <f>"Deakin West"</f>
        <v>Deakin West</v>
      </c>
      <c r="AA124" t="str">
        <f>"2600"</f>
        <v>2600</v>
      </c>
      <c r="AB124" t="str">
        <f t="shared" si="50"/>
        <v>Australia</v>
      </c>
      <c r="AC124" t="str">
        <f t="shared" si="51"/>
        <v>No</v>
      </c>
      <c r="AD124" t="str">
        <f>"98095895819"</f>
        <v>98095895819</v>
      </c>
      <c r="AE124" t="str">
        <f t="shared" si="49"/>
        <v>ADMIN OFFICER</v>
      </c>
      <c r="AF124" t="str">
        <f t="shared" si="47"/>
        <v>(02) 6271 1000</v>
      </c>
      <c r="AG124" t="str">
        <f>""</f>
        <v/>
      </c>
      <c r="AH124" t="str">
        <f>""</f>
        <v/>
      </c>
      <c r="AI124" t="str">
        <f>"SPOL"</f>
        <v>SPOL</v>
      </c>
      <c r="AJ124" t="str">
        <f t="shared" si="48"/>
        <v>2603</v>
      </c>
    </row>
    <row r="125" spans="1:36" x14ac:dyDescent="0.25">
      <c r="A125" t="str">
        <f t="shared" si="34"/>
        <v>Department of Communications</v>
      </c>
      <c r="B125" t="str">
        <f>""</f>
        <v/>
      </c>
      <c r="C125" t="str">
        <f>"CN2474851"</f>
        <v>CN2474851</v>
      </c>
      <c r="D125" t="str">
        <f t="shared" si="52"/>
        <v>Thomas Lonsdale</v>
      </c>
      <c r="E125" s="44">
        <v>41857.48541666667</v>
      </c>
      <c r="F125" t="s">
        <v>2508</v>
      </c>
      <c r="G125" t="str">
        <f t="shared" si="35"/>
        <v>published</v>
      </c>
      <c r="H125" s="45">
        <v>41821</v>
      </c>
      <c r="I125" s="45">
        <v>42185</v>
      </c>
      <c r="J125" s="46">
        <v>15000</v>
      </c>
      <c r="K125" t="s">
        <v>1542</v>
      </c>
      <c r="L125" t="str">
        <f>"0004604629"</f>
        <v>0004604629</v>
      </c>
      <c r="M125" t="str">
        <f>"Software"</f>
        <v>Software</v>
      </c>
      <c r="N125" t="str">
        <f>"Prequalified tender"</f>
        <v>Prequalified tender</v>
      </c>
      <c r="O125" t="str">
        <f>""</f>
        <v/>
      </c>
      <c r="Q125" t="str">
        <f t="shared" si="40"/>
        <v>No</v>
      </c>
      <c r="R125" t="str">
        <f>""</f>
        <v/>
      </c>
      <c r="S125" t="str">
        <f t="shared" si="41"/>
        <v>No</v>
      </c>
      <c r="T125" t="str">
        <f>""</f>
        <v/>
      </c>
      <c r="U125" t="str">
        <f t="shared" si="45"/>
        <v>No</v>
      </c>
      <c r="V125" t="str">
        <f>""</f>
        <v/>
      </c>
      <c r="X125" t="str">
        <f>"Inlogik Pty Ltd"</f>
        <v>Inlogik Pty Ltd</v>
      </c>
      <c r="Y125" t="str">
        <f>"PO Box R202"</f>
        <v>PO Box R202</v>
      </c>
      <c r="Z125" t="str">
        <f>"Royal Exchange"</f>
        <v>Royal Exchange</v>
      </c>
      <c r="AA125" t="str">
        <f>"1225"</f>
        <v>1225</v>
      </c>
      <c r="AB125" t="str">
        <f t="shared" si="50"/>
        <v>Australia</v>
      </c>
      <c r="AC125" t="str">
        <f t="shared" si="51"/>
        <v>No</v>
      </c>
      <c r="AD125" t="str">
        <f>"35058997121"</f>
        <v>35058997121</v>
      </c>
      <c r="AE125" t="str">
        <f t="shared" si="49"/>
        <v>ADMIN OFFICER</v>
      </c>
      <c r="AF125" t="str">
        <f t="shared" si="47"/>
        <v>(02) 6271 1000</v>
      </c>
      <c r="AG125" t="str">
        <f>""</f>
        <v/>
      </c>
      <c r="AH125" t="str">
        <f>""</f>
        <v/>
      </c>
      <c r="AI125" t="str">
        <f>"CORPORATE Corporate"</f>
        <v>CORPORATE Corporate</v>
      </c>
      <c r="AJ125" t="str">
        <f t="shared" si="48"/>
        <v>2603</v>
      </c>
    </row>
    <row r="126" spans="1:36" x14ac:dyDescent="0.25">
      <c r="A126" t="str">
        <f t="shared" si="34"/>
        <v>Department of Communications</v>
      </c>
      <c r="B126" t="str">
        <f>""</f>
        <v/>
      </c>
      <c r="C126" t="str">
        <f>"CN2454591"</f>
        <v>CN2454591</v>
      </c>
      <c r="D126" t="str">
        <f t="shared" si="52"/>
        <v>Thomas Lonsdale</v>
      </c>
      <c r="E126" s="44">
        <v>41850.395833333336</v>
      </c>
      <c r="F126" t="s">
        <v>2508</v>
      </c>
      <c r="G126" t="str">
        <f t="shared" si="35"/>
        <v>published</v>
      </c>
      <c r="H126" s="45">
        <v>41843</v>
      </c>
      <c r="I126" s="45">
        <v>42185</v>
      </c>
      <c r="J126" s="46">
        <v>15000</v>
      </c>
      <c r="K126" t="s">
        <v>1545</v>
      </c>
      <c r="L126" t="str">
        <f>"0004604631"</f>
        <v>0004604631</v>
      </c>
      <c r="M126" t="str">
        <f>"Freight forwarders services"</f>
        <v>Freight forwarders services</v>
      </c>
      <c r="N126" t="str">
        <f>"Limited tender"</f>
        <v>Limited tender</v>
      </c>
      <c r="O126" t="str">
        <f>""</f>
        <v/>
      </c>
      <c r="Q126" t="str">
        <f t="shared" si="40"/>
        <v>No</v>
      </c>
      <c r="R126" t="str">
        <f>""</f>
        <v/>
      </c>
      <c r="S126" t="str">
        <f t="shared" si="41"/>
        <v>No</v>
      </c>
      <c r="T126" t="str">
        <f>""</f>
        <v/>
      </c>
      <c r="U126" t="str">
        <f t="shared" si="45"/>
        <v>No</v>
      </c>
      <c r="V126" t="str">
        <f>""</f>
        <v/>
      </c>
      <c r="X126" t="str">
        <f>"COPE SENSITIVE FREIGHT"</f>
        <v>COPE SENSITIVE FREIGHT</v>
      </c>
      <c r="Y126" t="str">
        <f>"PO BOX 215"</f>
        <v>PO BOX 215</v>
      </c>
      <c r="Z126" t="str">
        <f>"PORT ADELAIDE Business Centre"</f>
        <v>PORT ADELAIDE Business Centre</v>
      </c>
      <c r="AA126" t="str">
        <f>"5015"</f>
        <v>5015</v>
      </c>
      <c r="AB126" t="str">
        <f t="shared" si="50"/>
        <v>Australia</v>
      </c>
      <c r="AC126" t="str">
        <f t="shared" si="51"/>
        <v>No</v>
      </c>
      <c r="AD126" t="str">
        <f>"24003672839"</f>
        <v>24003672839</v>
      </c>
      <c r="AE126" t="str">
        <f t="shared" si="49"/>
        <v>ADMIN OFFICER</v>
      </c>
      <c r="AF126" t="str">
        <f t="shared" si="47"/>
        <v>(02) 6271 1000</v>
      </c>
      <c r="AG126" t="str">
        <f>""</f>
        <v/>
      </c>
      <c r="AH126" t="str">
        <f>""</f>
        <v/>
      </c>
      <c r="AI126" t="str">
        <f>"CORPORATE Corporate"</f>
        <v>CORPORATE Corporate</v>
      </c>
      <c r="AJ126" t="str">
        <f t="shared" si="48"/>
        <v>2603</v>
      </c>
    </row>
    <row r="127" spans="1:36" x14ac:dyDescent="0.25">
      <c r="A127" t="str">
        <f t="shared" si="34"/>
        <v>Department of Communications</v>
      </c>
      <c r="B127" t="str">
        <f>""</f>
        <v/>
      </c>
      <c r="C127" t="str">
        <f>"CN2497261"</f>
        <v>CN2497261</v>
      </c>
      <c r="D127" t="str">
        <f t="shared" si="52"/>
        <v>Thomas Lonsdale</v>
      </c>
      <c r="E127" s="44">
        <v>41864.474305555559</v>
      </c>
      <c r="F127" t="s">
        <v>2508</v>
      </c>
      <c r="G127" t="str">
        <f t="shared" si="35"/>
        <v>published</v>
      </c>
      <c r="H127" s="45">
        <v>41598</v>
      </c>
      <c r="I127" s="45">
        <v>41844</v>
      </c>
      <c r="J127" s="46">
        <v>10670</v>
      </c>
      <c r="K127" t="s">
        <v>764</v>
      </c>
      <c r="L127" t="str">
        <f>"0004604633"</f>
        <v>0004604633</v>
      </c>
      <c r="M127" t="str">
        <f>"Events management"</f>
        <v>Events management</v>
      </c>
      <c r="N127" t="str">
        <f>"Limited tender"</f>
        <v>Limited tender</v>
      </c>
      <c r="O127" t="str">
        <f>""</f>
        <v/>
      </c>
      <c r="Q127" t="str">
        <f t="shared" si="40"/>
        <v>No</v>
      </c>
      <c r="R127" t="str">
        <f>""</f>
        <v/>
      </c>
      <c r="S127" t="str">
        <f t="shared" si="41"/>
        <v>No</v>
      </c>
      <c r="T127" t="str">
        <f>""</f>
        <v/>
      </c>
      <c r="U127" t="str">
        <f t="shared" si="45"/>
        <v>No</v>
      </c>
      <c r="V127" t="str">
        <f>""</f>
        <v/>
      </c>
      <c r="X127" t="str">
        <f>"DEPARTMENT OF  EDUCATION,"</f>
        <v>DEPARTMENT OF  EDUCATION,</v>
      </c>
      <c r="Y127" t="str">
        <f>"GPO BOX 9879"</f>
        <v>GPO BOX 9879</v>
      </c>
      <c r="Z127" t="str">
        <f>"CANBERRA"</f>
        <v>CANBERRA</v>
      </c>
      <c r="AA127" t="str">
        <f>"2601"</f>
        <v>2601</v>
      </c>
      <c r="AB127" t="str">
        <f t="shared" si="50"/>
        <v>Australia</v>
      </c>
      <c r="AC127" t="str">
        <f t="shared" si="51"/>
        <v>No</v>
      </c>
      <c r="AD127" t="str">
        <f>"63578775294"</f>
        <v>63578775294</v>
      </c>
      <c r="AE127" t="str">
        <f t="shared" si="49"/>
        <v>ADMIN OFFICER</v>
      </c>
      <c r="AF127" t="str">
        <f t="shared" si="47"/>
        <v>(02) 6271 1000</v>
      </c>
      <c r="AG127" t="str">
        <f>""</f>
        <v/>
      </c>
      <c r="AH127" t="str">
        <f>""</f>
        <v/>
      </c>
      <c r="AI127" t="str">
        <f>"DESV"</f>
        <v>DESV</v>
      </c>
      <c r="AJ127" t="str">
        <f t="shared" si="48"/>
        <v>2603</v>
      </c>
    </row>
    <row r="128" spans="1:36" x14ac:dyDescent="0.25">
      <c r="A128" t="str">
        <f t="shared" si="34"/>
        <v>Department of Communications</v>
      </c>
      <c r="B128" t="str">
        <f>""</f>
        <v/>
      </c>
      <c r="C128" t="str">
        <f>"CN2474841"</f>
        <v>CN2474841</v>
      </c>
      <c r="D128" t="str">
        <f t="shared" si="52"/>
        <v>Thomas Lonsdale</v>
      </c>
      <c r="E128" s="44">
        <v>41857.48541666667</v>
      </c>
      <c r="F128" t="s">
        <v>2508</v>
      </c>
      <c r="G128" t="str">
        <f t="shared" si="35"/>
        <v>published</v>
      </c>
      <c r="H128" s="45">
        <v>41830</v>
      </c>
      <c r="I128" s="45">
        <v>41852</v>
      </c>
      <c r="J128" s="46">
        <v>49390</v>
      </c>
      <c r="K128" t="s">
        <v>213</v>
      </c>
      <c r="L128" t="str">
        <f>"0004604634"</f>
        <v>0004604634</v>
      </c>
      <c r="M128" t="str">
        <f>"Strategic planning consultation services"</f>
        <v>Strategic planning consultation services</v>
      </c>
      <c r="N128" t="str">
        <f>"Open tender"</f>
        <v>Open tender</v>
      </c>
      <c r="O128" t="str">
        <f>"20000211"</f>
        <v>20000211</v>
      </c>
      <c r="P128" t="str">
        <f>"SON1230552"</f>
        <v>SON1230552</v>
      </c>
      <c r="Q128" t="str">
        <f>"Yes"</f>
        <v>Yes</v>
      </c>
      <c r="R128" t="str">
        <f>"Costing/profit information"</f>
        <v>Costing/profit information</v>
      </c>
      <c r="S128" t="str">
        <f>"Yes"</f>
        <v>Yes</v>
      </c>
      <c r="T128" t="str">
        <f>"Other - COMMERCIAL IN CONFIDENCE"</f>
        <v>Other - COMMERCIAL IN CONFIDENCE</v>
      </c>
      <c r="U128" t="str">
        <f t="shared" si="45"/>
        <v>No</v>
      </c>
      <c r="V128" t="str">
        <f>""</f>
        <v/>
      </c>
      <c r="X128" t="str">
        <f>"L.E.K. Consulting"</f>
        <v>L.E.K. Consulting</v>
      </c>
      <c r="Y128" t="str">
        <f>"Level 26, 88 Phillip Street"</f>
        <v>Level 26, 88 Phillip Street</v>
      </c>
      <c r="Z128" t="str">
        <f>"Sydney"</f>
        <v>Sydney</v>
      </c>
      <c r="AA128" t="str">
        <f>"2000"</f>
        <v>2000</v>
      </c>
      <c r="AB128" t="str">
        <f t="shared" si="50"/>
        <v>Australia</v>
      </c>
      <c r="AC128" t="str">
        <f t="shared" si="51"/>
        <v>No</v>
      </c>
      <c r="AD128" t="str">
        <f>"22171613187"</f>
        <v>22171613187</v>
      </c>
      <c r="AE128" t="str">
        <f t="shared" si="49"/>
        <v>ADMIN OFFICER</v>
      </c>
      <c r="AF128" t="str">
        <f t="shared" si="47"/>
        <v>(02) 6271 1000</v>
      </c>
      <c r="AG128" t="str">
        <f>""</f>
        <v/>
      </c>
      <c r="AH128" t="str">
        <f>""</f>
        <v/>
      </c>
      <c r="AI128" t="str">
        <f>"DIGITAL SWITCHOVER &amp; CORPORATE PROJECT PLAN Digital Switchover &amp; Corporate Project Plan"</f>
        <v>DIGITAL SWITCHOVER &amp; CORPORATE PROJECT PLAN Digital Switchover &amp; Corporate Project Plan</v>
      </c>
      <c r="AJ128" t="str">
        <f t="shared" si="48"/>
        <v>2603</v>
      </c>
    </row>
    <row r="129" spans="1:36" x14ac:dyDescent="0.25">
      <c r="A129" t="str">
        <f t="shared" si="34"/>
        <v>Department of Communications</v>
      </c>
      <c r="B129" t="str">
        <f>""</f>
        <v/>
      </c>
      <c r="C129" t="str">
        <f>"CN2474831"</f>
        <v>CN2474831</v>
      </c>
      <c r="D129" t="str">
        <f t="shared" si="52"/>
        <v>Thomas Lonsdale</v>
      </c>
      <c r="E129" s="44">
        <v>41857.48541666667</v>
      </c>
      <c r="F129" t="s">
        <v>2508</v>
      </c>
      <c r="G129" t="str">
        <f t="shared" si="35"/>
        <v>published</v>
      </c>
      <c r="H129" s="45">
        <v>41851</v>
      </c>
      <c r="I129" s="45">
        <v>41912</v>
      </c>
      <c r="J129" s="46">
        <v>55000</v>
      </c>
      <c r="K129" t="s">
        <v>1552</v>
      </c>
      <c r="L129" t="str">
        <f>"0004604637"</f>
        <v>0004604637</v>
      </c>
      <c r="M129" t="str">
        <f>"Corporate objectives or policy development"</f>
        <v>Corporate objectives or policy development</v>
      </c>
      <c r="N129" t="str">
        <f>"Limited tender"</f>
        <v>Limited tender</v>
      </c>
      <c r="O129" t="str">
        <f>""</f>
        <v/>
      </c>
      <c r="Q129" t="str">
        <f t="shared" ref="Q129:Q141" si="53">"No"</f>
        <v>No</v>
      </c>
      <c r="R129" t="str">
        <f>""</f>
        <v/>
      </c>
      <c r="S129" t="str">
        <f>"No"</f>
        <v>No</v>
      </c>
      <c r="T129" t="str">
        <f>""</f>
        <v/>
      </c>
      <c r="U129" t="str">
        <f>"Yes"</f>
        <v>Yes</v>
      </c>
      <c r="V129" t="str">
        <f>"Need for independent research or assessment"</f>
        <v>Need for independent research or assessment</v>
      </c>
      <c r="X129" t="str">
        <f>"Trish Bergin Consulting"</f>
        <v>Trish Bergin Consulting</v>
      </c>
      <c r="Y129" t="str">
        <f>"P O Box 5747"</f>
        <v>P O Box 5747</v>
      </c>
      <c r="Z129" t="str">
        <f>"Hughes"</f>
        <v>Hughes</v>
      </c>
      <c r="AA129" t="str">
        <f>"2605"</f>
        <v>2605</v>
      </c>
      <c r="AB129" t="str">
        <f t="shared" si="50"/>
        <v>Australia</v>
      </c>
      <c r="AC129" t="str">
        <f t="shared" si="51"/>
        <v>No</v>
      </c>
      <c r="AD129" t="str">
        <f>"29374563525"</f>
        <v>29374563525</v>
      </c>
      <c r="AE129" t="str">
        <f t="shared" si="49"/>
        <v>ADMIN OFFICER</v>
      </c>
      <c r="AF129" t="str">
        <f t="shared" si="47"/>
        <v>(02) 6271 1000</v>
      </c>
      <c r="AG129" t="str">
        <f>""</f>
        <v/>
      </c>
      <c r="AH129" t="str">
        <f>""</f>
        <v/>
      </c>
      <c r="AI129" t="str">
        <f>"CORPORATE Corporate"</f>
        <v>CORPORATE Corporate</v>
      </c>
      <c r="AJ129" t="str">
        <f t="shared" si="48"/>
        <v>2603</v>
      </c>
    </row>
    <row r="130" spans="1:36" x14ac:dyDescent="0.25">
      <c r="A130" t="str">
        <f t="shared" si="34"/>
        <v>Department of Communications</v>
      </c>
      <c r="B130" t="str">
        <f>""</f>
        <v/>
      </c>
      <c r="C130" t="str">
        <f>"CN2474821"</f>
        <v>CN2474821</v>
      </c>
      <c r="D130" t="str">
        <f t="shared" si="52"/>
        <v>Thomas Lonsdale</v>
      </c>
      <c r="E130" s="44">
        <v>41857.484722222223</v>
      </c>
      <c r="F130" t="s">
        <v>2508</v>
      </c>
      <c r="G130" t="str">
        <f t="shared" si="35"/>
        <v>published</v>
      </c>
      <c r="H130" s="45">
        <v>41883</v>
      </c>
      <c r="I130" s="45">
        <v>41912</v>
      </c>
      <c r="J130" s="46">
        <v>58231.1</v>
      </c>
      <c r="K130" t="s">
        <v>1294</v>
      </c>
      <c r="L130" t="str">
        <f>"0004604638"</f>
        <v>0004604638</v>
      </c>
      <c r="M130" t="str">
        <f>"Software"</f>
        <v>Software</v>
      </c>
      <c r="N130" t="str">
        <f>"Open tender"</f>
        <v>Open tender</v>
      </c>
      <c r="O130" t="str">
        <f>"DCON/09/67"</f>
        <v>DCON/09/67</v>
      </c>
      <c r="P130" t="str">
        <f>"SON269193"</f>
        <v>SON269193</v>
      </c>
      <c r="Q130" t="str">
        <f t="shared" si="53"/>
        <v>No</v>
      </c>
      <c r="R130" t="str">
        <f>""</f>
        <v/>
      </c>
      <c r="S130" t="str">
        <f>"No"</f>
        <v>No</v>
      </c>
      <c r="T130" t="str">
        <f>""</f>
        <v/>
      </c>
      <c r="U130" t="str">
        <f>"No"</f>
        <v>No</v>
      </c>
      <c r="V130" t="str">
        <f>""</f>
        <v/>
      </c>
      <c r="X130" t="str">
        <f>"ASG Group Limited"</f>
        <v>ASG Group Limited</v>
      </c>
      <c r="Y130" t="str">
        <f>"Level 1, 267 Georges Terrace"</f>
        <v>Level 1, 267 Georges Terrace</v>
      </c>
      <c r="Z130" t="str">
        <f>"Perth"</f>
        <v>Perth</v>
      </c>
      <c r="AA130" t="str">
        <f>"6000"</f>
        <v>6000</v>
      </c>
      <c r="AB130" t="str">
        <f t="shared" si="50"/>
        <v>Australia</v>
      </c>
      <c r="AC130" t="str">
        <f t="shared" si="51"/>
        <v>No</v>
      </c>
      <c r="AD130" t="str">
        <f>"57070045117"</f>
        <v>57070045117</v>
      </c>
      <c r="AE130" t="str">
        <f t="shared" si="49"/>
        <v>ADMIN OFFICER</v>
      </c>
      <c r="AF130" t="str">
        <f t="shared" si="47"/>
        <v>(02) 6271 1000</v>
      </c>
      <c r="AG130" t="str">
        <f>""</f>
        <v/>
      </c>
      <c r="AH130" t="str">
        <f>""</f>
        <v/>
      </c>
      <c r="AI130" t="str">
        <f>"CORPORATE Corporate"</f>
        <v>CORPORATE Corporate</v>
      </c>
      <c r="AJ130" t="str">
        <f t="shared" si="48"/>
        <v>2603</v>
      </c>
    </row>
    <row r="131" spans="1:36" x14ac:dyDescent="0.25">
      <c r="A131" t="str">
        <f t="shared" si="34"/>
        <v>Department of Communications</v>
      </c>
      <c r="B131" t="str">
        <f>""</f>
        <v/>
      </c>
      <c r="C131" t="str">
        <f>"CN2474811"</f>
        <v>CN2474811</v>
      </c>
      <c r="D131" t="str">
        <f t="shared" si="52"/>
        <v>Thomas Lonsdale</v>
      </c>
      <c r="E131" s="44">
        <v>41857.484722222223</v>
      </c>
      <c r="F131" t="s">
        <v>2508</v>
      </c>
      <c r="G131" t="str">
        <f t="shared" si="35"/>
        <v>published</v>
      </c>
      <c r="H131" s="45">
        <v>41844</v>
      </c>
      <c r="I131" s="45">
        <v>41882</v>
      </c>
      <c r="J131" s="46">
        <v>52800.05</v>
      </c>
      <c r="K131" t="s">
        <v>1556</v>
      </c>
      <c r="L131" t="str">
        <f>"0004604639"</f>
        <v>0004604639</v>
      </c>
      <c r="M131" t="str">
        <f>"Data Voice or Multimedia Network Equipment or Platforms and Accessories"</f>
        <v>Data Voice or Multimedia Network Equipment or Platforms and Accessories</v>
      </c>
      <c r="N131" t="str">
        <f>"Open tender"</f>
        <v>Open tender</v>
      </c>
      <c r="O131" t="str">
        <f>"DCON/11/229"</f>
        <v>DCON/11/229</v>
      </c>
      <c r="P131" t="str">
        <f>"SON480581"</f>
        <v>SON480581</v>
      </c>
      <c r="Q131" t="str">
        <f t="shared" si="53"/>
        <v>No</v>
      </c>
      <c r="R131" t="str">
        <f>""</f>
        <v/>
      </c>
      <c r="S131" t="str">
        <f>"No"</f>
        <v>No</v>
      </c>
      <c r="T131" t="str">
        <f>""</f>
        <v/>
      </c>
      <c r="U131" t="str">
        <f>"No"</f>
        <v>No</v>
      </c>
      <c r="V131" t="str">
        <f>""</f>
        <v/>
      </c>
      <c r="X131" t="str">
        <f>"ELECTROBOARD SOLUTIONS PTY LTD"</f>
        <v>ELECTROBOARD SOLUTIONS PTY LTD</v>
      </c>
      <c r="Y131" t="str">
        <f>"20 ATCHISON ST"</f>
        <v>20 ATCHISON ST</v>
      </c>
      <c r="Z131" t="str">
        <f>"ST LEONARDS"</f>
        <v>ST LEONARDS</v>
      </c>
      <c r="AA131" t="str">
        <f>"2065"</f>
        <v>2065</v>
      </c>
      <c r="AB131" t="str">
        <f t="shared" si="50"/>
        <v>Australia</v>
      </c>
      <c r="AC131" t="str">
        <f t="shared" si="51"/>
        <v>No</v>
      </c>
      <c r="AD131" t="str">
        <f>"47118842372"</f>
        <v>47118842372</v>
      </c>
      <c r="AE131" t="str">
        <f t="shared" si="49"/>
        <v>ADMIN OFFICER</v>
      </c>
      <c r="AF131" t="str">
        <f t="shared" si="47"/>
        <v>(02) 6271 1000</v>
      </c>
      <c r="AG131" t="str">
        <f>""</f>
        <v/>
      </c>
      <c r="AH131" t="str">
        <f>""</f>
        <v/>
      </c>
      <c r="AI131" t="str">
        <f>"CORPORATE Corporate"</f>
        <v>CORPORATE Corporate</v>
      </c>
      <c r="AJ131" t="str">
        <f t="shared" si="48"/>
        <v>2603</v>
      </c>
    </row>
    <row r="132" spans="1:36" x14ac:dyDescent="0.25">
      <c r="A132" t="str">
        <f t="shared" ref="A132:A195" si="54">"Department of Communications"</f>
        <v>Department of Communications</v>
      </c>
      <c r="B132" t="str">
        <f>""</f>
        <v/>
      </c>
      <c r="C132" t="str">
        <f>"CN2645701"</f>
        <v>CN2645701</v>
      </c>
      <c r="D132" t="str">
        <f>"David Kenny"</f>
        <v>David Kenny</v>
      </c>
      <c r="E132" s="44">
        <v>41940.561111111114</v>
      </c>
      <c r="F132" t="s">
        <v>2508</v>
      </c>
      <c r="G132" t="str">
        <f t="shared" ref="G132:G195" si="55">"published"</f>
        <v>published</v>
      </c>
      <c r="H132" s="45">
        <v>41837</v>
      </c>
      <c r="I132" s="45">
        <v>41929</v>
      </c>
      <c r="J132" s="46">
        <v>11000</v>
      </c>
      <c r="K132" t="s">
        <v>1567</v>
      </c>
      <c r="L132" t="str">
        <f>"0004604641"</f>
        <v>0004604641</v>
      </c>
      <c r="M132" t="str">
        <f>"Layout or graphics editing services"</f>
        <v>Layout or graphics editing services</v>
      </c>
      <c r="N132" t="str">
        <f t="shared" ref="N132:N141" si="56">"Limited tender"</f>
        <v>Limited tender</v>
      </c>
      <c r="O132" t="str">
        <f>""</f>
        <v/>
      </c>
      <c r="Q132" t="str">
        <f t="shared" si="53"/>
        <v>No</v>
      </c>
      <c r="R132" t="str">
        <f>""</f>
        <v/>
      </c>
      <c r="S132" t="str">
        <f>"No"</f>
        <v>No</v>
      </c>
      <c r="T132" t="str">
        <f>""</f>
        <v/>
      </c>
      <c r="U132" t="str">
        <f>"No"</f>
        <v>No</v>
      </c>
      <c r="V132" t="str">
        <f>""</f>
        <v/>
      </c>
      <c r="X132" t="str">
        <f>"Papercut Pty Ltd"</f>
        <v>Papercut Pty Ltd</v>
      </c>
      <c r="Y132" t="str">
        <f>"P O Box 6264"</f>
        <v>P O Box 6264</v>
      </c>
      <c r="Z132" t="str">
        <f>"O'connor"</f>
        <v>O'connor</v>
      </c>
      <c r="AA132" t="str">
        <f>"2602"</f>
        <v>2602</v>
      </c>
      <c r="AB132" t="str">
        <f t="shared" si="50"/>
        <v>Australia</v>
      </c>
      <c r="AC132" t="str">
        <f t="shared" si="51"/>
        <v>No</v>
      </c>
      <c r="AD132" t="str">
        <f>"71127603418"</f>
        <v>71127603418</v>
      </c>
      <c r="AE132" t="str">
        <f t="shared" si="49"/>
        <v>ADMIN OFFICER</v>
      </c>
      <c r="AF132" t="str">
        <f t="shared" si="47"/>
        <v>(02) 6271 1000</v>
      </c>
      <c r="AG132" t="str">
        <f>""</f>
        <v/>
      </c>
      <c r="AH132" t="str">
        <f>""</f>
        <v/>
      </c>
      <c r="AI132" t="str">
        <f>"CORPORATE TREASURY [OLD] Corporate Treasury"</f>
        <v>CORPORATE TREASURY [OLD] Corporate Treasury</v>
      </c>
      <c r="AJ132" t="str">
        <f t="shared" si="48"/>
        <v>2603</v>
      </c>
    </row>
    <row r="133" spans="1:36" x14ac:dyDescent="0.25">
      <c r="A133" t="str">
        <f t="shared" si="54"/>
        <v>Department of Communications</v>
      </c>
      <c r="B133" t="str">
        <f>""</f>
        <v/>
      </c>
      <c r="C133" t="str">
        <f>"CN2474801"</f>
        <v>CN2474801</v>
      </c>
      <c r="D133" t="str">
        <f>"Thomas Lonsdale"</f>
        <v>Thomas Lonsdale</v>
      </c>
      <c r="E133" s="44">
        <v>41857.484722222223</v>
      </c>
      <c r="F133" t="s">
        <v>2508</v>
      </c>
      <c r="G133" t="str">
        <f t="shared" si="55"/>
        <v>published</v>
      </c>
      <c r="H133" s="45">
        <v>41852</v>
      </c>
      <c r="I133" s="45">
        <v>42215</v>
      </c>
      <c r="J133" s="46">
        <v>14392</v>
      </c>
      <c r="K133" t="s">
        <v>1572</v>
      </c>
      <c r="L133" t="str">
        <f>"0004604642"</f>
        <v>0004604642</v>
      </c>
      <c r="M133" t="str">
        <f>"General building and office cleaning and maintenance services"</f>
        <v>General building and office cleaning and maintenance services</v>
      </c>
      <c r="N133" t="str">
        <f t="shared" si="56"/>
        <v>Limited tender</v>
      </c>
      <c r="O133" t="str">
        <f>""</f>
        <v/>
      </c>
      <c r="Q133" t="str">
        <f t="shared" si="53"/>
        <v>No</v>
      </c>
      <c r="R133" t="str">
        <f>""</f>
        <v/>
      </c>
      <c r="S133" t="str">
        <f>"No"</f>
        <v>No</v>
      </c>
      <c r="T133" t="str">
        <f>""</f>
        <v/>
      </c>
      <c r="U133" t="str">
        <f>"No"</f>
        <v>No</v>
      </c>
      <c r="V133" t="str">
        <f>""</f>
        <v/>
      </c>
      <c r="X133" t="str">
        <f>"Emerson Network Power Australia Pty"</f>
        <v>Emerson Network Power Australia Pty</v>
      </c>
      <c r="Y133" t="str">
        <f>"391 Park Road"</f>
        <v>391 Park Road</v>
      </c>
      <c r="Z133" t="str">
        <f>"Regents Park"</f>
        <v>Regents Park</v>
      </c>
      <c r="AA133" t="str">
        <f>"2143"</f>
        <v>2143</v>
      </c>
      <c r="AB133" t="str">
        <f t="shared" si="50"/>
        <v>Australia</v>
      </c>
      <c r="AC133" t="str">
        <f t="shared" si="51"/>
        <v>No</v>
      </c>
      <c r="AD133" t="str">
        <f>"53003469654"</f>
        <v>53003469654</v>
      </c>
      <c r="AE133" t="str">
        <f t="shared" si="49"/>
        <v>ADMIN OFFICER</v>
      </c>
      <c r="AF133" t="str">
        <f t="shared" si="47"/>
        <v>(02) 6271 1000</v>
      </c>
      <c r="AG133" t="str">
        <f>""</f>
        <v/>
      </c>
      <c r="AH133" t="str">
        <f>""</f>
        <v/>
      </c>
      <c r="AI133" t="str">
        <f>"CORPORATE Corporate"</f>
        <v>CORPORATE Corporate</v>
      </c>
      <c r="AJ133" t="str">
        <f t="shared" si="48"/>
        <v>2603</v>
      </c>
    </row>
    <row r="134" spans="1:36" x14ac:dyDescent="0.25">
      <c r="A134" t="str">
        <f t="shared" si="54"/>
        <v>Department of Communications</v>
      </c>
      <c r="B134" t="str">
        <f>""</f>
        <v/>
      </c>
      <c r="C134" t="str">
        <f>"CN2474791"</f>
        <v>CN2474791</v>
      </c>
      <c r="D134" t="str">
        <f>"Thomas Lonsdale"</f>
        <v>Thomas Lonsdale</v>
      </c>
      <c r="E134" s="44">
        <v>41857.484722222223</v>
      </c>
      <c r="F134" t="s">
        <v>2508</v>
      </c>
      <c r="G134" t="str">
        <f t="shared" si="55"/>
        <v>published</v>
      </c>
      <c r="H134" s="45">
        <v>41844</v>
      </c>
      <c r="I134" s="45">
        <v>41912</v>
      </c>
      <c r="J134" s="46">
        <v>62000</v>
      </c>
      <c r="K134" t="s">
        <v>2212</v>
      </c>
      <c r="L134" t="str">
        <f>"0004604646"</f>
        <v>0004604646</v>
      </c>
      <c r="M134" t="str">
        <f>"Management advisory services"</f>
        <v>Management advisory services</v>
      </c>
      <c r="N134" t="str">
        <f t="shared" si="56"/>
        <v>Limited tender</v>
      </c>
      <c r="O134" t="str">
        <f>""</f>
        <v/>
      </c>
      <c r="Q134" t="str">
        <f t="shared" si="53"/>
        <v>No</v>
      </c>
      <c r="R134" t="str">
        <f>""</f>
        <v/>
      </c>
      <c r="S134" t="str">
        <f>"Yes"</f>
        <v>Yes</v>
      </c>
      <c r="T134" t="str">
        <f>"Other - THIRD PARTY CONFIDENTIAL INFORMATION WILL BE ACCESSED BY ADVISER"</f>
        <v>Other - THIRD PARTY CONFIDENTIAL INFORMATION WILL BE ACCESSED BY ADVISER</v>
      </c>
      <c r="U134" t="str">
        <f>"Yes"</f>
        <v>Yes</v>
      </c>
      <c r="V134" t="str">
        <f>"Need for specialised or professional skills"</f>
        <v>Need for specialised or professional skills</v>
      </c>
      <c r="X134" t="str">
        <f>"Imediate Pty Ltd"</f>
        <v>Imediate Pty Ltd</v>
      </c>
      <c r="Y134" t="str">
        <f>"63 Wellington Street"</f>
        <v>63 Wellington Street</v>
      </c>
      <c r="Z134" t="str">
        <f>"Kew"</f>
        <v>Kew</v>
      </c>
      <c r="AA134" t="str">
        <f>"3101"</f>
        <v>3101</v>
      </c>
      <c r="AB134" t="str">
        <f t="shared" si="50"/>
        <v>Australia</v>
      </c>
      <c r="AC134" t="str">
        <f t="shared" si="51"/>
        <v>No</v>
      </c>
      <c r="AD134" t="str">
        <f>"66102397437"</f>
        <v>66102397437</v>
      </c>
      <c r="AE134" t="str">
        <f t="shared" si="49"/>
        <v>ADMIN OFFICER</v>
      </c>
      <c r="AF134" t="str">
        <f t="shared" si="47"/>
        <v>(02) 6271 1000</v>
      </c>
      <c r="AG134" t="str">
        <f>""</f>
        <v/>
      </c>
      <c r="AH134" t="str">
        <f>""</f>
        <v/>
      </c>
      <c r="AI134" t="str">
        <f>"NPAR"</f>
        <v>NPAR</v>
      </c>
      <c r="AJ134" t="str">
        <f t="shared" si="48"/>
        <v>2603</v>
      </c>
    </row>
    <row r="135" spans="1:36" x14ac:dyDescent="0.25">
      <c r="A135" t="str">
        <f t="shared" si="54"/>
        <v>Department of Communications</v>
      </c>
      <c r="B135" t="str">
        <f>""</f>
        <v/>
      </c>
      <c r="C135" t="str">
        <f>"CN2626961"</f>
        <v>CN2626961</v>
      </c>
      <c r="D135" t="str">
        <f>"David Kenny"</f>
        <v>David Kenny</v>
      </c>
      <c r="E135" s="44">
        <v>41929.376388888886</v>
      </c>
      <c r="F135" t="s">
        <v>2508</v>
      </c>
      <c r="G135" t="str">
        <f t="shared" si="55"/>
        <v>published</v>
      </c>
      <c r="H135" s="45">
        <v>41844</v>
      </c>
      <c r="I135" s="45">
        <v>41912</v>
      </c>
      <c r="J135" s="46">
        <v>16365.33</v>
      </c>
      <c r="K135" t="s">
        <v>2219</v>
      </c>
      <c r="L135" t="str">
        <f>"0004604647"</f>
        <v>0004604647</v>
      </c>
      <c r="M135" t="str">
        <f>"Management advisory services"</f>
        <v>Management advisory services</v>
      </c>
      <c r="N135" t="str">
        <f t="shared" si="56"/>
        <v>Limited tender</v>
      </c>
      <c r="O135" t="str">
        <f>""</f>
        <v/>
      </c>
      <c r="Q135" t="str">
        <f t="shared" si="53"/>
        <v>No</v>
      </c>
      <c r="R135" t="str">
        <f>""</f>
        <v/>
      </c>
      <c r="S135" t="str">
        <f>"Yes"</f>
        <v>Yes</v>
      </c>
      <c r="T135" t="str">
        <f>"Other - THIRD PARTY CONFIDENTIAL INFORMATION WILL BE ACCESSED BY ADVISER"</f>
        <v>Other - THIRD PARTY CONFIDENTIAL INFORMATION WILL BE ACCESSED BY ADVISER</v>
      </c>
      <c r="U135" t="str">
        <f>"Yes"</f>
        <v>Yes</v>
      </c>
      <c r="V135" t="str">
        <f>"Need for specialised or professional skills"</f>
        <v>Need for specialised or professional skills</v>
      </c>
      <c r="X135" t="str">
        <f>"333 Group Pty Ltd"</f>
        <v>333 Group Pty Ltd</v>
      </c>
      <c r="Y135" t="str">
        <f>"Level 24, 333 Collins Street"</f>
        <v>Level 24, 333 Collins Street</v>
      </c>
      <c r="Z135" t="str">
        <f>"Melbourne"</f>
        <v>Melbourne</v>
      </c>
      <c r="AA135" t="str">
        <f>"3000"</f>
        <v>3000</v>
      </c>
      <c r="AB135" t="str">
        <f t="shared" si="50"/>
        <v>Australia</v>
      </c>
      <c r="AC135" t="str">
        <f t="shared" si="51"/>
        <v>No</v>
      </c>
      <c r="AD135" t="str">
        <f>"91130949245"</f>
        <v>91130949245</v>
      </c>
      <c r="AE135" t="str">
        <f t="shared" si="49"/>
        <v>ADMIN OFFICER</v>
      </c>
      <c r="AF135" t="str">
        <f t="shared" si="47"/>
        <v>(02) 6271 1000</v>
      </c>
      <c r="AG135" t="str">
        <f>""</f>
        <v/>
      </c>
      <c r="AH135" t="str">
        <f>""</f>
        <v/>
      </c>
      <c r="AI135" t="str">
        <f>"NPAR"</f>
        <v>NPAR</v>
      </c>
      <c r="AJ135" t="str">
        <f t="shared" si="48"/>
        <v>2603</v>
      </c>
    </row>
    <row r="136" spans="1:36" x14ac:dyDescent="0.25">
      <c r="A136" t="str">
        <f t="shared" si="54"/>
        <v>Department of Communications</v>
      </c>
      <c r="B136" t="str">
        <f>""</f>
        <v/>
      </c>
      <c r="C136" t="str">
        <f>"CN2474781"</f>
        <v>CN2474781</v>
      </c>
      <c r="D136" t="str">
        <f>"Thomas Lonsdale"</f>
        <v>Thomas Lonsdale</v>
      </c>
      <c r="E136" s="44">
        <v>41857.484722222223</v>
      </c>
      <c r="F136" t="s">
        <v>2508</v>
      </c>
      <c r="G136" t="str">
        <f t="shared" si="55"/>
        <v>published</v>
      </c>
      <c r="H136" s="45">
        <v>41844</v>
      </c>
      <c r="I136" s="45">
        <v>41912</v>
      </c>
      <c r="J136" s="46">
        <v>75860</v>
      </c>
      <c r="K136" t="s">
        <v>2219</v>
      </c>
      <c r="L136" t="str">
        <f>"0004604647"</f>
        <v>0004604647</v>
      </c>
      <c r="M136" t="str">
        <f>"Management advisory services"</f>
        <v>Management advisory services</v>
      </c>
      <c r="N136" t="str">
        <f t="shared" si="56"/>
        <v>Limited tender</v>
      </c>
      <c r="O136" t="str">
        <f>""</f>
        <v/>
      </c>
      <c r="Q136" t="str">
        <f t="shared" si="53"/>
        <v>No</v>
      </c>
      <c r="R136" t="str">
        <f>""</f>
        <v/>
      </c>
      <c r="S136" t="str">
        <f>"Yes"</f>
        <v>Yes</v>
      </c>
      <c r="T136" t="str">
        <f>"Other - THIRD PARTY CONFIDENTIAL INFORMATION WILL BE ACCESSED BY ADVISER"</f>
        <v>Other - THIRD PARTY CONFIDENTIAL INFORMATION WILL BE ACCESSED BY ADVISER</v>
      </c>
      <c r="U136" t="str">
        <f>"Yes"</f>
        <v>Yes</v>
      </c>
      <c r="V136" t="str">
        <f>"Need for specialised or professional skills"</f>
        <v>Need for specialised or professional skills</v>
      </c>
      <c r="X136" t="str">
        <f>"333 Group Pty Ltd"</f>
        <v>333 Group Pty Ltd</v>
      </c>
      <c r="Y136" t="str">
        <f>"Level 24, 333 Collins Street"</f>
        <v>Level 24, 333 Collins Street</v>
      </c>
      <c r="Z136" t="str">
        <f>"Melbourne"</f>
        <v>Melbourne</v>
      </c>
      <c r="AA136" t="str">
        <f>"3000"</f>
        <v>3000</v>
      </c>
      <c r="AB136" t="str">
        <f t="shared" si="50"/>
        <v>Australia</v>
      </c>
      <c r="AC136" t="str">
        <f t="shared" si="51"/>
        <v>No</v>
      </c>
      <c r="AD136" t="str">
        <f>"91130949245"</f>
        <v>91130949245</v>
      </c>
      <c r="AE136" t="str">
        <f t="shared" si="49"/>
        <v>ADMIN OFFICER</v>
      </c>
      <c r="AF136" t="str">
        <f t="shared" si="47"/>
        <v>(02) 6271 1000</v>
      </c>
      <c r="AG136" t="str">
        <f>""</f>
        <v/>
      </c>
      <c r="AH136" t="str">
        <f>""</f>
        <v/>
      </c>
      <c r="AI136" t="str">
        <f>"NPAR"</f>
        <v>NPAR</v>
      </c>
      <c r="AJ136" t="str">
        <f t="shared" si="48"/>
        <v>2603</v>
      </c>
    </row>
    <row r="137" spans="1:36" x14ac:dyDescent="0.25">
      <c r="A137" t="str">
        <f t="shared" si="54"/>
        <v>Department of Communications</v>
      </c>
      <c r="B137" t="str">
        <f>""</f>
        <v/>
      </c>
      <c r="C137" t="str">
        <f>"CN2474771"</f>
        <v>CN2474771</v>
      </c>
      <c r="D137" t="str">
        <f>"Thomas Lonsdale"</f>
        <v>Thomas Lonsdale</v>
      </c>
      <c r="E137" s="44">
        <v>41857.484722222223</v>
      </c>
      <c r="F137" t="s">
        <v>2508</v>
      </c>
      <c r="G137" t="str">
        <f t="shared" si="55"/>
        <v>published</v>
      </c>
      <c r="H137" s="45">
        <v>41855</v>
      </c>
      <c r="I137" s="45">
        <v>41894</v>
      </c>
      <c r="J137" s="46">
        <v>18480</v>
      </c>
      <c r="K137" t="s">
        <v>1577</v>
      </c>
      <c r="L137" t="str">
        <f>"0004604648"</f>
        <v>0004604648</v>
      </c>
      <c r="M137" t="str">
        <f>"Building support services"</f>
        <v>Building support services</v>
      </c>
      <c r="N137" t="str">
        <f t="shared" si="56"/>
        <v>Limited tender</v>
      </c>
      <c r="O137" t="str">
        <f>""</f>
        <v/>
      </c>
      <c r="Q137" t="str">
        <f t="shared" si="53"/>
        <v>No</v>
      </c>
      <c r="R137" t="str">
        <f>""</f>
        <v/>
      </c>
      <c r="S137" t="str">
        <f>"No"</f>
        <v>No</v>
      </c>
      <c r="T137" t="str">
        <f>""</f>
        <v/>
      </c>
      <c r="U137" t="str">
        <f>"No"</f>
        <v>No</v>
      </c>
      <c r="V137" t="str">
        <f>""</f>
        <v/>
      </c>
      <c r="X137" t="str">
        <f>"NEF Consulting Services"</f>
        <v>NEF Consulting Services</v>
      </c>
      <c r="Y137" t="str">
        <f>"PO Box 260"</f>
        <v>PO Box 260</v>
      </c>
      <c r="Z137" t="str">
        <f>"Dickson"</f>
        <v>Dickson</v>
      </c>
      <c r="AA137" t="str">
        <f>"2602"</f>
        <v>2602</v>
      </c>
      <c r="AB137" t="str">
        <f t="shared" si="50"/>
        <v>Australia</v>
      </c>
      <c r="AC137" t="str">
        <f t="shared" si="51"/>
        <v>No</v>
      </c>
      <c r="AD137" t="str">
        <f>"17125808188"</f>
        <v>17125808188</v>
      </c>
      <c r="AE137" t="str">
        <f t="shared" si="49"/>
        <v>ADMIN OFFICER</v>
      </c>
      <c r="AF137" t="str">
        <f t="shared" si="47"/>
        <v>(02) 6271 1000</v>
      </c>
      <c r="AG137" t="str">
        <f>""</f>
        <v/>
      </c>
      <c r="AH137" t="str">
        <f>""</f>
        <v/>
      </c>
      <c r="AI137" t="str">
        <f>"CORPORATE Corporate"</f>
        <v>CORPORATE Corporate</v>
      </c>
      <c r="AJ137" t="str">
        <f t="shared" si="48"/>
        <v>2603</v>
      </c>
    </row>
    <row r="138" spans="1:36" x14ac:dyDescent="0.25">
      <c r="A138" t="str">
        <f t="shared" si="54"/>
        <v>Department of Communications</v>
      </c>
      <c r="B138" t="str">
        <f>""</f>
        <v/>
      </c>
      <c r="C138" t="str">
        <f>"CN2497251"</f>
        <v>CN2497251</v>
      </c>
      <c r="D138" t="str">
        <f>"Thomas Lonsdale"</f>
        <v>Thomas Lonsdale</v>
      </c>
      <c r="E138" s="44">
        <v>41864.474305555559</v>
      </c>
      <c r="F138" t="s">
        <v>2508</v>
      </c>
      <c r="G138" t="str">
        <f t="shared" si="55"/>
        <v>published</v>
      </c>
      <c r="H138" s="45">
        <v>41855</v>
      </c>
      <c r="I138" s="45">
        <v>41880</v>
      </c>
      <c r="J138" s="46">
        <v>17325</v>
      </c>
      <c r="K138" t="s">
        <v>1580</v>
      </c>
      <c r="L138" t="str">
        <f>"0004604650"</f>
        <v>0004604650</v>
      </c>
      <c r="M138" t="str">
        <f>"Information technology consultation services"</f>
        <v>Information technology consultation services</v>
      </c>
      <c r="N138" t="str">
        <f t="shared" si="56"/>
        <v>Limited tender</v>
      </c>
      <c r="O138" t="str">
        <f>""</f>
        <v/>
      </c>
      <c r="Q138" t="str">
        <f t="shared" si="53"/>
        <v>No</v>
      </c>
      <c r="R138" t="str">
        <f>""</f>
        <v/>
      </c>
      <c r="S138" t="str">
        <f>"No"</f>
        <v>No</v>
      </c>
      <c r="T138" t="str">
        <f>""</f>
        <v/>
      </c>
      <c r="U138" t="str">
        <f>"No"</f>
        <v>No</v>
      </c>
      <c r="V138" t="str">
        <f>""</f>
        <v/>
      </c>
      <c r="X138" t="str">
        <f>"OBS Pty Ltd"</f>
        <v>OBS Pty Ltd</v>
      </c>
      <c r="Y138" t="str">
        <f>"451 Little Bourke Street, Level 9"</f>
        <v>451 Little Bourke Street, Level 9</v>
      </c>
      <c r="Z138" t="str">
        <f>"Melbourne"</f>
        <v>Melbourne</v>
      </c>
      <c r="AA138" t="str">
        <f>"3000"</f>
        <v>3000</v>
      </c>
      <c r="AB138" t="str">
        <f t="shared" si="50"/>
        <v>Australia</v>
      </c>
      <c r="AC138" t="str">
        <f t="shared" si="51"/>
        <v>No</v>
      </c>
      <c r="AD138" t="str">
        <f>"13081252922"</f>
        <v>13081252922</v>
      </c>
      <c r="AE138" t="str">
        <f t="shared" si="49"/>
        <v>ADMIN OFFICER</v>
      </c>
      <c r="AF138" t="str">
        <f t="shared" si="47"/>
        <v>(02) 6271 1000</v>
      </c>
      <c r="AG138" t="str">
        <f>""</f>
        <v/>
      </c>
      <c r="AH138" t="str">
        <f>""</f>
        <v/>
      </c>
      <c r="AI138" t="str">
        <f>"CORPORATE Corporate"</f>
        <v>CORPORATE Corporate</v>
      </c>
      <c r="AJ138" t="str">
        <f t="shared" si="48"/>
        <v>2603</v>
      </c>
    </row>
    <row r="139" spans="1:36" x14ac:dyDescent="0.25">
      <c r="A139" t="str">
        <f t="shared" si="54"/>
        <v>Department of Communications</v>
      </c>
      <c r="B139" t="str">
        <f>""</f>
        <v/>
      </c>
      <c r="C139" t="str">
        <f>"CN2497241"</f>
        <v>CN2497241</v>
      </c>
      <c r="D139" t="str">
        <f>"Thomas Lonsdale"</f>
        <v>Thomas Lonsdale</v>
      </c>
      <c r="E139" s="44">
        <v>41864.474305555559</v>
      </c>
      <c r="F139" t="s">
        <v>2508</v>
      </c>
      <c r="G139" t="str">
        <f t="shared" si="55"/>
        <v>published</v>
      </c>
      <c r="H139" s="45">
        <v>41910</v>
      </c>
      <c r="I139" s="45">
        <v>41915</v>
      </c>
      <c r="J139" s="46">
        <v>130470</v>
      </c>
      <c r="K139" t="s">
        <v>771</v>
      </c>
      <c r="L139" t="str">
        <f>"0004604651"</f>
        <v>0004604651</v>
      </c>
      <c r="M139" t="str">
        <f>"Conference centres"</f>
        <v>Conference centres</v>
      </c>
      <c r="N139" t="str">
        <f t="shared" si="56"/>
        <v>Limited tender</v>
      </c>
      <c r="O139" t="str">
        <f>""</f>
        <v/>
      </c>
      <c r="Q139" t="str">
        <f t="shared" si="53"/>
        <v>No</v>
      </c>
      <c r="R139" t="str">
        <f>""</f>
        <v/>
      </c>
      <c r="S139" t="str">
        <f>"No"</f>
        <v>No</v>
      </c>
      <c r="T139" t="str">
        <f>""</f>
        <v/>
      </c>
      <c r="U139" t="str">
        <f>"No"</f>
        <v>No</v>
      </c>
      <c r="V139" t="str">
        <f>""</f>
        <v/>
      </c>
      <c r="X139" t="str">
        <f>"Stamford Plaza Brisbane"</f>
        <v>Stamford Plaza Brisbane</v>
      </c>
      <c r="Y139" t="str">
        <f>"Cnr Edward &amp; Margaret St"</f>
        <v>Cnr Edward &amp; Margaret St</v>
      </c>
      <c r="Z139" t="str">
        <f>"Brisbane"</f>
        <v>Brisbane</v>
      </c>
      <c r="AA139" t="str">
        <f>"4000"</f>
        <v>4000</v>
      </c>
      <c r="AB139" t="str">
        <f t="shared" si="50"/>
        <v>Australia</v>
      </c>
      <c r="AC139" t="str">
        <f t="shared" si="51"/>
        <v>No</v>
      </c>
      <c r="AD139" t="str">
        <f>"19091007395"</f>
        <v>19091007395</v>
      </c>
      <c r="AE139" t="str">
        <f t="shared" si="49"/>
        <v>ADMIN OFFICER</v>
      </c>
      <c r="AF139" t="str">
        <f t="shared" si="47"/>
        <v>(02) 6271 1000</v>
      </c>
      <c r="AG139" t="str">
        <f>""</f>
        <v/>
      </c>
      <c r="AH139" t="str">
        <f>""</f>
        <v/>
      </c>
      <c r="AI139" t="str">
        <f>"DESV"</f>
        <v>DESV</v>
      </c>
      <c r="AJ139" t="str">
        <f t="shared" ref="AJ139:AJ170" si="57">"2603"</f>
        <v>2603</v>
      </c>
    </row>
    <row r="140" spans="1:36" x14ac:dyDescent="0.25">
      <c r="A140" t="str">
        <f t="shared" si="54"/>
        <v>Department of Communications</v>
      </c>
      <c r="B140" t="str">
        <f>""</f>
        <v/>
      </c>
      <c r="C140" t="str">
        <f>"CN2497231"</f>
        <v>CN2497231</v>
      </c>
      <c r="D140" t="str">
        <f>"Thomas Lonsdale"</f>
        <v>Thomas Lonsdale</v>
      </c>
      <c r="E140" s="44">
        <v>41864.474305555559</v>
      </c>
      <c r="F140" t="s">
        <v>2508</v>
      </c>
      <c r="G140" t="str">
        <f t="shared" si="55"/>
        <v>published</v>
      </c>
      <c r="H140" s="45">
        <v>41852</v>
      </c>
      <c r="I140" s="45">
        <v>41880</v>
      </c>
      <c r="J140" s="46">
        <v>38500</v>
      </c>
      <c r="K140" t="s">
        <v>280</v>
      </c>
      <c r="L140" t="str">
        <f>"0004604652"</f>
        <v>0004604652</v>
      </c>
      <c r="M140" t="str">
        <f>"Strategic planning consultation services"</f>
        <v>Strategic planning consultation services</v>
      </c>
      <c r="N140" t="str">
        <f t="shared" si="56"/>
        <v>Limited tender</v>
      </c>
      <c r="O140" t="str">
        <f>""</f>
        <v/>
      </c>
      <c r="Q140" t="str">
        <f t="shared" si="53"/>
        <v>No</v>
      </c>
      <c r="R140" t="str">
        <f>""</f>
        <v/>
      </c>
      <c r="S140" t="str">
        <f>"No"</f>
        <v>No</v>
      </c>
      <c r="T140" t="str">
        <f>""</f>
        <v/>
      </c>
      <c r="U140" t="str">
        <f>"Yes"</f>
        <v>Yes</v>
      </c>
      <c r="V140" t="str">
        <f>"Need for specialised or professional skills"</f>
        <v>Need for specialised or professional skills</v>
      </c>
      <c r="X140" t="str">
        <f>"Beesness Pty Ltd"</f>
        <v>Beesness Pty Ltd</v>
      </c>
      <c r="Y140" t="str">
        <f>"77B Lynwood Avenue"</f>
        <v>77B Lynwood Avenue</v>
      </c>
      <c r="Z140" t="str">
        <f>"Dee Why"</f>
        <v>Dee Why</v>
      </c>
      <c r="AA140" t="str">
        <f>"2099"</f>
        <v>2099</v>
      </c>
      <c r="AB140" t="str">
        <f t="shared" si="50"/>
        <v>Australia</v>
      </c>
      <c r="AC140" t="str">
        <f t="shared" si="51"/>
        <v>No</v>
      </c>
      <c r="AD140" t="str">
        <f>"53164305695"</f>
        <v>53164305695</v>
      </c>
      <c r="AE140" t="str">
        <f t="shared" si="49"/>
        <v>ADMIN OFFICER</v>
      </c>
      <c r="AF140" t="str">
        <f t="shared" si="47"/>
        <v>(02) 6271 1000</v>
      </c>
      <c r="AG140" t="str">
        <f>""</f>
        <v/>
      </c>
      <c r="AH140" t="str">
        <f>""</f>
        <v/>
      </c>
      <c r="AI140" t="str">
        <f>"DIGITAL SWITCHOVER &amp; CORPORATE PROJECT PLAN Digital Switchover &amp; Corporate Project Plan"</f>
        <v>DIGITAL SWITCHOVER &amp; CORPORATE PROJECT PLAN Digital Switchover &amp; Corporate Project Plan</v>
      </c>
      <c r="AJ140" t="str">
        <f t="shared" si="57"/>
        <v>2603</v>
      </c>
    </row>
    <row r="141" spans="1:36" x14ac:dyDescent="0.25">
      <c r="A141" t="str">
        <f t="shared" si="54"/>
        <v>Department of Communications</v>
      </c>
      <c r="B141" t="str">
        <f>""</f>
        <v/>
      </c>
      <c r="C141" t="str">
        <f>"CN2611291"</f>
        <v>CN2611291</v>
      </c>
      <c r="D141" t="str">
        <f>"David Kenny"</f>
        <v>David Kenny</v>
      </c>
      <c r="E141" s="44">
        <v>41920.473611111112</v>
      </c>
      <c r="F141" t="s">
        <v>2508</v>
      </c>
      <c r="G141" t="str">
        <f t="shared" si="55"/>
        <v>published</v>
      </c>
      <c r="H141" s="45">
        <v>41852</v>
      </c>
      <c r="I141" s="45">
        <v>41880</v>
      </c>
      <c r="J141" s="46">
        <v>11500</v>
      </c>
      <c r="K141" t="s">
        <v>280</v>
      </c>
      <c r="L141" t="str">
        <f>"0004604652"</f>
        <v>0004604652</v>
      </c>
      <c r="M141" t="str">
        <f>"Strategic planning consultation services"</f>
        <v>Strategic planning consultation services</v>
      </c>
      <c r="N141" t="str">
        <f t="shared" si="56"/>
        <v>Limited tender</v>
      </c>
      <c r="O141" t="str">
        <f>""</f>
        <v/>
      </c>
      <c r="Q141" t="str">
        <f t="shared" si="53"/>
        <v>No</v>
      </c>
      <c r="R141" t="str">
        <f>""</f>
        <v/>
      </c>
      <c r="S141" t="str">
        <f>"No"</f>
        <v>No</v>
      </c>
      <c r="T141" t="str">
        <f>""</f>
        <v/>
      </c>
      <c r="U141" t="str">
        <f>"Yes"</f>
        <v>Yes</v>
      </c>
      <c r="V141" t="str">
        <f>"Need for specialised or professional skills"</f>
        <v>Need for specialised or professional skills</v>
      </c>
      <c r="X141" t="str">
        <f>"Beesness Pty Ltd"</f>
        <v>Beesness Pty Ltd</v>
      </c>
      <c r="Y141" t="str">
        <f>"77B Lynwood Avenue"</f>
        <v>77B Lynwood Avenue</v>
      </c>
      <c r="Z141" t="str">
        <f>"Dee Why"</f>
        <v>Dee Why</v>
      </c>
      <c r="AA141" t="str">
        <f>"2099"</f>
        <v>2099</v>
      </c>
      <c r="AB141" t="str">
        <f t="shared" si="50"/>
        <v>Australia</v>
      </c>
      <c r="AC141" t="str">
        <f t="shared" si="51"/>
        <v>No</v>
      </c>
      <c r="AD141" t="str">
        <f>"53164305695"</f>
        <v>53164305695</v>
      </c>
      <c r="AE141" t="str">
        <f t="shared" si="49"/>
        <v>ADMIN OFFICER</v>
      </c>
      <c r="AF141" t="str">
        <f t="shared" si="47"/>
        <v>(02) 6271 1000</v>
      </c>
      <c r="AG141" t="str">
        <f>""</f>
        <v/>
      </c>
      <c r="AH141" t="str">
        <f>""</f>
        <v/>
      </c>
      <c r="AI141" t="str">
        <f>"DIGITAL SWITCHOVER &amp; CORPORATE PROJECT PLAN [OLD] Digital Switchover &amp; Corporate Project Pla"</f>
        <v>DIGITAL SWITCHOVER &amp; CORPORATE PROJECT PLAN [OLD] Digital Switchover &amp; Corporate Project Pla</v>
      </c>
      <c r="AJ141" t="str">
        <f t="shared" si="57"/>
        <v>2603</v>
      </c>
    </row>
    <row r="142" spans="1:36" x14ac:dyDescent="0.25">
      <c r="A142" t="str">
        <f t="shared" si="54"/>
        <v>Department of Communications</v>
      </c>
      <c r="B142" t="str">
        <f>""</f>
        <v/>
      </c>
      <c r="C142" t="str">
        <f>"CN2510811"</f>
        <v>CN2510811</v>
      </c>
      <c r="D142" t="str">
        <f>"Thomas Lonsdale"</f>
        <v>Thomas Lonsdale</v>
      </c>
      <c r="E142" s="44">
        <v>41871.430555555555</v>
      </c>
      <c r="F142" t="s">
        <v>2508</v>
      </c>
      <c r="G142" t="str">
        <f t="shared" si="55"/>
        <v>published</v>
      </c>
      <c r="H142" s="45">
        <v>41828</v>
      </c>
      <c r="I142" s="45">
        <v>42004</v>
      </c>
      <c r="J142" s="46">
        <v>14250</v>
      </c>
      <c r="K142" t="s">
        <v>2380</v>
      </c>
      <c r="L142" t="str">
        <f>"0004604655"</f>
        <v>0004604655</v>
      </c>
      <c r="M142" t="str">
        <f>"Legal services"</f>
        <v>Legal services</v>
      </c>
      <c r="N142" t="str">
        <f>"Prequalified tender"</f>
        <v>Prequalified tender</v>
      </c>
      <c r="O142" t="str">
        <f>""</f>
        <v/>
      </c>
      <c r="Q142" t="str">
        <f>"Yes"</f>
        <v>Yes</v>
      </c>
      <c r="R142" t="str">
        <f>"Costing/profit information"</f>
        <v>Costing/profit information</v>
      </c>
      <c r="S142" t="str">
        <f>"Yes"</f>
        <v>Yes</v>
      </c>
      <c r="T142" t="str">
        <f>"Intellectual property"</f>
        <v>Intellectual property</v>
      </c>
      <c r="U142" t="str">
        <f>"Yes"</f>
        <v>Yes</v>
      </c>
      <c r="V142" t="str">
        <f>"Need for specialised or professional skills"</f>
        <v>Need for specialised or professional skills</v>
      </c>
      <c r="X142" t="str">
        <f>"AUSTRALIAN GOVERNMENT SOLICITOR"</f>
        <v>AUSTRALIAN GOVERNMENT SOLICITOR</v>
      </c>
      <c r="Y142" t="str">
        <f>"Locked Bag 7246"</f>
        <v>Locked Bag 7246</v>
      </c>
      <c r="Z142" t="str">
        <f>"Canberra Mail Centre"</f>
        <v>Canberra Mail Centre</v>
      </c>
      <c r="AA142" t="str">
        <f>"2610"</f>
        <v>2610</v>
      </c>
      <c r="AB142" t="str">
        <f t="shared" si="50"/>
        <v>Australia</v>
      </c>
      <c r="AC142" t="str">
        <f t="shared" si="51"/>
        <v>No</v>
      </c>
      <c r="AD142" t="str">
        <f>"69405937639"</f>
        <v>69405937639</v>
      </c>
      <c r="AE142" t="str">
        <f t="shared" si="49"/>
        <v>ADMIN OFFICER</v>
      </c>
      <c r="AF142" t="str">
        <f t="shared" si="47"/>
        <v>(02) 6271 1000</v>
      </c>
      <c r="AG142" t="str">
        <f>""</f>
        <v/>
      </c>
      <c r="AH142" t="str">
        <f>""</f>
        <v/>
      </c>
      <c r="AI142" t="str">
        <f>"LEGAL Legal"</f>
        <v>LEGAL Legal</v>
      </c>
      <c r="AJ142" t="str">
        <f t="shared" si="57"/>
        <v>2603</v>
      </c>
    </row>
    <row r="143" spans="1:36" x14ac:dyDescent="0.25">
      <c r="A143" t="str">
        <f t="shared" si="54"/>
        <v>Department of Communications</v>
      </c>
      <c r="B143" t="str">
        <f>""</f>
        <v/>
      </c>
      <c r="C143" t="str">
        <f>"CN2577841"</f>
        <v>CN2577841</v>
      </c>
      <c r="D143" t="str">
        <f>"David Kenny"</f>
        <v>David Kenny</v>
      </c>
      <c r="E143" s="44">
        <v>41901.635416666664</v>
      </c>
      <c r="F143" t="s">
        <v>2508</v>
      </c>
      <c r="G143" t="str">
        <f t="shared" si="55"/>
        <v>published</v>
      </c>
      <c r="H143" s="45">
        <v>41828</v>
      </c>
      <c r="I143" s="45">
        <v>42004</v>
      </c>
      <c r="J143" s="46">
        <v>11574.2</v>
      </c>
      <c r="K143" t="s">
        <v>2380</v>
      </c>
      <c r="L143" t="str">
        <f>"0004604655"</f>
        <v>0004604655</v>
      </c>
      <c r="M143" t="str">
        <f>"Legal services"</f>
        <v>Legal services</v>
      </c>
      <c r="N143" t="str">
        <f>"Prequalified tender"</f>
        <v>Prequalified tender</v>
      </c>
      <c r="O143" t="str">
        <f>""</f>
        <v/>
      </c>
      <c r="Q143" t="str">
        <f>"Yes"</f>
        <v>Yes</v>
      </c>
      <c r="R143" t="str">
        <f>"Costing/profit information"</f>
        <v>Costing/profit information</v>
      </c>
      <c r="S143" t="str">
        <f>"Yes"</f>
        <v>Yes</v>
      </c>
      <c r="T143" t="str">
        <f>"Intellectual property"</f>
        <v>Intellectual property</v>
      </c>
      <c r="U143" t="str">
        <f>"Yes"</f>
        <v>Yes</v>
      </c>
      <c r="V143" t="str">
        <f>"Need for specialised or professional skills"</f>
        <v>Need for specialised or professional skills</v>
      </c>
      <c r="X143" t="str">
        <f>"AUSTRALIAN GOVERNMENT SOLICITOR"</f>
        <v>AUSTRALIAN GOVERNMENT SOLICITOR</v>
      </c>
      <c r="Y143" t="str">
        <f>"Locked Bag 7246"</f>
        <v>Locked Bag 7246</v>
      </c>
      <c r="Z143" t="str">
        <f>"Canberra Mail Centre"</f>
        <v>Canberra Mail Centre</v>
      </c>
      <c r="AA143" t="str">
        <f>"2610"</f>
        <v>2610</v>
      </c>
      <c r="AB143" t="str">
        <f t="shared" si="50"/>
        <v>Australia</v>
      </c>
      <c r="AC143" t="str">
        <f t="shared" si="51"/>
        <v>No</v>
      </c>
      <c r="AD143" t="str">
        <f>"69405937639"</f>
        <v>69405937639</v>
      </c>
      <c r="AE143" t="str">
        <f>"PROCUREMENT MANAGER"</f>
        <v>PROCUREMENT MANAGER</v>
      </c>
      <c r="AF143" t="str">
        <f t="shared" si="47"/>
        <v>(02) 6271 1000</v>
      </c>
      <c r="AG143" t="str">
        <f>""</f>
        <v/>
      </c>
      <c r="AH143" t="str">
        <f>""</f>
        <v/>
      </c>
      <c r="AI143" t="str">
        <f>"GENERAL COUNSEL Office of the General Counsel"</f>
        <v>GENERAL COUNSEL Office of the General Counsel</v>
      </c>
      <c r="AJ143" t="str">
        <f t="shared" si="57"/>
        <v>2603</v>
      </c>
    </row>
    <row r="144" spans="1:36" x14ac:dyDescent="0.25">
      <c r="A144" t="str">
        <f t="shared" si="54"/>
        <v>Department of Communications</v>
      </c>
      <c r="B144" t="str">
        <f>""</f>
        <v/>
      </c>
      <c r="C144" t="str">
        <f>"CN2730221"</f>
        <v>CN2730221</v>
      </c>
      <c r="D144" t="str">
        <f>"David Kenny"</f>
        <v>David Kenny</v>
      </c>
      <c r="E144" s="44">
        <v>41981.447916666664</v>
      </c>
      <c r="F144" t="s">
        <v>2508</v>
      </c>
      <c r="G144" t="str">
        <f t="shared" si="55"/>
        <v>published</v>
      </c>
      <c r="H144" s="45">
        <v>41859</v>
      </c>
      <c r="I144" s="45">
        <v>42185</v>
      </c>
      <c r="J144" s="46">
        <v>11550.07</v>
      </c>
      <c r="K144" t="s">
        <v>1548</v>
      </c>
      <c r="L144" t="str">
        <f>"0004604656"</f>
        <v>0004604656</v>
      </c>
      <c r="M144" t="str">
        <f>"Temporary personnel services"</f>
        <v>Temporary personnel services</v>
      </c>
      <c r="N144" t="str">
        <f>"Open tender"</f>
        <v>Open tender</v>
      </c>
      <c r="O144" t="str">
        <f>"DCON/12/244"</f>
        <v>DCON/12/244</v>
      </c>
      <c r="P144" t="str">
        <f>"SON1180562"</f>
        <v>SON1180562</v>
      </c>
      <c r="Q144" t="str">
        <f t="shared" ref="Q144:Q157" si="58">"No"</f>
        <v>No</v>
      </c>
      <c r="R144" t="str">
        <f>""</f>
        <v/>
      </c>
      <c r="S144" t="str">
        <f t="shared" ref="S144:S157" si="59">"No"</f>
        <v>No</v>
      </c>
      <c r="T144" t="str">
        <f>""</f>
        <v/>
      </c>
      <c r="U144" t="str">
        <f t="shared" ref="U144:U155" si="60">"No"</f>
        <v>No</v>
      </c>
      <c r="V144" t="str">
        <f>""</f>
        <v/>
      </c>
      <c r="X144" t="str">
        <f>"HAYS PERSONNEL SERVICES (AUST) P/L"</f>
        <v>HAYS PERSONNEL SERVICES (AUST) P/L</v>
      </c>
      <c r="Y144" t="str">
        <f>"GPO BOX 3868"</f>
        <v>GPO BOX 3868</v>
      </c>
      <c r="Z144" t="str">
        <f>"SYDNEY"</f>
        <v>SYDNEY</v>
      </c>
      <c r="AA144" t="str">
        <f>"2001"</f>
        <v>2001</v>
      </c>
      <c r="AB144" t="str">
        <f t="shared" si="50"/>
        <v>Australia</v>
      </c>
      <c r="AC144" t="str">
        <f t="shared" si="51"/>
        <v>No</v>
      </c>
      <c r="AD144" t="str">
        <f>"47001407281"</f>
        <v>47001407281</v>
      </c>
      <c r="AE144" t="str">
        <f t="shared" ref="AE144:AE155" si="61">"ADMIN OFFICER"</f>
        <v>ADMIN OFFICER</v>
      </c>
      <c r="AF144" t="str">
        <f t="shared" si="47"/>
        <v>(02) 6271 1000</v>
      </c>
      <c r="AG144" t="str">
        <f>""</f>
        <v/>
      </c>
      <c r="AH144" t="str">
        <f>""</f>
        <v/>
      </c>
      <c r="AI144" t="str">
        <f>"CORPORATE TREASURY [OLD] Corporate Treasury"</f>
        <v>CORPORATE TREASURY [OLD] Corporate Treasury</v>
      </c>
      <c r="AJ144" t="str">
        <f t="shared" si="57"/>
        <v>2603</v>
      </c>
    </row>
    <row r="145" spans="1:36" x14ac:dyDescent="0.25">
      <c r="A145" t="str">
        <f t="shared" si="54"/>
        <v>Department of Communications</v>
      </c>
      <c r="B145" t="str">
        <f>""</f>
        <v/>
      </c>
      <c r="C145" t="str">
        <f>"CN2497211"</f>
        <v>CN2497211</v>
      </c>
      <c r="D145" t="str">
        <f>"Thomas Lonsdale"</f>
        <v>Thomas Lonsdale</v>
      </c>
      <c r="E145" s="44">
        <v>41864.474305555559</v>
      </c>
      <c r="F145" t="s">
        <v>2508</v>
      </c>
      <c r="G145" t="str">
        <f t="shared" si="55"/>
        <v>published</v>
      </c>
      <c r="H145" s="45">
        <v>41859</v>
      </c>
      <c r="I145" s="45">
        <v>41997</v>
      </c>
      <c r="J145" s="46">
        <v>70000</v>
      </c>
      <c r="K145" t="s">
        <v>1581</v>
      </c>
      <c r="L145" t="str">
        <f>"0004604657"</f>
        <v>0004604657</v>
      </c>
      <c r="M145" t="str">
        <f>"Temporary personnel services"</f>
        <v>Temporary personnel services</v>
      </c>
      <c r="N145" t="str">
        <f>"Open tender"</f>
        <v>Open tender</v>
      </c>
      <c r="O145" t="str">
        <f>"DCON/12/244"</f>
        <v>DCON/12/244</v>
      </c>
      <c r="P145" t="str">
        <f>"SON1180562"</f>
        <v>SON1180562</v>
      </c>
      <c r="Q145" t="str">
        <f t="shared" si="58"/>
        <v>No</v>
      </c>
      <c r="R145" t="str">
        <f>""</f>
        <v/>
      </c>
      <c r="S145" t="str">
        <f t="shared" si="59"/>
        <v>No</v>
      </c>
      <c r="T145" t="str">
        <f>""</f>
        <v/>
      </c>
      <c r="U145" t="str">
        <f t="shared" si="60"/>
        <v>No</v>
      </c>
      <c r="V145" t="str">
        <f>""</f>
        <v/>
      </c>
      <c r="X145" t="str">
        <f>"DFP Recruitment Services"</f>
        <v>DFP Recruitment Services</v>
      </c>
      <c r="Y145" t="str">
        <f>"388 Collins Street"</f>
        <v>388 Collins Street</v>
      </c>
      <c r="Z145" t="str">
        <f>"Melbourne"</f>
        <v>Melbourne</v>
      </c>
      <c r="AA145" t="str">
        <f>"3000"</f>
        <v>3000</v>
      </c>
      <c r="AB145" t="str">
        <f t="shared" si="50"/>
        <v>Australia</v>
      </c>
      <c r="AC145" t="str">
        <f t="shared" si="51"/>
        <v>No</v>
      </c>
      <c r="AD145" t="str">
        <f>"66394749447"</f>
        <v>66394749447</v>
      </c>
      <c r="AE145" t="str">
        <f t="shared" si="61"/>
        <v>ADMIN OFFICER</v>
      </c>
      <c r="AF145" t="str">
        <f t="shared" si="47"/>
        <v>(02) 6271 1000</v>
      </c>
      <c r="AG145" t="str">
        <f>""</f>
        <v/>
      </c>
      <c r="AH145" t="str">
        <f>""</f>
        <v/>
      </c>
      <c r="AI145" t="str">
        <f>"CORPORATE Corporate"</f>
        <v>CORPORATE Corporate</v>
      </c>
      <c r="AJ145" t="str">
        <f t="shared" si="57"/>
        <v>2603</v>
      </c>
    </row>
    <row r="146" spans="1:36" x14ac:dyDescent="0.25">
      <c r="A146" t="str">
        <f t="shared" si="54"/>
        <v>Department of Communications</v>
      </c>
      <c r="B146" t="str">
        <f>""</f>
        <v/>
      </c>
      <c r="C146" t="str">
        <f>"CN2510801"</f>
        <v>CN2510801</v>
      </c>
      <c r="D146" t="str">
        <f>"Thomas Lonsdale"</f>
        <v>Thomas Lonsdale</v>
      </c>
      <c r="E146" s="44">
        <v>41871.430555555555</v>
      </c>
      <c r="F146" t="s">
        <v>2508</v>
      </c>
      <c r="G146" t="str">
        <f t="shared" si="55"/>
        <v>published</v>
      </c>
      <c r="H146" s="45">
        <v>41821</v>
      </c>
      <c r="I146" s="45">
        <v>42154</v>
      </c>
      <c r="J146" s="46">
        <v>27310</v>
      </c>
      <c r="K146" t="s">
        <v>1583</v>
      </c>
      <c r="L146" t="str">
        <f>"0004604658"</f>
        <v>0004604658</v>
      </c>
      <c r="M146" t="str">
        <f>"Computer Equipment and Accessories"</f>
        <v>Computer Equipment and Accessories</v>
      </c>
      <c r="N146" t="str">
        <f>"Limited tender"</f>
        <v>Limited tender</v>
      </c>
      <c r="O146" t="str">
        <f>""</f>
        <v/>
      </c>
      <c r="Q146" t="str">
        <f t="shared" si="58"/>
        <v>No</v>
      </c>
      <c r="R146" t="str">
        <f>""</f>
        <v/>
      </c>
      <c r="S146" t="str">
        <f t="shared" si="59"/>
        <v>No</v>
      </c>
      <c r="T146" t="str">
        <f>""</f>
        <v/>
      </c>
      <c r="U146" t="str">
        <f t="shared" si="60"/>
        <v>No</v>
      </c>
      <c r="V146" t="str">
        <f>""</f>
        <v/>
      </c>
      <c r="X146" t="str">
        <f>"THE DEPARTMENT OF PRIME MINISTER"</f>
        <v>THE DEPARTMENT OF PRIME MINISTER</v>
      </c>
      <c r="Y146" t="str">
        <f>"PO Box 6500"</f>
        <v>PO Box 6500</v>
      </c>
      <c r="Z146" t="str">
        <f>"Canberra"</f>
        <v>Canberra</v>
      </c>
      <c r="AA146" t="str">
        <f>"2600"</f>
        <v>2600</v>
      </c>
      <c r="AB146" t="str">
        <f t="shared" si="50"/>
        <v>Australia</v>
      </c>
      <c r="AC146" t="str">
        <f t="shared" si="51"/>
        <v>No</v>
      </c>
      <c r="AD146" t="str">
        <f>"18108001191"</f>
        <v>18108001191</v>
      </c>
      <c r="AE146" t="str">
        <f t="shared" si="61"/>
        <v>ADMIN OFFICER</v>
      </c>
      <c r="AF146" t="str">
        <f t="shared" si="47"/>
        <v>(02) 6271 1000</v>
      </c>
      <c r="AG146" t="str">
        <f>""</f>
        <v/>
      </c>
      <c r="AH146" t="str">
        <f>""</f>
        <v/>
      </c>
      <c r="AI146" t="str">
        <f>"CORPORATE [OLD] Corporate Treasury"</f>
        <v>CORPORATE [OLD] Corporate Treasury</v>
      </c>
      <c r="AJ146" t="str">
        <f t="shared" si="57"/>
        <v>2603</v>
      </c>
    </row>
    <row r="147" spans="1:36" x14ac:dyDescent="0.25">
      <c r="A147" t="str">
        <f t="shared" si="54"/>
        <v>Department of Communications</v>
      </c>
      <c r="B147" t="str">
        <f>""</f>
        <v/>
      </c>
      <c r="C147" t="str">
        <f>"CN2730211"</f>
        <v>CN2730211</v>
      </c>
      <c r="D147" t="str">
        <f>"David Kenny"</f>
        <v>David Kenny</v>
      </c>
      <c r="E147" s="44">
        <v>41981.447916666664</v>
      </c>
      <c r="F147" t="s">
        <v>2508</v>
      </c>
      <c r="G147" t="str">
        <f t="shared" si="55"/>
        <v>published</v>
      </c>
      <c r="H147" s="45">
        <v>41862</v>
      </c>
      <c r="I147" s="45">
        <v>42185</v>
      </c>
      <c r="J147" s="46">
        <v>11367.36</v>
      </c>
      <c r="K147" t="s">
        <v>1548</v>
      </c>
      <c r="L147" t="str">
        <f>"0004604659"</f>
        <v>0004604659</v>
      </c>
      <c r="M147" t="str">
        <f>"Temporary personnel services"</f>
        <v>Temporary personnel services</v>
      </c>
      <c r="N147" t="str">
        <f>"Open tender"</f>
        <v>Open tender</v>
      </c>
      <c r="O147" t="str">
        <f>"DCON/12/244"</f>
        <v>DCON/12/244</v>
      </c>
      <c r="P147" t="str">
        <f>"SON1180562"</f>
        <v>SON1180562</v>
      </c>
      <c r="Q147" t="str">
        <f t="shared" si="58"/>
        <v>No</v>
      </c>
      <c r="R147" t="str">
        <f>""</f>
        <v/>
      </c>
      <c r="S147" t="str">
        <f t="shared" si="59"/>
        <v>No</v>
      </c>
      <c r="T147" t="str">
        <f>""</f>
        <v/>
      </c>
      <c r="U147" t="str">
        <f t="shared" si="60"/>
        <v>No</v>
      </c>
      <c r="V147" t="str">
        <f>""</f>
        <v/>
      </c>
      <c r="X147" t="str">
        <f>"HAYS PERSONNEL SERVICES (AUST) P/L"</f>
        <v>HAYS PERSONNEL SERVICES (AUST) P/L</v>
      </c>
      <c r="Y147" t="str">
        <f>"GPO BOX 3868"</f>
        <v>GPO BOX 3868</v>
      </c>
      <c r="Z147" t="str">
        <f>"SYDNEY"</f>
        <v>SYDNEY</v>
      </c>
      <c r="AA147" t="str">
        <f>"2001"</f>
        <v>2001</v>
      </c>
      <c r="AB147" t="str">
        <f t="shared" si="50"/>
        <v>Australia</v>
      </c>
      <c r="AC147" t="str">
        <f t="shared" si="51"/>
        <v>No</v>
      </c>
      <c r="AD147" t="str">
        <f>"47001407281"</f>
        <v>47001407281</v>
      </c>
      <c r="AE147" t="str">
        <f t="shared" si="61"/>
        <v>ADMIN OFFICER</v>
      </c>
      <c r="AF147" t="str">
        <f t="shared" si="47"/>
        <v>(02) 6271 1000</v>
      </c>
      <c r="AG147" t="str">
        <f>""</f>
        <v/>
      </c>
      <c r="AH147" t="str">
        <f>""</f>
        <v/>
      </c>
      <c r="AI147" t="str">
        <f>"CORPORATE TREASURY [OLD] Corporate Treasury"</f>
        <v>CORPORATE TREASURY [OLD] Corporate Treasury</v>
      </c>
      <c r="AJ147" t="str">
        <f t="shared" si="57"/>
        <v>2603</v>
      </c>
    </row>
    <row r="148" spans="1:36" x14ac:dyDescent="0.25">
      <c r="A148" t="str">
        <f t="shared" si="54"/>
        <v>Department of Communications</v>
      </c>
      <c r="B148" t="str">
        <f>""</f>
        <v/>
      </c>
      <c r="C148" t="str">
        <f>"CN2510791"</f>
        <v>CN2510791</v>
      </c>
      <c r="D148" t="str">
        <f>"Thomas Lonsdale"</f>
        <v>Thomas Lonsdale</v>
      </c>
      <c r="E148" s="44">
        <v>41871.430555555555</v>
      </c>
      <c r="F148" t="s">
        <v>2508</v>
      </c>
      <c r="G148" t="str">
        <f t="shared" si="55"/>
        <v>published</v>
      </c>
      <c r="H148" s="45">
        <v>41866</v>
      </c>
      <c r="I148" s="45">
        <v>42004</v>
      </c>
      <c r="J148" s="46">
        <v>35860</v>
      </c>
      <c r="K148" t="s">
        <v>1590</v>
      </c>
      <c r="L148" t="str">
        <f>"0004604663"</f>
        <v>0004604663</v>
      </c>
      <c r="M148" t="str">
        <f>"Network security equipment"</f>
        <v>Network security equipment</v>
      </c>
      <c r="N148" t="str">
        <f>"Open tender"</f>
        <v>Open tender</v>
      </c>
      <c r="O148" t="str">
        <f>"DCON/09/67"</f>
        <v>DCON/09/67</v>
      </c>
      <c r="P148" t="str">
        <f>"SON269193"</f>
        <v>SON269193</v>
      </c>
      <c r="Q148" t="str">
        <f t="shared" si="58"/>
        <v>No</v>
      </c>
      <c r="R148" t="str">
        <f>""</f>
        <v/>
      </c>
      <c r="S148" t="str">
        <f t="shared" si="59"/>
        <v>No</v>
      </c>
      <c r="T148" t="str">
        <f>""</f>
        <v/>
      </c>
      <c r="U148" t="str">
        <f t="shared" si="60"/>
        <v>No</v>
      </c>
      <c r="V148" t="str">
        <f>""</f>
        <v/>
      </c>
      <c r="X148" t="str">
        <f>"ASG Group Limited"</f>
        <v>ASG Group Limited</v>
      </c>
      <c r="Y148" t="str">
        <f>"Level 1, 267 Georges Terrace"</f>
        <v>Level 1, 267 Georges Terrace</v>
      </c>
      <c r="Z148" t="str">
        <f>"Perth"</f>
        <v>Perth</v>
      </c>
      <c r="AA148" t="str">
        <f>"6000"</f>
        <v>6000</v>
      </c>
      <c r="AB148" t="str">
        <f t="shared" si="50"/>
        <v>Australia</v>
      </c>
      <c r="AC148" t="str">
        <f t="shared" si="51"/>
        <v>No</v>
      </c>
      <c r="AD148" t="str">
        <f>"57070045117"</f>
        <v>57070045117</v>
      </c>
      <c r="AE148" t="str">
        <f t="shared" si="61"/>
        <v>ADMIN OFFICER</v>
      </c>
      <c r="AF148" t="str">
        <f t="shared" si="47"/>
        <v>(02) 6271 1000</v>
      </c>
      <c r="AG148" t="str">
        <f>""</f>
        <v/>
      </c>
      <c r="AH148" t="str">
        <f>""</f>
        <v/>
      </c>
      <c r="AI148" t="str">
        <f>"CORPORATE [OLD] Corporate Treasury"</f>
        <v>CORPORATE [OLD] Corporate Treasury</v>
      </c>
      <c r="AJ148" t="str">
        <f t="shared" si="57"/>
        <v>2603</v>
      </c>
    </row>
    <row r="149" spans="1:36" x14ac:dyDescent="0.25">
      <c r="A149" t="str">
        <f t="shared" si="54"/>
        <v>Department of Communications</v>
      </c>
      <c r="B149" t="str">
        <f>""</f>
        <v/>
      </c>
      <c r="C149" t="str">
        <f>"CN2626951"</f>
        <v>CN2626951</v>
      </c>
      <c r="D149" t="str">
        <f>"David Kenny"</f>
        <v>David Kenny</v>
      </c>
      <c r="E149" s="44">
        <v>41929.376388888886</v>
      </c>
      <c r="F149" t="s">
        <v>2508</v>
      </c>
      <c r="G149" t="str">
        <f t="shared" si="55"/>
        <v>published</v>
      </c>
      <c r="H149" s="45">
        <v>41863</v>
      </c>
      <c r="I149" s="45">
        <v>42004</v>
      </c>
      <c r="J149" s="46">
        <v>44000</v>
      </c>
      <c r="K149" t="s">
        <v>1595</v>
      </c>
      <c r="L149" t="str">
        <f>"0004604665"</f>
        <v>0004604665</v>
      </c>
      <c r="M149" t="str">
        <f>"Information technology consultation services"</f>
        <v>Information technology consultation services</v>
      </c>
      <c r="N149" t="str">
        <f>"Limited tender"</f>
        <v>Limited tender</v>
      </c>
      <c r="O149" t="str">
        <f>""</f>
        <v/>
      </c>
      <c r="Q149" t="str">
        <f t="shared" si="58"/>
        <v>No</v>
      </c>
      <c r="R149" t="str">
        <f>""</f>
        <v/>
      </c>
      <c r="S149" t="str">
        <f t="shared" si="59"/>
        <v>No</v>
      </c>
      <c r="T149" t="str">
        <f>""</f>
        <v/>
      </c>
      <c r="U149" t="str">
        <f t="shared" si="60"/>
        <v>No</v>
      </c>
      <c r="V149" t="str">
        <f>""</f>
        <v/>
      </c>
      <c r="X149" t="str">
        <f>"Reading Room"</f>
        <v>Reading Room</v>
      </c>
      <c r="Y149" t="str">
        <f>"Unit 1, 17 Napier Close"</f>
        <v>Unit 1, 17 Napier Close</v>
      </c>
      <c r="Z149" t="str">
        <f>"Deakin"</f>
        <v>Deakin</v>
      </c>
      <c r="AA149" t="str">
        <f>"2600"</f>
        <v>2600</v>
      </c>
      <c r="AB149" t="str">
        <f t="shared" si="50"/>
        <v>Australia</v>
      </c>
      <c r="AC149" t="str">
        <f t="shared" si="51"/>
        <v>No</v>
      </c>
      <c r="AD149" t="str">
        <f>"43096505805"</f>
        <v>43096505805</v>
      </c>
      <c r="AE149" t="str">
        <f t="shared" si="61"/>
        <v>ADMIN OFFICER</v>
      </c>
      <c r="AF149" t="str">
        <f t="shared" si="47"/>
        <v>(02) 6271 1000</v>
      </c>
      <c r="AG149" t="str">
        <f>""</f>
        <v/>
      </c>
      <c r="AH149" t="str">
        <f>""</f>
        <v/>
      </c>
      <c r="AI149" t="str">
        <f>"CORPORATE TREASURY [OLD] Corporate Treasury"</f>
        <v>CORPORATE TREASURY [OLD] Corporate Treasury</v>
      </c>
      <c r="AJ149" t="str">
        <f t="shared" si="57"/>
        <v>2603</v>
      </c>
    </row>
    <row r="150" spans="1:36" x14ac:dyDescent="0.25">
      <c r="A150" t="str">
        <f t="shared" si="54"/>
        <v>Department of Communications</v>
      </c>
      <c r="B150" t="str">
        <f>""</f>
        <v/>
      </c>
      <c r="C150" t="str">
        <f>"CN2510781"</f>
        <v>CN2510781</v>
      </c>
      <c r="D150" t="str">
        <f>"Thomas Lonsdale"</f>
        <v>Thomas Lonsdale</v>
      </c>
      <c r="E150" s="44">
        <v>41871.430555555555</v>
      </c>
      <c r="F150" t="s">
        <v>2508</v>
      </c>
      <c r="G150" t="str">
        <f t="shared" si="55"/>
        <v>published</v>
      </c>
      <c r="H150" s="45">
        <v>41866</v>
      </c>
      <c r="I150" s="45">
        <v>41912</v>
      </c>
      <c r="J150" s="46">
        <v>75000</v>
      </c>
      <c r="K150" t="s">
        <v>1596</v>
      </c>
      <c r="L150" t="str">
        <f>"0004604666"</f>
        <v>0004604666</v>
      </c>
      <c r="M150" t="str">
        <f>"Building support services"</f>
        <v>Building support services</v>
      </c>
      <c r="N150" t="str">
        <f>"Limited tender"</f>
        <v>Limited tender</v>
      </c>
      <c r="O150" t="str">
        <f>""</f>
        <v/>
      </c>
      <c r="Q150" t="str">
        <f t="shared" si="58"/>
        <v>No</v>
      </c>
      <c r="R150" t="str">
        <f>""</f>
        <v/>
      </c>
      <c r="S150" t="str">
        <f t="shared" si="59"/>
        <v>No</v>
      </c>
      <c r="T150" t="str">
        <f>""</f>
        <v/>
      </c>
      <c r="U150" t="str">
        <f t="shared" si="60"/>
        <v>No</v>
      </c>
      <c r="V150" t="str">
        <f>""</f>
        <v/>
      </c>
      <c r="X150" t="str">
        <f>"NEF Consulting Services"</f>
        <v>NEF Consulting Services</v>
      </c>
      <c r="Y150" t="str">
        <f>"PO Box 260"</f>
        <v>PO Box 260</v>
      </c>
      <c r="Z150" t="str">
        <f>"Dickson"</f>
        <v>Dickson</v>
      </c>
      <c r="AA150" t="str">
        <f>"2602"</f>
        <v>2602</v>
      </c>
      <c r="AB150" t="str">
        <f t="shared" si="50"/>
        <v>Australia</v>
      </c>
      <c r="AC150" t="str">
        <f t="shared" si="51"/>
        <v>No</v>
      </c>
      <c r="AD150" t="str">
        <f>"17125808188"</f>
        <v>17125808188</v>
      </c>
      <c r="AE150" t="str">
        <f t="shared" si="61"/>
        <v>ADMIN OFFICER</v>
      </c>
      <c r="AF150" t="str">
        <f t="shared" si="47"/>
        <v>(02) 6271 1000</v>
      </c>
      <c r="AG150" t="str">
        <f>""</f>
        <v/>
      </c>
      <c r="AH150" t="str">
        <f>""</f>
        <v/>
      </c>
      <c r="AI150" t="str">
        <f>"CORPORATE [OLD] Corporate Treasury"</f>
        <v>CORPORATE [OLD] Corporate Treasury</v>
      </c>
      <c r="AJ150" t="str">
        <f t="shared" si="57"/>
        <v>2603</v>
      </c>
    </row>
    <row r="151" spans="1:36" x14ac:dyDescent="0.25">
      <c r="A151" t="str">
        <f t="shared" si="54"/>
        <v>Department of Communications</v>
      </c>
      <c r="B151" t="str">
        <f>""</f>
        <v/>
      </c>
      <c r="C151" t="str">
        <f>"CN2548842"</f>
        <v>CN2548842</v>
      </c>
      <c r="D151" t="str">
        <f>"Anna Binos"</f>
        <v>Anna Binos</v>
      </c>
      <c r="E151" s="44">
        <v>41886.648611111108</v>
      </c>
      <c r="F151" t="s">
        <v>2508</v>
      </c>
      <c r="G151" t="str">
        <f t="shared" si="55"/>
        <v>published</v>
      </c>
      <c r="H151" s="45">
        <v>41880</v>
      </c>
      <c r="I151" s="45">
        <v>41912</v>
      </c>
      <c r="J151" s="46">
        <v>34366.639999999999</v>
      </c>
      <c r="K151" t="s">
        <v>1597</v>
      </c>
      <c r="L151" t="str">
        <f>"0004604667"</f>
        <v>0004604667</v>
      </c>
      <c r="M151" t="str">
        <f>"Computer Equipment and Accessories"</f>
        <v>Computer Equipment and Accessories</v>
      </c>
      <c r="N151" t="str">
        <f>"Open tender"</f>
        <v>Open tender</v>
      </c>
      <c r="O151" t="str">
        <f>"DCON/09/67"</f>
        <v>DCON/09/67</v>
      </c>
      <c r="P151" t="str">
        <f>"SON269193"</f>
        <v>SON269193</v>
      </c>
      <c r="Q151" t="str">
        <f t="shared" si="58"/>
        <v>No</v>
      </c>
      <c r="R151" t="str">
        <f>""</f>
        <v/>
      </c>
      <c r="S151" t="str">
        <f t="shared" si="59"/>
        <v>No</v>
      </c>
      <c r="T151" t="str">
        <f>""</f>
        <v/>
      </c>
      <c r="U151" t="str">
        <f t="shared" si="60"/>
        <v>No</v>
      </c>
      <c r="V151" t="str">
        <f>""</f>
        <v/>
      </c>
      <c r="X151" t="str">
        <f>"ASG Group Limited"</f>
        <v>ASG Group Limited</v>
      </c>
      <c r="Y151" t="str">
        <f>"Level 1, 267 Georges Terrace"</f>
        <v>Level 1, 267 Georges Terrace</v>
      </c>
      <c r="Z151" t="str">
        <f>"Perth"</f>
        <v>Perth</v>
      </c>
      <c r="AA151" t="str">
        <f>"6000"</f>
        <v>6000</v>
      </c>
      <c r="AB151" t="str">
        <f t="shared" si="50"/>
        <v>Australia</v>
      </c>
      <c r="AC151" t="str">
        <f t="shared" si="51"/>
        <v>No</v>
      </c>
      <c r="AD151" t="str">
        <f>"57070045117"</f>
        <v>57070045117</v>
      </c>
      <c r="AE151" t="str">
        <f t="shared" si="61"/>
        <v>ADMIN OFFICER</v>
      </c>
      <c r="AF151" t="str">
        <f t="shared" si="47"/>
        <v>(02) 6271 1000</v>
      </c>
      <c r="AG151" t="str">
        <f>""</f>
        <v/>
      </c>
      <c r="AH151" t="str">
        <f>""</f>
        <v/>
      </c>
      <c r="AI151" t="str">
        <f>"CORPORATE TREASURY [OLD] Corporate Treasury"</f>
        <v>CORPORATE TREASURY [OLD] Corporate Treasury</v>
      </c>
      <c r="AJ151" t="str">
        <f t="shared" si="57"/>
        <v>2603</v>
      </c>
    </row>
    <row r="152" spans="1:36" x14ac:dyDescent="0.25">
      <c r="A152" t="str">
        <f t="shared" si="54"/>
        <v>Department of Communications</v>
      </c>
      <c r="B152" t="str">
        <f>"CN2380851"</f>
        <v>CN2380851</v>
      </c>
      <c r="C152" t="str">
        <f>"CN2380851-A1"</f>
        <v>CN2380851-A1</v>
      </c>
      <c r="D152" t="str">
        <f>"Robert McGlynn"</f>
        <v>Robert McGlynn</v>
      </c>
      <c r="E152" s="44">
        <v>41823.455555555556</v>
      </c>
      <c r="F152" s="44">
        <v>41870.434027777781</v>
      </c>
      <c r="G152" t="str">
        <f t="shared" si="55"/>
        <v>published</v>
      </c>
      <c r="H152" s="45">
        <v>41814</v>
      </c>
      <c r="I152" s="45">
        <v>42333</v>
      </c>
      <c r="J152" s="46">
        <v>60493.95</v>
      </c>
      <c r="K152" t="s">
        <v>2522</v>
      </c>
      <c r="L152" t="str">
        <f>"0004604668"</f>
        <v>0004604668</v>
      </c>
      <c r="M152" t="str">
        <f>"Publication printing"</f>
        <v>Publication printing</v>
      </c>
      <c r="N152" t="str">
        <f t="shared" ref="N152:N157" si="62">"Limited tender"</f>
        <v>Limited tender</v>
      </c>
      <c r="O152" t="str">
        <f>""</f>
        <v/>
      </c>
      <c r="Q152" t="str">
        <f t="shared" si="58"/>
        <v>No</v>
      </c>
      <c r="R152" t="str">
        <f>""</f>
        <v/>
      </c>
      <c r="S152" t="str">
        <f t="shared" si="59"/>
        <v>No</v>
      </c>
      <c r="T152" t="str">
        <f>""</f>
        <v/>
      </c>
      <c r="U152" t="str">
        <f t="shared" si="60"/>
        <v>No</v>
      </c>
      <c r="V152" t="str">
        <f>""</f>
        <v/>
      </c>
      <c r="W152" t="s">
        <v>2523</v>
      </c>
      <c r="X152" t="str">
        <f>"Mitchell and Partners Pty Ltd"</f>
        <v>Mitchell and Partners Pty Ltd</v>
      </c>
      <c r="Y152" t="str">
        <f>"105 York Street"</f>
        <v>105 York Street</v>
      </c>
      <c r="Z152" t="str">
        <f>"South Melbourne"</f>
        <v>South Melbourne</v>
      </c>
      <c r="AA152" t="str">
        <f>"3205"</f>
        <v>3205</v>
      </c>
      <c r="AB152" t="str">
        <f>"AUSTRALIA"</f>
        <v>AUSTRALIA</v>
      </c>
      <c r="AC152" t="str">
        <f t="shared" ref="AC152:AC183" si="63">"No"</f>
        <v>No</v>
      </c>
      <c r="AD152" t="str">
        <f>"44123609629"</f>
        <v>44123609629</v>
      </c>
      <c r="AE152" t="str">
        <f t="shared" si="61"/>
        <v>ADMIN OFFICER</v>
      </c>
      <c r="AF152" t="str">
        <f t="shared" si="47"/>
        <v>(02) 6271 1000</v>
      </c>
      <c r="AG152" t="str">
        <f>""</f>
        <v/>
      </c>
      <c r="AH152" t="str">
        <f>""</f>
        <v/>
      </c>
      <c r="AI152" t="str">
        <f>"DESV"</f>
        <v>DESV</v>
      </c>
      <c r="AJ152" t="str">
        <f t="shared" si="57"/>
        <v>2603</v>
      </c>
    </row>
    <row r="153" spans="1:36" x14ac:dyDescent="0.25">
      <c r="A153" t="str">
        <f t="shared" si="54"/>
        <v>Department of Communications</v>
      </c>
      <c r="B153" t="str">
        <f>""</f>
        <v/>
      </c>
      <c r="C153" t="str">
        <f>"CN2380851"</f>
        <v>CN2380851</v>
      </c>
      <c r="D153" t="str">
        <f>"Thomas Lonsdale"</f>
        <v>Thomas Lonsdale</v>
      </c>
      <c r="E153" s="44">
        <v>41823.455555555556</v>
      </c>
      <c r="F153" t="s">
        <v>2508</v>
      </c>
      <c r="G153" t="str">
        <f t="shared" si="55"/>
        <v>published</v>
      </c>
      <c r="H153" s="45">
        <v>41814</v>
      </c>
      <c r="I153" s="45">
        <v>42333</v>
      </c>
      <c r="J153" s="46">
        <v>60493.95</v>
      </c>
      <c r="K153" t="s">
        <v>2522</v>
      </c>
      <c r="L153" t="str">
        <f>"0004604668"</f>
        <v>0004604668</v>
      </c>
      <c r="M153" t="str">
        <f>"Publication printing"</f>
        <v>Publication printing</v>
      </c>
      <c r="N153" t="str">
        <f t="shared" si="62"/>
        <v>Limited tender</v>
      </c>
      <c r="O153" t="str">
        <f>""</f>
        <v/>
      </c>
      <c r="Q153" t="str">
        <f t="shared" si="58"/>
        <v>No</v>
      </c>
      <c r="R153" t="str">
        <f>""</f>
        <v/>
      </c>
      <c r="S153" t="str">
        <f t="shared" si="59"/>
        <v>No</v>
      </c>
      <c r="T153" t="str">
        <f>""</f>
        <v/>
      </c>
      <c r="U153" t="str">
        <f t="shared" si="60"/>
        <v>No</v>
      </c>
      <c r="V153" t="str">
        <f>""</f>
        <v/>
      </c>
      <c r="X153" t="str">
        <f>"Media Brands UM"</f>
        <v>Media Brands UM</v>
      </c>
      <c r="Y153" t="str">
        <f>"100 Chalmers Street"</f>
        <v>100 Chalmers Street</v>
      </c>
      <c r="Z153" t="str">
        <f>"Surry Hills"</f>
        <v>Surry Hills</v>
      </c>
      <c r="AA153" t="str">
        <f>"2010"</f>
        <v>2010</v>
      </c>
      <c r="AB153" t="str">
        <f t="shared" ref="AB153:AB184" si="64">"Australia"</f>
        <v>Australia</v>
      </c>
      <c r="AC153" t="str">
        <f t="shared" si="63"/>
        <v>No</v>
      </c>
      <c r="AD153" t="str">
        <f>"19002966001"</f>
        <v>19002966001</v>
      </c>
      <c r="AE153" t="str">
        <f t="shared" si="61"/>
        <v>ADMIN OFFICER</v>
      </c>
      <c r="AF153" t="str">
        <f t="shared" si="47"/>
        <v>(02) 6271 1000</v>
      </c>
      <c r="AG153" t="str">
        <f>""</f>
        <v/>
      </c>
      <c r="AH153" t="str">
        <f>""</f>
        <v/>
      </c>
      <c r="AI153" t="str">
        <f>"DESV"</f>
        <v>DESV</v>
      </c>
      <c r="AJ153" t="str">
        <f t="shared" si="57"/>
        <v>2603</v>
      </c>
    </row>
    <row r="154" spans="1:36" x14ac:dyDescent="0.25">
      <c r="A154" t="str">
        <f t="shared" si="54"/>
        <v>Department of Communications</v>
      </c>
      <c r="B154" t="str">
        <f>""</f>
        <v/>
      </c>
      <c r="C154" t="str">
        <f>"CN2548832"</f>
        <v>CN2548832</v>
      </c>
      <c r="D154" t="str">
        <f t="shared" ref="D154:D160" si="65">"Anna Binos"</f>
        <v>Anna Binos</v>
      </c>
      <c r="E154" s="44">
        <v>41886.648611111108</v>
      </c>
      <c r="F154" t="s">
        <v>2508</v>
      </c>
      <c r="G154" t="str">
        <f t="shared" si="55"/>
        <v>published</v>
      </c>
      <c r="H154" s="45">
        <v>41869</v>
      </c>
      <c r="I154" s="45">
        <v>42185</v>
      </c>
      <c r="J154" s="46">
        <v>79200</v>
      </c>
      <c r="K154" t="s">
        <v>1600</v>
      </c>
      <c r="L154" t="str">
        <f>"0004604669"</f>
        <v>0004604669</v>
      </c>
      <c r="M154" t="str">
        <f>"Software maintenance and support"</f>
        <v>Software maintenance and support</v>
      </c>
      <c r="N154" t="str">
        <f t="shared" si="62"/>
        <v>Limited tender</v>
      </c>
      <c r="O154" t="str">
        <f>""</f>
        <v/>
      </c>
      <c r="Q154" t="str">
        <f t="shared" si="58"/>
        <v>No</v>
      </c>
      <c r="R154" t="str">
        <f>""</f>
        <v/>
      </c>
      <c r="S154" t="str">
        <f t="shared" si="59"/>
        <v>No</v>
      </c>
      <c r="T154" t="str">
        <f>""</f>
        <v/>
      </c>
      <c r="U154" t="str">
        <f t="shared" si="60"/>
        <v>No</v>
      </c>
      <c r="V154" t="str">
        <f>""</f>
        <v/>
      </c>
      <c r="X154" t="str">
        <f>"Firstservis Pty Ltd"</f>
        <v>Firstservis Pty Ltd</v>
      </c>
      <c r="Y154" t="str">
        <f>"P O Box 122"</f>
        <v>P O Box 122</v>
      </c>
      <c r="Z154" t="str">
        <f>"Southport"</f>
        <v>Southport</v>
      </c>
      <c r="AA154" t="str">
        <f>"4215"</f>
        <v>4215</v>
      </c>
      <c r="AB154" t="str">
        <f t="shared" si="64"/>
        <v>Australia</v>
      </c>
      <c r="AC154" t="str">
        <f t="shared" si="63"/>
        <v>No</v>
      </c>
      <c r="AD154" t="str">
        <f>"17126470380"</f>
        <v>17126470380</v>
      </c>
      <c r="AE154" t="str">
        <f t="shared" si="61"/>
        <v>ADMIN OFFICER</v>
      </c>
      <c r="AF154" t="str">
        <f t="shared" si="47"/>
        <v>(02) 6271 1000</v>
      </c>
      <c r="AG154" t="str">
        <f>""</f>
        <v/>
      </c>
      <c r="AH154" t="str">
        <f>""</f>
        <v/>
      </c>
      <c r="AI154" t="str">
        <f>"CORPORATE TREASURY [OLD] Corporate Treasury"</f>
        <v>CORPORATE TREASURY [OLD] Corporate Treasury</v>
      </c>
      <c r="AJ154" t="str">
        <f t="shared" si="57"/>
        <v>2603</v>
      </c>
    </row>
    <row r="155" spans="1:36" x14ac:dyDescent="0.25">
      <c r="A155" t="str">
        <f t="shared" si="54"/>
        <v>Department of Communications</v>
      </c>
      <c r="B155" t="str">
        <f>""</f>
        <v/>
      </c>
      <c r="C155" t="str">
        <f>"CN2548822"</f>
        <v>CN2548822</v>
      </c>
      <c r="D155" t="str">
        <f t="shared" si="65"/>
        <v>Anna Binos</v>
      </c>
      <c r="E155" s="44">
        <v>41886.647916666669</v>
      </c>
      <c r="F155" t="s">
        <v>2508</v>
      </c>
      <c r="G155" t="str">
        <f t="shared" si="55"/>
        <v>published</v>
      </c>
      <c r="H155" s="45">
        <v>41871</v>
      </c>
      <c r="I155" s="45">
        <v>41912</v>
      </c>
      <c r="J155" s="46">
        <v>17600</v>
      </c>
      <c r="K155" t="s">
        <v>1602</v>
      </c>
      <c r="L155" t="str">
        <f>"0004604670"</f>
        <v>0004604670</v>
      </c>
      <c r="M155" t="str">
        <f>"Management information systems MIS"</f>
        <v>Management information systems MIS</v>
      </c>
      <c r="N155" t="str">
        <f t="shared" si="62"/>
        <v>Limited tender</v>
      </c>
      <c r="O155" t="str">
        <f>""</f>
        <v/>
      </c>
      <c r="Q155" t="str">
        <f t="shared" si="58"/>
        <v>No</v>
      </c>
      <c r="R155" t="str">
        <f>""</f>
        <v/>
      </c>
      <c r="S155" t="str">
        <f t="shared" si="59"/>
        <v>No</v>
      </c>
      <c r="T155" t="str">
        <f>""</f>
        <v/>
      </c>
      <c r="U155" t="str">
        <f t="shared" si="60"/>
        <v>No</v>
      </c>
      <c r="V155" t="str">
        <f>""</f>
        <v/>
      </c>
      <c r="X155" t="str">
        <f>"Langtree Information Management"</f>
        <v>Langtree Information Management</v>
      </c>
      <c r="Y155" t="str">
        <f>"PO Box 255"</f>
        <v>PO Box 255</v>
      </c>
      <c r="Z155" t="str">
        <f>"Deakin West"</f>
        <v>Deakin West</v>
      </c>
      <c r="AA155" t="str">
        <f>"2600"</f>
        <v>2600</v>
      </c>
      <c r="AB155" t="str">
        <f t="shared" si="64"/>
        <v>Australia</v>
      </c>
      <c r="AC155" t="str">
        <f t="shared" si="63"/>
        <v>No</v>
      </c>
      <c r="AD155" t="str">
        <f>"78126364592"</f>
        <v>78126364592</v>
      </c>
      <c r="AE155" t="str">
        <f t="shared" si="61"/>
        <v>ADMIN OFFICER</v>
      </c>
      <c r="AF155" t="str">
        <f t="shared" si="47"/>
        <v>(02) 6271 1000</v>
      </c>
      <c r="AG155" t="str">
        <f>""</f>
        <v/>
      </c>
      <c r="AH155" t="str">
        <f>""</f>
        <v/>
      </c>
      <c r="AI155" t="str">
        <f>"CORPORATE TREASURY [OLD] Corporate Treasury"</f>
        <v>CORPORATE TREASURY [OLD] Corporate Treasury</v>
      </c>
      <c r="AJ155" t="str">
        <f t="shared" si="57"/>
        <v>2603</v>
      </c>
    </row>
    <row r="156" spans="1:36" x14ac:dyDescent="0.25">
      <c r="A156" t="str">
        <f t="shared" si="54"/>
        <v>Department of Communications</v>
      </c>
      <c r="B156" t="str">
        <f>""</f>
        <v/>
      </c>
      <c r="C156" t="str">
        <f>"CN2548812"</f>
        <v>CN2548812</v>
      </c>
      <c r="D156" t="str">
        <f t="shared" si="65"/>
        <v>Anna Binos</v>
      </c>
      <c r="E156" s="44">
        <v>41886.647916666669</v>
      </c>
      <c r="F156" t="s">
        <v>2508</v>
      </c>
      <c r="G156" t="str">
        <f t="shared" si="55"/>
        <v>published</v>
      </c>
      <c r="H156" s="45">
        <v>41871</v>
      </c>
      <c r="I156" s="45">
        <v>41873</v>
      </c>
      <c r="J156" s="46">
        <v>13500</v>
      </c>
      <c r="K156" t="s">
        <v>2382</v>
      </c>
      <c r="L156" t="str">
        <f>"0004604672"</f>
        <v>0004604672</v>
      </c>
      <c r="M156" t="str">
        <f>"Education and Training Services"</f>
        <v>Education and Training Services</v>
      </c>
      <c r="N156" t="str">
        <f t="shared" si="62"/>
        <v>Limited tender</v>
      </c>
      <c r="O156" t="str">
        <f>""</f>
        <v/>
      </c>
      <c r="Q156" t="str">
        <f t="shared" si="58"/>
        <v>No</v>
      </c>
      <c r="R156" t="str">
        <f>""</f>
        <v/>
      </c>
      <c r="S156" t="str">
        <f t="shared" si="59"/>
        <v>No</v>
      </c>
      <c r="T156" t="str">
        <f>""</f>
        <v/>
      </c>
      <c r="U156" t="str">
        <f>"Yes"</f>
        <v>Yes</v>
      </c>
      <c r="V156" t="str">
        <f>"Need for specialised or professional skills"</f>
        <v>Need for specialised or professional skills</v>
      </c>
      <c r="X156" t="str">
        <f>"OFFICE OF PARLIAMENTARY COUNSEL"</f>
        <v>OFFICE OF PARLIAMENTARY COUNSEL</v>
      </c>
      <c r="Y156" t="str">
        <f>"LOCKED BAG 30"</f>
        <v>LOCKED BAG 30</v>
      </c>
      <c r="Z156" t="str">
        <f>"KINGSTON"</f>
        <v>KINGSTON</v>
      </c>
      <c r="AA156" t="str">
        <f>"2604"</f>
        <v>2604</v>
      </c>
      <c r="AB156" t="str">
        <f t="shared" si="64"/>
        <v>Australia</v>
      </c>
      <c r="AC156" t="str">
        <f t="shared" si="63"/>
        <v>No</v>
      </c>
      <c r="AD156" t="str">
        <f>"41425630817"</f>
        <v>41425630817</v>
      </c>
      <c r="AE156" t="str">
        <f>"PROCUREMENT MANAGER"</f>
        <v>PROCUREMENT MANAGER</v>
      </c>
      <c r="AF156" t="str">
        <f t="shared" si="47"/>
        <v>(02) 6271 1000</v>
      </c>
      <c r="AG156" t="str">
        <f>""</f>
        <v/>
      </c>
      <c r="AH156" t="str">
        <f>""</f>
        <v/>
      </c>
      <c r="AI156" t="str">
        <f>"GENERAL COUNSEL Office of the General Counsel"</f>
        <v>GENERAL COUNSEL Office of the General Counsel</v>
      </c>
      <c r="AJ156" t="str">
        <f t="shared" si="57"/>
        <v>2603</v>
      </c>
    </row>
    <row r="157" spans="1:36" x14ac:dyDescent="0.25">
      <c r="A157" t="str">
        <f t="shared" si="54"/>
        <v>Department of Communications</v>
      </c>
      <c r="B157" t="str">
        <f>""</f>
        <v/>
      </c>
      <c r="C157" t="str">
        <f>"CN2548802"</f>
        <v>CN2548802</v>
      </c>
      <c r="D157" t="str">
        <f t="shared" si="65"/>
        <v>Anna Binos</v>
      </c>
      <c r="E157" s="44">
        <v>41886.647916666669</v>
      </c>
      <c r="F157" t="s">
        <v>2508</v>
      </c>
      <c r="G157" t="str">
        <f t="shared" si="55"/>
        <v>published</v>
      </c>
      <c r="H157" s="45">
        <v>41852</v>
      </c>
      <c r="I157" s="45">
        <v>42185</v>
      </c>
      <c r="J157" s="46">
        <v>25000</v>
      </c>
      <c r="K157" t="s">
        <v>1606</v>
      </c>
      <c r="L157" t="str">
        <f>"0004604673"</f>
        <v>0004604673</v>
      </c>
      <c r="M157" t="str">
        <f>"Personnel recruitment"</f>
        <v>Personnel recruitment</v>
      </c>
      <c r="N157" t="str">
        <f t="shared" si="62"/>
        <v>Limited tender</v>
      </c>
      <c r="O157" t="str">
        <f>""</f>
        <v/>
      </c>
      <c r="Q157" t="str">
        <f t="shared" si="58"/>
        <v>No</v>
      </c>
      <c r="R157" t="str">
        <f>""</f>
        <v/>
      </c>
      <c r="S157" t="str">
        <f t="shared" si="59"/>
        <v>No</v>
      </c>
      <c r="T157" t="str">
        <f>""</f>
        <v/>
      </c>
      <c r="U157" t="str">
        <f>"No"</f>
        <v>No</v>
      </c>
      <c r="V157" t="str">
        <f>""</f>
        <v/>
      </c>
      <c r="X157" t="str">
        <f>"Department of Defence Business"</f>
        <v>Department of Defence Business</v>
      </c>
      <c r="Y157" t="str">
        <f>"Level 1, 661 Bourke Street"</f>
        <v>Level 1, 661 Bourke Street</v>
      </c>
      <c r="Z157" t="str">
        <f>"Melbourne"</f>
        <v>Melbourne</v>
      </c>
      <c r="AA157" t="str">
        <f>"3000"</f>
        <v>3000</v>
      </c>
      <c r="AB157" t="str">
        <f t="shared" si="64"/>
        <v>Australia</v>
      </c>
      <c r="AC157" t="str">
        <f t="shared" si="63"/>
        <v>No</v>
      </c>
      <c r="AD157" t="str">
        <f>"68706814312"</f>
        <v>68706814312</v>
      </c>
      <c r="AE157" t="str">
        <f>"ADMIN OFFICER"</f>
        <v>ADMIN OFFICER</v>
      </c>
      <c r="AF157" t="str">
        <f t="shared" si="47"/>
        <v>(02) 6271 1000</v>
      </c>
      <c r="AG157" t="str">
        <f>""</f>
        <v/>
      </c>
      <c r="AH157" t="str">
        <f>""</f>
        <v/>
      </c>
      <c r="AI157" t="str">
        <f>"CORPORATE TREASURY [OLD] Corporate Treasury"</f>
        <v>CORPORATE TREASURY [OLD] Corporate Treasury</v>
      </c>
      <c r="AJ157" t="str">
        <f t="shared" si="57"/>
        <v>2603</v>
      </c>
    </row>
    <row r="158" spans="1:36" x14ac:dyDescent="0.25">
      <c r="A158" t="str">
        <f t="shared" si="54"/>
        <v>Department of Communications</v>
      </c>
      <c r="B158" t="str">
        <f>""</f>
        <v/>
      </c>
      <c r="C158" t="str">
        <f>"CN2548792"</f>
        <v>CN2548792</v>
      </c>
      <c r="D158" t="str">
        <f t="shared" si="65"/>
        <v>Anna Binos</v>
      </c>
      <c r="E158" s="44">
        <v>41886.647916666669</v>
      </c>
      <c r="F158" t="s">
        <v>2508</v>
      </c>
      <c r="G158" t="str">
        <f t="shared" si="55"/>
        <v>published</v>
      </c>
      <c r="H158" s="45">
        <v>41872</v>
      </c>
      <c r="I158" s="45">
        <v>42004</v>
      </c>
      <c r="J158" s="46">
        <v>15000</v>
      </c>
      <c r="K158" t="s">
        <v>2301</v>
      </c>
      <c r="L158" t="str">
        <f>"0004604676"</f>
        <v>0004604676</v>
      </c>
      <c r="M158" t="str">
        <f>"Legal services"</f>
        <v>Legal services</v>
      </c>
      <c r="N158" t="str">
        <f>"Prequalified tender"</f>
        <v>Prequalified tender</v>
      </c>
      <c r="O158" t="str">
        <f>""</f>
        <v/>
      </c>
      <c r="Q158" t="str">
        <f>"Yes"</f>
        <v>Yes</v>
      </c>
      <c r="R158" t="str">
        <f>"Costing/profit information"</f>
        <v>Costing/profit information</v>
      </c>
      <c r="S158" t="str">
        <f>"Yes"</f>
        <v>Yes</v>
      </c>
      <c r="T158" t="str">
        <f>"Intellectual property"</f>
        <v>Intellectual property</v>
      </c>
      <c r="U158" t="str">
        <f>"Yes"</f>
        <v>Yes</v>
      </c>
      <c r="V158" t="str">
        <f>"Need for specialised or professional skills"</f>
        <v>Need for specialised or professional skills</v>
      </c>
      <c r="X158" t="str">
        <f>"AUSTRALIAN GOVERNMENT SOLICITOR"</f>
        <v>AUSTRALIAN GOVERNMENT SOLICITOR</v>
      </c>
      <c r="Y158" t="str">
        <f>"Locked Bag 7246"</f>
        <v>Locked Bag 7246</v>
      </c>
      <c r="Z158" t="str">
        <f>"Canberra Mail Centre"</f>
        <v>Canberra Mail Centre</v>
      </c>
      <c r="AA158" t="str">
        <f>"2610"</f>
        <v>2610</v>
      </c>
      <c r="AB158" t="str">
        <f t="shared" si="64"/>
        <v>Australia</v>
      </c>
      <c r="AC158" t="str">
        <f t="shared" si="63"/>
        <v>No</v>
      </c>
      <c r="AD158" t="str">
        <f>"69405937639"</f>
        <v>69405937639</v>
      </c>
      <c r="AE158" t="str">
        <f>"PROCUREMENT MANAGER"</f>
        <v>PROCUREMENT MANAGER</v>
      </c>
      <c r="AF158" t="str">
        <f t="shared" si="47"/>
        <v>(02) 6271 1000</v>
      </c>
      <c r="AG158" t="str">
        <f>""</f>
        <v/>
      </c>
      <c r="AH158" t="str">
        <f>""</f>
        <v/>
      </c>
      <c r="AI158" t="str">
        <f>"GENERAL COUNSEL Office of the General Counsel"</f>
        <v>GENERAL COUNSEL Office of the General Counsel</v>
      </c>
      <c r="AJ158" t="str">
        <f t="shared" si="57"/>
        <v>2603</v>
      </c>
    </row>
    <row r="159" spans="1:36" x14ac:dyDescent="0.25">
      <c r="A159" t="str">
        <f t="shared" si="54"/>
        <v>Department of Communications</v>
      </c>
      <c r="B159" t="str">
        <f>""</f>
        <v/>
      </c>
      <c r="C159" t="str">
        <f>"CN2548782"</f>
        <v>CN2548782</v>
      </c>
      <c r="D159" t="str">
        <f t="shared" si="65"/>
        <v>Anna Binos</v>
      </c>
      <c r="E159" s="44">
        <v>41886.647916666669</v>
      </c>
      <c r="F159" t="s">
        <v>2508</v>
      </c>
      <c r="G159" t="str">
        <f t="shared" si="55"/>
        <v>published</v>
      </c>
      <c r="H159" s="45">
        <v>41864</v>
      </c>
      <c r="I159" s="45">
        <v>41912</v>
      </c>
      <c r="J159" s="46">
        <v>44000</v>
      </c>
      <c r="K159" t="s">
        <v>2219</v>
      </c>
      <c r="L159" t="str">
        <f>"0004604677"</f>
        <v>0004604677</v>
      </c>
      <c r="M159" t="str">
        <f>"Management advisory services"</f>
        <v>Management advisory services</v>
      </c>
      <c r="N159" t="str">
        <f>"Limited tender"</f>
        <v>Limited tender</v>
      </c>
      <c r="O159" t="str">
        <f>""</f>
        <v/>
      </c>
      <c r="Q159" t="str">
        <f t="shared" ref="Q159:Q173" si="66">"No"</f>
        <v>No</v>
      </c>
      <c r="R159" t="str">
        <f>""</f>
        <v/>
      </c>
      <c r="S159" t="str">
        <f>"Yes"</f>
        <v>Yes</v>
      </c>
      <c r="T159" t="str">
        <f>"Other - THIRD PARTY CONFIDENTIAL INFORMATION WILL BE ACCESSED BY ADVISER"</f>
        <v>Other - THIRD PARTY CONFIDENTIAL INFORMATION WILL BE ACCESSED BY ADVISER</v>
      </c>
      <c r="U159" t="str">
        <f>"Yes"</f>
        <v>Yes</v>
      </c>
      <c r="V159" t="str">
        <f>"Need for specialised or professional skills"</f>
        <v>Need for specialised or professional skills</v>
      </c>
      <c r="X159" t="str">
        <f>"Kordamentha Pty Ltd"</f>
        <v>Kordamentha Pty Ltd</v>
      </c>
      <c r="Y159" t="str">
        <f>"Level 24, 333 Collins Street"</f>
        <v>Level 24, 333 Collins Street</v>
      </c>
      <c r="Z159" t="str">
        <f>"Melbourne"</f>
        <v>Melbourne</v>
      </c>
      <c r="AA159" t="str">
        <f>"3000"</f>
        <v>3000</v>
      </c>
      <c r="AB159" t="str">
        <f t="shared" si="64"/>
        <v>Australia</v>
      </c>
      <c r="AC159" t="str">
        <f t="shared" si="63"/>
        <v>No</v>
      </c>
      <c r="AD159" t="str">
        <f>"43100169391"</f>
        <v>43100169391</v>
      </c>
      <c r="AE159" t="str">
        <f t="shared" ref="AE159:AE173" si="67">"ADMIN OFFICER"</f>
        <v>ADMIN OFFICER</v>
      </c>
      <c r="AF159" t="str">
        <f t="shared" si="47"/>
        <v>(02) 6271 1000</v>
      </c>
      <c r="AG159" t="str">
        <f>""</f>
        <v/>
      </c>
      <c r="AH159" t="str">
        <f>""</f>
        <v/>
      </c>
      <c r="AI159" t="str">
        <f>"NPAR"</f>
        <v>NPAR</v>
      </c>
      <c r="AJ159" t="str">
        <f t="shared" si="57"/>
        <v>2603</v>
      </c>
    </row>
    <row r="160" spans="1:36" x14ac:dyDescent="0.25">
      <c r="A160" t="str">
        <f t="shared" si="54"/>
        <v>Department of Communications</v>
      </c>
      <c r="B160" t="str">
        <f>""</f>
        <v/>
      </c>
      <c r="C160" t="str">
        <f>"CN2548772"</f>
        <v>CN2548772</v>
      </c>
      <c r="D160" t="str">
        <f t="shared" si="65"/>
        <v>Anna Binos</v>
      </c>
      <c r="E160" s="44">
        <v>41886.647916666669</v>
      </c>
      <c r="F160" t="s">
        <v>2508</v>
      </c>
      <c r="G160" t="str">
        <f t="shared" si="55"/>
        <v>published</v>
      </c>
      <c r="H160" s="45">
        <v>41883</v>
      </c>
      <c r="I160" s="45">
        <v>42185</v>
      </c>
      <c r="J160" s="46">
        <v>51480</v>
      </c>
      <c r="K160" t="s">
        <v>1619</v>
      </c>
      <c r="L160" t="str">
        <f>"0004604681"</f>
        <v>0004604681</v>
      </c>
      <c r="M160" t="str">
        <f>"Education and Training Services"</f>
        <v>Education and Training Services</v>
      </c>
      <c r="N160" t="str">
        <f>"Limited tender"</f>
        <v>Limited tender</v>
      </c>
      <c r="O160" t="str">
        <f>""</f>
        <v/>
      </c>
      <c r="Q160" t="str">
        <f t="shared" si="66"/>
        <v>No</v>
      </c>
      <c r="R160" t="str">
        <f>""</f>
        <v/>
      </c>
      <c r="S160" t="str">
        <f t="shared" ref="S160:S173" si="68">"No"</f>
        <v>No</v>
      </c>
      <c r="T160" t="str">
        <f>""</f>
        <v/>
      </c>
      <c r="U160" t="str">
        <f t="shared" ref="U160:U173" si="69">"No"</f>
        <v>No</v>
      </c>
      <c r="V160" t="str">
        <f>""</f>
        <v/>
      </c>
      <c r="X160" t="str">
        <f>"MARGERISON-McCANN TEAM MANAG. SYS."</f>
        <v>MARGERISON-McCANN TEAM MANAG. SYS.</v>
      </c>
      <c r="Y160" t="str">
        <f>"PO BOX 1107"</f>
        <v>PO BOX 1107</v>
      </c>
      <c r="Z160" t="str">
        <f>"MILTON"</f>
        <v>MILTON</v>
      </c>
      <c r="AA160" t="str">
        <f>"4064"</f>
        <v>4064</v>
      </c>
      <c r="AB160" t="str">
        <f t="shared" si="64"/>
        <v>Australia</v>
      </c>
      <c r="AC160" t="str">
        <f t="shared" si="63"/>
        <v>No</v>
      </c>
      <c r="AD160" t="str">
        <f>"36705031671"</f>
        <v>36705031671</v>
      </c>
      <c r="AE160" t="str">
        <f t="shared" si="67"/>
        <v>ADMIN OFFICER</v>
      </c>
      <c r="AF160" t="str">
        <f t="shared" si="47"/>
        <v>(02) 6271 1000</v>
      </c>
      <c r="AG160" t="str">
        <f>""</f>
        <v/>
      </c>
      <c r="AH160" t="str">
        <f>""</f>
        <v/>
      </c>
      <c r="AI160" t="str">
        <f>"CORPORATE TREASURY [OLD] Corporate Treasury"</f>
        <v>CORPORATE TREASURY [OLD] Corporate Treasury</v>
      </c>
      <c r="AJ160" t="str">
        <f t="shared" si="57"/>
        <v>2603</v>
      </c>
    </row>
    <row r="161" spans="1:36" x14ac:dyDescent="0.25">
      <c r="A161" t="str">
        <f t="shared" si="54"/>
        <v>Department of Communications</v>
      </c>
      <c r="B161" t="str">
        <f>""</f>
        <v/>
      </c>
      <c r="C161" t="str">
        <f>"CN2563641"</f>
        <v>CN2563641</v>
      </c>
      <c r="D161" t="str">
        <f t="shared" ref="D161:D202" si="70">"David Kenny"</f>
        <v>David Kenny</v>
      </c>
      <c r="E161" s="44">
        <v>41894.547222222223</v>
      </c>
      <c r="F161" t="s">
        <v>2508</v>
      </c>
      <c r="G161" t="str">
        <f t="shared" si="55"/>
        <v>published</v>
      </c>
      <c r="H161" s="45">
        <v>41883</v>
      </c>
      <c r="I161" s="45">
        <v>42185</v>
      </c>
      <c r="J161" s="46">
        <v>51590</v>
      </c>
      <c r="K161" t="s">
        <v>2082</v>
      </c>
      <c r="L161" t="str">
        <f>"0004604682"</f>
        <v>0004604682</v>
      </c>
      <c r="M161" t="str">
        <f>"Software maintenance and support"</f>
        <v>Software maintenance and support</v>
      </c>
      <c r="N161" t="str">
        <f>"Limited tender"</f>
        <v>Limited tender</v>
      </c>
      <c r="O161" t="str">
        <f>"DCON 14/111"</f>
        <v>DCON 14/111</v>
      </c>
      <c r="Q161" t="str">
        <f t="shared" si="66"/>
        <v>No</v>
      </c>
      <c r="R161" t="str">
        <f>""</f>
        <v/>
      </c>
      <c r="S161" t="str">
        <f t="shared" si="68"/>
        <v>No</v>
      </c>
      <c r="T161" t="str">
        <f>""</f>
        <v/>
      </c>
      <c r="U161" t="str">
        <f t="shared" si="69"/>
        <v>No</v>
      </c>
      <c r="V161" t="str">
        <f>""</f>
        <v/>
      </c>
      <c r="X161" t="str">
        <f>"SilverStripe Australia"</f>
        <v>SilverStripe Australia</v>
      </c>
      <c r="Y161" t="str">
        <f>""</f>
        <v/>
      </c>
      <c r="Z161" t="str">
        <f>"Prahran"</f>
        <v>Prahran</v>
      </c>
      <c r="AA161" t="str">
        <f>"3181"</f>
        <v>3181</v>
      </c>
      <c r="AB161" t="str">
        <f t="shared" si="64"/>
        <v>Australia</v>
      </c>
      <c r="AC161" t="str">
        <f t="shared" si="63"/>
        <v>No</v>
      </c>
      <c r="AD161" t="str">
        <f>"18138632103"</f>
        <v>18138632103</v>
      </c>
      <c r="AE161" t="str">
        <f t="shared" si="67"/>
        <v>ADMIN OFFICER</v>
      </c>
      <c r="AF161" t="str">
        <f t="shared" si="47"/>
        <v>(02) 6271 1000</v>
      </c>
      <c r="AG161" t="str">
        <f>""</f>
        <v/>
      </c>
      <c r="AH161" t="str">
        <f>""</f>
        <v/>
      </c>
      <c r="AI161" t="str">
        <f>"CYBER SAFETY [OLD] Cyber Safety"</f>
        <v>CYBER SAFETY [OLD] Cyber Safety</v>
      </c>
      <c r="AJ161" t="str">
        <f t="shared" si="57"/>
        <v>2603</v>
      </c>
    </row>
    <row r="162" spans="1:36" x14ac:dyDescent="0.25">
      <c r="A162" t="str">
        <f t="shared" si="54"/>
        <v>Department of Communications</v>
      </c>
      <c r="B162" t="str">
        <f>""</f>
        <v/>
      </c>
      <c r="C162" t="str">
        <f>"CN2563631"</f>
        <v>CN2563631</v>
      </c>
      <c r="D162" t="str">
        <f t="shared" si="70"/>
        <v>David Kenny</v>
      </c>
      <c r="E162" s="44">
        <v>41894.547222222223</v>
      </c>
      <c r="F162" t="s">
        <v>2508</v>
      </c>
      <c r="G162" t="str">
        <f t="shared" si="55"/>
        <v>published</v>
      </c>
      <c r="H162" s="45">
        <v>41902</v>
      </c>
      <c r="I162" s="45">
        <v>42156</v>
      </c>
      <c r="J162" s="46">
        <v>237600</v>
      </c>
      <c r="K162" t="s">
        <v>1620</v>
      </c>
      <c r="L162" t="str">
        <f>"0004604683"</f>
        <v>0004604683</v>
      </c>
      <c r="M162" t="str">
        <f>"System administrators"</f>
        <v>System administrators</v>
      </c>
      <c r="N162" t="str">
        <f>"Open tender"</f>
        <v>Open tender</v>
      </c>
      <c r="O162" t="str">
        <f>"11/000006268"</f>
        <v>11/000006268</v>
      </c>
      <c r="P162" t="str">
        <f>"SON867801"</f>
        <v>SON867801</v>
      </c>
      <c r="Q162" t="str">
        <f t="shared" si="66"/>
        <v>No</v>
      </c>
      <c r="R162" t="str">
        <f>""</f>
        <v/>
      </c>
      <c r="S162" t="str">
        <f t="shared" si="68"/>
        <v>No</v>
      </c>
      <c r="T162" t="str">
        <f>""</f>
        <v/>
      </c>
      <c r="U162" t="str">
        <f t="shared" si="69"/>
        <v>No</v>
      </c>
      <c r="V162" t="str">
        <f>""</f>
        <v/>
      </c>
      <c r="X162" t="str">
        <f>"Finite Recruitment Pty Ltd"</f>
        <v>Finite Recruitment Pty Ltd</v>
      </c>
      <c r="Y162" t="str">
        <f>"264-278 George Street, Level 31"</f>
        <v>264-278 George Street, Level 31</v>
      </c>
      <c r="Z162" t="str">
        <f>"Canberra City"</f>
        <v>Canberra City</v>
      </c>
      <c r="AA162" t="str">
        <f>"2600"</f>
        <v>2600</v>
      </c>
      <c r="AB162" t="str">
        <f t="shared" si="64"/>
        <v>Australia</v>
      </c>
      <c r="AC162" t="str">
        <f t="shared" si="63"/>
        <v>No</v>
      </c>
      <c r="AD162" t="str">
        <f>"43085406300"</f>
        <v>43085406300</v>
      </c>
      <c r="AE162" t="str">
        <f t="shared" si="67"/>
        <v>ADMIN OFFICER</v>
      </c>
      <c r="AF162" t="str">
        <f t="shared" si="47"/>
        <v>(02) 6271 1000</v>
      </c>
      <c r="AG162" t="str">
        <f>""</f>
        <v/>
      </c>
      <c r="AH162" t="str">
        <f>""</f>
        <v/>
      </c>
      <c r="AI162" t="str">
        <f>"CORPORATE TREASURY [OLD] Corporate Treasury"</f>
        <v>CORPORATE TREASURY [OLD] Corporate Treasury</v>
      </c>
      <c r="AJ162" t="str">
        <f t="shared" si="57"/>
        <v>2603</v>
      </c>
    </row>
    <row r="163" spans="1:36" x14ac:dyDescent="0.25">
      <c r="A163" t="str">
        <f t="shared" si="54"/>
        <v>Department of Communications</v>
      </c>
      <c r="B163" t="str">
        <f>""</f>
        <v/>
      </c>
      <c r="C163" t="str">
        <f>"CN2730201"</f>
        <v>CN2730201</v>
      </c>
      <c r="D163" t="str">
        <f t="shared" si="70"/>
        <v>David Kenny</v>
      </c>
      <c r="E163" s="44">
        <v>41981.447916666664</v>
      </c>
      <c r="F163" t="s">
        <v>2508</v>
      </c>
      <c r="G163" t="str">
        <f t="shared" si="55"/>
        <v>published</v>
      </c>
      <c r="H163" s="45">
        <v>41885</v>
      </c>
      <c r="I163" s="45">
        <v>42185</v>
      </c>
      <c r="J163" s="46">
        <v>16542.14</v>
      </c>
      <c r="K163" t="s">
        <v>1626</v>
      </c>
      <c r="L163" t="str">
        <f>"0004604685"</f>
        <v>0004604685</v>
      </c>
      <c r="M163" t="str">
        <f>"Temporary personnel services"</f>
        <v>Temporary personnel services</v>
      </c>
      <c r="N163" t="str">
        <f>"Open tender"</f>
        <v>Open tender</v>
      </c>
      <c r="O163" t="str">
        <f>"DCON/12/244"</f>
        <v>DCON/12/244</v>
      </c>
      <c r="P163" t="str">
        <f>"SON1180562"</f>
        <v>SON1180562</v>
      </c>
      <c r="Q163" t="str">
        <f t="shared" si="66"/>
        <v>No</v>
      </c>
      <c r="R163" t="str">
        <f>""</f>
        <v/>
      </c>
      <c r="S163" t="str">
        <f t="shared" si="68"/>
        <v>No</v>
      </c>
      <c r="T163" t="str">
        <f>""</f>
        <v/>
      </c>
      <c r="U163" t="str">
        <f t="shared" si="69"/>
        <v>No</v>
      </c>
      <c r="V163" t="str">
        <f>""</f>
        <v/>
      </c>
      <c r="X163" t="str">
        <f>"DFP Recruitment Services"</f>
        <v>DFP Recruitment Services</v>
      </c>
      <c r="Y163" t="str">
        <f>"388 Collins Street"</f>
        <v>388 Collins Street</v>
      </c>
      <c r="Z163" t="str">
        <f>"Melbourne"</f>
        <v>Melbourne</v>
      </c>
      <c r="AA163" t="str">
        <f>"3000"</f>
        <v>3000</v>
      </c>
      <c r="AB163" t="str">
        <f t="shared" si="64"/>
        <v>Australia</v>
      </c>
      <c r="AC163" t="str">
        <f t="shared" si="63"/>
        <v>No</v>
      </c>
      <c r="AD163" t="str">
        <f>"66394749447"</f>
        <v>66394749447</v>
      </c>
      <c r="AE163" t="str">
        <f t="shared" si="67"/>
        <v>ADMIN OFFICER</v>
      </c>
      <c r="AF163" t="str">
        <f t="shared" si="47"/>
        <v>(02) 6271 1000</v>
      </c>
      <c r="AG163" t="str">
        <f>""</f>
        <v/>
      </c>
      <c r="AH163" t="str">
        <f>""</f>
        <v/>
      </c>
      <c r="AI163" t="str">
        <f>"CORPORATE TREASURY [OLD] Corporate Treasury"</f>
        <v>CORPORATE TREASURY [OLD] Corporate Treasury</v>
      </c>
      <c r="AJ163" t="str">
        <f t="shared" si="57"/>
        <v>2603</v>
      </c>
    </row>
    <row r="164" spans="1:36" x14ac:dyDescent="0.25">
      <c r="A164" t="str">
        <f t="shared" si="54"/>
        <v>Department of Communications</v>
      </c>
      <c r="B164" t="str">
        <f>""</f>
        <v/>
      </c>
      <c r="C164" t="str">
        <f>"CN2563621"</f>
        <v>CN2563621</v>
      </c>
      <c r="D164" t="str">
        <f t="shared" si="70"/>
        <v>David Kenny</v>
      </c>
      <c r="E164" s="44">
        <v>41894.547222222223</v>
      </c>
      <c r="F164" t="s">
        <v>2508</v>
      </c>
      <c r="G164" t="str">
        <f t="shared" si="55"/>
        <v>published</v>
      </c>
      <c r="H164" s="45">
        <v>41883</v>
      </c>
      <c r="I164" s="45">
        <v>42979</v>
      </c>
      <c r="J164" s="46">
        <v>209731.5</v>
      </c>
      <c r="K164" t="s">
        <v>1631</v>
      </c>
      <c r="L164" t="str">
        <f>"0004604687"</f>
        <v>0004604687</v>
      </c>
      <c r="M164" t="str">
        <f>"Education and Training Services"</f>
        <v>Education and Training Services</v>
      </c>
      <c r="N164" t="str">
        <f>"Limited tender"</f>
        <v>Limited tender</v>
      </c>
      <c r="O164" t="str">
        <f>"DCON/14/115"</f>
        <v>DCON/14/115</v>
      </c>
      <c r="Q164" t="str">
        <f t="shared" si="66"/>
        <v>No</v>
      </c>
      <c r="R164" t="str">
        <f>""</f>
        <v/>
      </c>
      <c r="S164" t="str">
        <f t="shared" si="68"/>
        <v>No</v>
      </c>
      <c r="T164" t="str">
        <f>""</f>
        <v/>
      </c>
      <c r="U164" t="str">
        <f t="shared" si="69"/>
        <v>No</v>
      </c>
      <c r="V164" t="str">
        <f>""</f>
        <v/>
      </c>
      <c r="X164" t="str">
        <f>"Blended Pty Ltd"</f>
        <v>Blended Pty Ltd</v>
      </c>
      <c r="Y164" t="str">
        <f>"Suite 105, 171 Union Road"</f>
        <v>Suite 105, 171 Union Road</v>
      </c>
      <c r="Z164" t="str">
        <f>"Surrey Hills"</f>
        <v>Surrey Hills</v>
      </c>
      <c r="AA164" t="str">
        <f>"3127"</f>
        <v>3127</v>
      </c>
      <c r="AB164" t="str">
        <f t="shared" si="64"/>
        <v>Australia</v>
      </c>
      <c r="AC164" t="str">
        <f t="shared" si="63"/>
        <v>No</v>
      </c>
      <c r="AD164" t="str">
        <f>"15111883955"</f>
        <v>15111883955</v>
      </c>
      <c r="AE164" t="str">
        <f t="shared" si="67"/>
        <v>ADMIN OFFICER</v>
      </c>
      <c r="AF164" t="str">
        <f t="shared" si="47"/>
        <v>(02) 6271 1000</v>
      </c>
      <c r="AG164" t="str">
        <f>""</f>
        <v/>
      </c>
      <c r="AH164" t="str">
        <f>""</f>
        <v/>
      </c>
      <c r="AI164" t="str">
        <f>"CORPORATE TREASURY [OLD] Corporate Treasury"</f>
        <v>CORPORATE TREASURY [OLD] Corporate Treasury</v>
      </c>
      <c r="AJ164" t="str">
        <f t="shared" si="57"/>
        <v>2603</v>
      </c>
    </row>
    <row r="165" spans="1:36" x14ac:dyDescent="0.25">
      <c r="A165" t="str">
        <f t="shared" si="54"/>
        <v>Department of Communications</v>
      </c>
      <c r="B165" t="str">
        <f>""</f>
        <v/>
      </c>
      <c r="C165" t="str">
        <f>"CN2563611"</f>
        <v>CN2563611</v>
      </c>
      <c r="D165" t="str">
        <f t="shared" si="70"/>
        <v>David Kenny</v>
      </c>
      <c r="E165" s="44">
        <v>41894.547222222223</v>
      </c>
      <c r="F165" t="s">
        <v>2508</v>
      </c>
      <c r="G165" t="str">
        <f t="shared" si="55"/>
        <v>published</v>
      </c>
      <c r="H165" s="45">
        <v>41913</v>
      </c>
      <c r="I165" s="45">
        <v>41913</v>
      </c>
      <c r="J165" s="46">
        <v>16910</v>
      </c>
      <c r="K165" t="s">
        <v>782</v>
      </c>
      <c r="L165" t="str">
        <f>"0004604688"</f>
        <v>0004604688</v>
      </c>
      <c r="M165" t="str">
        <f>"Hotels and lodging and meeting facilities"</f>
        <v>Hotels and lodging and meeting facilities</v>
      </c>
      <c r="N165" t="str">
        <f>"Limited tender"</f>
        <v>Limited tender</v>
      </c>
      <c r="O165" t="str">
        <f>""</f>
        <v/>
      </c>
      <c r="Q165" t="str">
        <f t="shared" si="66"/>
        <v>No</v>
      </c>
      <c r="R165" t="str">
        <f>""</f>
        <v/>
      </c>
      <c r="S165" t="str">
        <f t="shared" si="68"/>
        <v>No</v>
      </c>
      <c r="T165" t="str">
        <f>""</f>
        <v/>
      </c>
      <c r="U165" t="str">
        <f t="shared" si="69"/>
        <v>No</v>
      </c>
      <c r="V165" t="str">
        <f>""</f>
        <v/>
      </c>
      <c r="X165" t="str">
        <f>"Lone Pine Koala Sanctuary"</f>
        <v>Lone Pine Koala Sanctuary</v>
      </c>
      <c r="Y165" t="str">
        <f>"Jesmond Road"</f>
        <v>Jesmond Road</v>
      </c>
      <c r="Z165" t="str">
        <f>"Fig Tree Pocket"</f>
        <v>Fig Tree Pocket</v>
      </c>
      <c r="AA165" t="str">
        <f>"4069"</f>
        <v>4069</v>
      </c>
      <c r="AB165" t="str">
        <f t="shared" si="64"/>
        <v>Australia</v>
      </c>
      <c r="AC165" t="str">
        <f t="shared" si="63"/>
        <v>No</v>
      </c>
      <c r="AD165" t="str">
        <f>"70107757620"</f>
        <v>70107757620</v>
      </c>
      <c r="AE165" t="str">
        <f t="shared" si="67"/>
        <v>ADMIN OFFICER</v>
      </c>
      <c r="AF165" t="str">
        <f t="shared" si="47"/>
        <v>(02) 6271 1000</v>
      </c>
      <c r="AG165" t="str">
        <f>""</f>
        <v/>
      </c>
      <c r="AH165" t="str">
        <f>""</f>
        <v/>
      </c>
      <c r="AI165" t="str">
        <f>"DESV"</f>
        <v>DESV</v>
      </c>
      <c r="AJ165" t="str">
        <f t="shared" si="57"/>
        <v>2603</v>
      </c>
    </row>
    <row r="166" spans="1:36" x14ac:dyDescent="0.25">
      <c r="A166" t="str">
        <f t="shared" si="54"/>
        <v>Department of Communications</v>
      </c>
      <c r="B166" t="str">
        <f>""</f>
        <v/>
      </c>
      <c r="C166" t="str">
        <f>"CN2563601"</f>
        <v>CN2563601</v>
      </c>
      <c r="D166" t="str">
        <f t="shared" si="70"/>
        <v>David Kenny</v>
      </c>
      <c r="E166" s="44">
        <v>41894.547222222223</v>
      </c>
      <c r="F166" t="s">
        <v>2508</v>
      </c>
      <c r="G166" t="str">
        <f t="shared" si="55"/>
        <v>published</v>
      </c>
      <c r="H166" s="45">
        <v>41886</v>
      </c>
      <c r="I166" s="45">
        <v>41922</v>
      </c>
      <c r="J166" s="46">
        <v>11500</v>
      </c>
      <c r="K166" t="s">
        <v>1636</v>
      </c>
      <c r="L166" t="str">
        <f>"0004604689"</f>
        <v>0004604689</v>
      </c>
      <c r="M166" t="str">
        <f>"Temporary personnel services"</f>
        <v>Temporary personnel services</v>
      </c>
      <c r="N166" t="str">
        <f>"Open tender"</f>
        <v>Open tender</v>
      </c>
      <c r="O166" t="str">
        <f>"DCON/12/244"</f>
        <v>DCON/12/244</v>
      </c>
      <c r="P166" t="str">
        <f>"SON1180562"</f>
        <v>SON1180562</v>
      </c>
      <c r="Q166" t="str">
        <f t="shared" si="66"/>
        <v>No</v>
      </c>
      <c r="R166" t="str">
        <f>""</f>
        <v/>
      </c>
      <c r="S166" t="str">
        <f t="shared" si="68"/>
        <v>No</v>
      </c>
      <c r="T166" t="str">
        <f>""</f>
        <v/>
      </c>
      <c r="U166" t="str">
        <f t="shared" si="69"/>
        <v>No</v>
      </c>
      <c r="V166" t="str">
        <f>""</f>
        <v/>
      </c>
      <c r="X166" t="str">
        <f>"SOS (STAFFING &amp; OFFICE SOLUTIONS)"</f>
        <v>SOS (STAFFING &amp; OFFICE SOLUTIONS)</v>
      </c>
      <c r="Y166" t="str">
        <f>"1st Fl Andrew Arcade, 42 Giles Stre"</f>
        <v>1st Fl Andrew Arcade, 42 Giles Stre</v>
      </c>
      <c r="Z166" t="str">
        <f>"Kingston"</f>
        <v>Kingston</v>
      </c>
      <c r="AA166" t="str">
        <f>"2604"</f>
        <v>2604</v>
      </c>
      <c r="AB166" t="str">
        <f t="shared" si="64"/>
        <v>Australia</v>
      </c>
      <c r="AC166" t="str">
        <f t="shared" si="63"/>
        <v>No</v>
      </c>
      <c r="AD166" t="str">
        <f>"78082056782"</f>
        <v>78082056782</v>
      </c>
      <c r="AE166" t="str">
        <f t="shared" si="67"/>
        <v>ADMIN OFFICER</v>
      </c>
      <c r="AF166" t="str">
        <f t="shared" si="47"/>
        <v>(02) 6271 1000</v>
      </c>
      <c r="AG166" t="str">
        <f>""</f>
        <v/>
      </c>
      <c r="AH166" t="str">
        <f>""</f>
        <v/>
      </c>
      <c r="AI166" t="str">
        <f>"CORPORATE TREASURY [OLD] Corporate Treasury"</f>
        <v>CORPORATE TREASURY [OLD] Corporate Treasury</v>
      </c>
      <c r="AJ166" t="str">
        <f t="shared" si="57"/>
        <v>2603</v>
      </c>
    </row>
    <row r="167" spans="1:36" x14ac:dyDescent="0.25">
      <c r="A167" t="str">
        <f t="shared" si="54"/>
        <v>Department of Communications</v>
      </c>
      <c r="B167" t="str">
        <f>""</f>
        <v/>
      </c>
      <c r="C167" t="str">
        <f>"CN2563591"</f>
        <v>CN2563591</v>
      </c>
      <c r="D167" t="str">
        <f t="shared" si="70"/>
        <v>David Kenny</v>
      </c>
      <c r="E167" s="44">
        <v>41894.547222222223</v>
      </c>
      <c r="F167" t="s">
        <v>2508</v>
      </c>
      <c r="G167" t="str">
        <f t="shared" si="55"/>
        <v>published</v>
      </c>
      <c r="H167" s="45">
        <v>41911</v>
      </c>
      <c r="I167" s="45">
        <v>41911</v>
      </c>
      <c r="J167" s="46">
        <v>18000</v>
      </c>
      <c r="K167" t="s">
        <v>785</v>
      </c>
      <c r="L167" t="str">
        <f>"0004604690"</f>
        <v>0004604690</v>
      </c>
      <c r="M167" t="str">
        <f>"Hotels and lodging and meeting facilities"</f>
        <v>Hotels and lodging and meeting facilities</v>
      </c>
      <c r="N167" t="str">
        <f>"Limited tender"</f>
        <v>Limited tender</v>
      </c>
      <c r="O167" t="str">
        <f>""</f>
        <v/>
      </c>
      <c r="Q167" t="str">
        <f t="shared" si="66"/>
        <v>No</v>
      </c>
      <c r="R167" t="str">
        <f>""</f>
        <v/>
      </c>
      <c r="S167" t="str">
        <f t="shared" si="68"/>
        <v>No</v>
      </c>
      <c r="T167" t="str">
        <f>""</f>
        <v/>
      </c>
      <c r="U167" t="str">
        <f t="shared" si="69"/>
        <v>No</v>
      </c>
      <c r="V167" t="str">
        <f>""</f>
        <v/>
      </c>
      <c r="X167" t="str">
        <f>"Kookaburra River Queens"</f>
        <v>Kookaburra River Queens</v>
      </c>
      <c r="Y167" t="str">
        <f>"PO Box GPO 7138"</f>
        <v>PO Box GPO 7138</v>
      </c>
      <c r="Z167" t="str">
        <f>"Brisbane"</f>
        <v>Brisbane</v>
      </c>
      <c r="AA167" t="str">
        <f>"4001"</f>
        <v>4001</v>
      </c>
      <c r="AB167" t="str">
        <f t="shared" si="64"/>
        <v>Australia</v>
      </c>
      <c r="AC167" t="str">
        <f t="shared" si="63"/>
        <v>No</v>
      </c>
      <c r="AD167" t="str">
        <f>"64088276742"</f>
        <v>64088276742</v>
      </c>
      <c r="AE167" t="str">
        <f t="shared" si="67"/>
        <v>ADMIN OFFICER</v>
      </c>
      <c r="AF167" t="str">
        <f t="shared" si="47"/>
        <v>(02) 6271 1000</v>
      </c>
      <c r="AG167" t="str">
        <f>""</f>
        <v/>
      </c>
      <c r="AH167" t="str">
        <f>""</f>
        <v/>
      </c>
      <c r="AI167" t="str">
        <f>"DESV"</f>
        <v>DESV</v>
      </c>
      <c r="AJ167" t="str">
        <f t="shared" si="57"/>
        <v>2603</v>
      </c>
    </row>
    <row r="168" spans="1:36" x14ac:dyDescent="0.25">
      <c r="A168" t="str">
        <f t="shared" si="54"/>
        <v>Department of Communications</v>
      </c>
      <c r="B168" t="str">
        <f>""</f>
        <v/>
      </c>
      <c r="C168" t="str">
        <f>"CN2563581"</f>
        <v>CN2563581</v>
      </c>
      <c r="D168" t="str">
        <f t="shared" si="70"/>
        <v>David Kenny</v>
      </c>
      <c r="E168" s="44">
        <v>41894.547222222223</v>
      </c>
      <c r="F168" t="s">
        <v>2508</v>
      </c>
      <c r="G168" t="str">
        <f t="shared" si="55"/>
        <v>published</v>
      </c>
      <c r="H168" s="45">
        <v>41883</v>
      </c>
      <c r="I168" s="45">
        <v>42183</v>
      </c>
      <c r="J168" s="46">
        <v>19800</v>
      </c>
      <c r="K168" t="s">
        <v>1639</v>
      </c>
      <c r="L168" t="str">
        <f>"0004604692"</f>
        <v>0004604692</v>
      </c>
      <c r="M168" t="str">
        <f>"Human resources services"</f>
        <v>Human resources services</v>
      </c>
      <c r="N168" t="str">
        <f>"Limited tender"</f>
        <v>Limited tender</v>
      </c>
      <c r="O168" t="str">
        <f>""</f>
        <v/>
      </c>
      <c r="Q168" t="str">
        <f t="shared" si="66"/>
        <v>No</v>
      </c>
      <c r="R168" t="str">
        <f>""</f>
        <v/>
      </c>
      <c r="S168" t="str">
        <f t="shared" si="68"/>
        <v>No</v>
      </c>
      <c r="T168" t="str">
        <f>""</f>
        <v/>
      </c>
      <c r="U168" t="str">
        <f t="shared" si="69"/>
        <v>No</v>
      </c>
      <c r="V168" t="str">
        <f>""</f>
        <v/>
      </c>
      <c r="X168" t="str">
        <f>"Cameron and Associates"</f>
        <v>Cameron and Associates</v>
      </c>
      <c r="Y168" t="str">
        <f>"45 Tasmania Circle"</f>
        <v>45 Tasmania Circle</v>
      </c>
      <c r="Z168" t="str">
        <f>"Forrest"</f>
        <v>Forrest</v>
      </c>
      <c r="AA168" t="str">
        <f>"2603"</f>
        <v>2603</v>
      </c>
      <c r="AB168" t="str">
        <f t="shared" si="64"/>
        <v>Australia</v>
      </c>
      <c r="AC168" t="str">
        <f t="shared" si="63"/>
        <v>No</v>
      </c>
      <c r="AD168" t="str">
        <f>"84008560638"</f>
        <v>84008560638</v>
      </c>
      <c r="AE168" t="str">
        <f t="shared" si="67"/>
        <v>ADMIN OFFICER</v>
      </c>
      <c r="AF168" t="str">
        <f t="shared" si="47"/>
        <v>(02) 6271 1000</v>
      </c>
      <c r="AG168" t="str">
        <f>""</f>
        <v/>
      </c>
      <c r="AH168" t="str">
        <f>""</f>
        <v/>
      </c>
      <c r="AI168" t="str">
        <f t="shared" ref="AI168:AI173" si="71">"CORPORATE TREASURY [OLD] Corporate Treasury"</f>
        <v>CORPORATE TREASURY [OLD] Corporate Treasury</v>
      </c>
      <c r="AJ168" t="str">
        <f t="shared" si="57"/>
        <v>2603</v>
      </c>
    </row>
    <row r="169" spans="1:36" x14ac:dyDescent="0.25">
      <c r="A169" t="str">
        <f t="shared" si="54"/>
        <v>Department of Communications</v>
      </c>
      <c r="B169" t="str">
        <f>""</f>
        <v/>
      </c>
      <c r="C169" t="str">
        <f>"CN2563571"</f>
        <v>CN2563571</v>
      </c>
      <c r="D169" t="str">
        <f t="shared" si="70"/>
        <v>David Kenny</v>
      </c>
      <c r="E169" s="44">
        <v>41894.547222222223</v>
      </c>
      <c r="F169" t="s">
        <v>2508</v>
      </c>
      <c r="G169" t="str">
        <f t="shared" si="55"/>
        <v>published</v>
      </c>
      <c r="H169" s="45">
        <v>41891</v>
      </c>
      <c r="I169" s="45">
        <v>42185</v>
      </c>
      <c r="J169" s="46">
        <v>20400</v>
      </c>
      <c r="K169" t="s">
        <v>1641</v>
      </c>
      <c r="L169" t="str">
        <f>"0004604693"</f>
        <v>0004604693</v>
      </c>
      <c r="M169" t="str">
        <f>"Human resources services"</f>
        <v>Human resources services</v>
      </c>
      <c r="N169" t="str">
        <f>"Limited tender"</f>
        <v>Limited tender</v>
      </c>
      <c r="O169" t="str">
        <f>""</f>
        <v/>
      </c>
      <c r="Q169" t="str">
        <f t="shared" si="66"/>
        <v>No</v>
      </c>
      <c r="R169" t="str">
        <f>""</f>
        <v/>
      </c>
      <c r="S169" t="str">
        <f t="shared" si="68"/>
        <v>No</v>
      </c>
      <c r="T169" t="str">
        <f>""</f>
        <v/>
      </c>
      <c r="U169" t="str">
        <f t="shared" si="69"/>
        <v>No</v>
      </c>
      <c r="V169" t="str">
        <f>""</f>
        <v/>
      </c>
      <c r="X169" t="str">
        <f>"Australian Public"</f>
        <v>Australian Public</v>
      </c>
      <c r="Y169" t="str">
        <f>"16 Furzer Street"</f>
        <v>16 Furzer Street</v>
      </c>
      <c r="Z169" t="str">
        <f>"Phillip"</f>
        <v>Phillip</v>
      </c>
      <c r="AA169" t="str">
        <f>"2606"</f>
        <v>2606</v>
      </c>
      <c r="AB169" t="str">
        <f t="shared" si="64"/>
        <v>Australia</v>
      </c>
      <c r="AC169" t="str">
        <f t="shared" si="63"/>
        <v>No</v>
      </c>
      <c r="AD169" t="str">
        <f>"99470863260"</f>
        <v>99470863260</v>
      </c>
      <c r="AE169" t="str">
        <f t="shared" si="67"/>
        <v>ADMIN OFFICER</v>
      </c>
      <c r="AF169" t="str">
        <f t="shared" ref="AF169:AF232" si="72">"(02) 6271 1000"</f>
        <v>(02) 6271 1000</v>
      </c>
      <c r="AG169" t="str">
        <f>""</f>
        <v/>
      </c>
      <c r="AH169" t="str">
        <f>""</f>
        <v/>
      </c>
      <c r="AI169" t="str">
        <f t="shared" si="71"/>
        <v>CORPORATE TREASURY [OLD] Corporate Treasury</v>
      </c>
      <c r="AJ169" t="str">
        <f t="shared" si="57"/>
        <v>2603</v>
      </c>
    </row>
    <row r="170" spans="1:36" x14ac:dyDescent="0.25">
      <c r="A170" t="str">
        <f t="shared" si="54"/>
        <v>Department of Communications</v>
      </c>
      <c r="B170" t="str">
        <f>""</f>
        <v/>
      </c>
      <c r="C170" t="str">
        <f>"CN2563561"</f>
        <v>CN2563561</v>
      </c>
      <c r="D170" t="str">
        <f t="shared" si="70"/>
        <v>David Kenny</v>
      </c>
      <c r="E170" s="44">
        <v>41894.546527777777</v>
      </c>
      <c r="F170" t="s">
        <v>2508</v>
      </c>
      <c r="G170" t="str">
        <f t="shared" si="55"/>
        <v>published</v>
      </c>
      <c r="H170" s="45">
        <v>41892</v>
      </c>
      <c r="I170" s="45">
        <v>41913</v>
      </c>
      <c r="J170" s="46">
        <v>30000</v>
      </c>
      <c r="K170" t="s">
        <v>1643</v>
      </c>
      <c r="L170" t="str">
        <f>"0004604694"</f>
        <v>0004604694</v>
      </c>
      <c r="M170" t="str">
        <f>"Human resources services"</f>
        <v>Human resources services</v>
      </c>
      <c r="N170" t="str">
        <f>"Limited tender"</f>
        <v>Limited tender</v>
      </c>
      <c r="O170" t="str">
        <f>""</f>
        <v/>
      </c>
      <c r="Q170" t="str">
        <f t="shared" si="66"/>
        <v>No</v>
      </c>
      <c r="R170" t="str">
        <f>""</f>
        <v/>
      </c>
      <c r="S170" t="str">
        <f t="shared" si="68"/>
        <v>No</v>
      </c>
      <c r="T170" t="str">
        <f>""</f>
        <v/>
      </c>
      <c r="U170" t="str">
        <f t="shared" si="69"/>
        <v>No</v>
      </c>
      <c r="V170" t="str">
        <f>""</f>
        <v/>
      </c>
      <c r="X170" t="str">
        <f>"MOZ Consulting"</f>
        <v>MOZ Consulting</v>
      </c>
      <c r="Y170" t="str">
        <f>"GPO Box 1276"</f>
        <v>GPO Box 1276</v>
      </c>
      <c r="Z170" t="str">
        <f>"Canberra"</f>
        <v>Canberra</v>
      </c>
      <c r="AA170" t="str">
        <f>"2601"</f>
        <v>2601</v>
      </c>
      <c r="AB170" t="str">
        <f t="shared" si="64"/>
        <v>Australia</v>
      </c>
      <c r="AC170" t="str">
        <f t="shared" si="63"/>
        <v>No</v>
      </c>
      <c r="AD170" t="str">
        <f>"41762741143"</f>
        <v>41762741143</v>
      </c>
      <c r="AE170" t="str">
        <f t="shared" si="67"/>
        <v>ADMIN OFFICER</v>
      </c>
      <c r="AF170" t="str">
        <f t="shared" si="72"/>
        <v>(02) 6271 1000</v>
      </c>
      <c r="AG170" t="str">
        <f>""</f>
        <v/>
      </c>
      <c r="AH170" t="str">
        <f>""</f>
        <v/>
      </c>
      <c r="AI170" t="str">
        <f t="shared" si="71"/>
        <v>CORPORATE TREASURY [OLD] Corporate Treasury</v>
      </c>
      <c r="AJ170" t="str">
        <f t="shared" si="57"/>
        <v>2603</v>
      </c>
    </row>
    <row r="171" spans="1:36" x14ac:dyDescent="0.25">
      <c r="A171" t="str">
        <f t="shared" si="54"/>
        <v>Department of Communications</v>
      </c>
      <c r="B171" t="str">
        <f>""</f>
        <v/>
      </c>
      <c r="C171" t="str">
        <f>"CN2563551"</f>
        <v>CN2563551</v>
      </c>
      <c r="D171" t="str">
        <f t="shared" si="70"/>
        <v>David Kenny</v>
      </c>
      <c r="E171" s="44">
        <v>41894.546527777777</v>
      </c>
      <c r="F171" t="s">
        <v>2508</v>
      </c>
      <c r="G171" t="str">
        <f t="shared" si="55"/>
        <v>published</v>
      </c>
      <c r="H171" s="45">
        <v>41890</v>
      </c>
      <c r="I171" s="45">
        <v>41943</v>
      </c>
      <c r="J171" s="46">
        <v>30000</v>
      </c>
      <c r="K171" t="s">
        <v>1644</v>
      </c>
      <c r="L171" t="str">
        <f>"0004604695"</f>
        <v>0004604695</v>
      </c>
      <c r="M171" t="str">
        <f>"Building support services"</f>
        <v>Building support services</v>
      </c>
      <c r="N171" t="str">
        <f>"Open tender"</f>
        <v>Open tender</v>
      </c>
      <c r="O171" t="str">
        <f>"NA1000"</f>
        <v>NA1000</v>
      </c>
      <c r="Q171" t="str">
        <f t="shared" si="66"/>
        <v>No</v>
      </c>
      <c r="R171" t="str">
        <f>""</f>
        <v/>
      </c>
      <c r="S171" t="str">
        <f t="shared" si="68"/>
        <v>No</v>
      </c>
      <c r="T171" t="str">
        <f>""</f>
        <v/>
      </c>
      <c r="U171" t="str">
        <f t="shared" si="69"/>
        <v>No</v>
      </c>
      <c r="V171" t="str">
        <f>""</f>
        <v/>
      </c>
      <c r="X171" t="str">
        <f>"NEF Consulting Services"</f>
        <v>NEF Consulting Services</v>
      </c>
      <c r="Y171" t="str">
        <f>"PO Box 260"</f>
        <v>PO Box 260</v>
      </c>
      <c r="Z171" t="str">
        <f>"Dickson"</f>
        <v>Dickson</v>
      </c>
      <c r="AA171" t="str">
        <f>"2602"</f>
        <v>2602</v>
      </c>
      <c r="AB171" t="str">
        <f t="shared" si="64"/>
        <v>Australia</v>
      </c>
      <c r="AC171" t="str">
        <f t="shared" si="63"/>
        <v>No</v>
      </c>
      <c r="AD171" t="str">
        <f>"17125808188"</f>
        <v>17125808188</v>
      </c>
      <c r="AE171" t="str">
        <f t="shared" si="67"/>
        <v>ADMIN OFFICER</v>
      </c>
      <c r="AF171" t="str">
        <f t="shared" si="72"/>
        <v>(02) 6271 1000</v>
      </c>
      <c r="AG171" t="str">
        <f>""</f>
        <v/>
      </c>
      <c r="AH171" t="str">
        <f>""</f>
        <v/>
      </c>
      <c r="AI171" t="str">
        <f t="shared" si="71"/>
        <v>CORPORATE TREASURY [OLD] Corporate Treasury</v>
      </c>
      <c r="AJ171" t="str">
        <f t="shared" ref="AJ171:AJ202" si="73">"2603"</f>
        <v>2603</v>
      </c>
    </row>
    <row r="172" spans="1:36" x14ac:dyDescent="0.25">
      <c r="A172" t="str">
        <f t="shared" si="54"/>
        <v>Department of Communications</v>
      </c>
      <c r="B172" t="str">
        <f>""</f>
        <v/>
      </c>
      <c r="C172" t="str">
        <f>"CN2563541"</f>
        <v>CN2563541</v>
      </c>
      <c r="D172" t="str">
        <f t="shared" si="70"/>
        <v>David Kenny</v>
      </c>
      <c r="E172" s="44">
        <v>41894.546527777777</v>
      </c>
      <c r="F172" t="s">
        <v>2508</v>
      </c>
      <c r="G172" t="str">
        <f t="shared" si="55"/>
        <v>published</v>
      </c>
      <c r="H172" s="45">
        <v>41891</v>
      </c>
      <c r="I172" s="45">
        <v>41943</v>
      </c>
      <c r="J172" s="46">
        <v>30000</v>
      </c>
      <c r="K172" t="s">
        <v>1646</v>
      </c>
      <c r="L172" t="str">
        <f>"0004604696"</f>
        <v>0004604696</v>
      </c>
      <c r="M172" t="str">
        <f>"Building support services"</f>
        <v>Building support services</v>
      </c>
      <c r="N172" t="str">
        <f>"Open tender"</f>
        <v>Open tender</v>
      </c>
      <c r="O172" t="str">
        <f>"NA"</f>
        <v>NA</v>
      </c>
      <c r="Q172" t="str">
        <f t="shared" si="66"/>
        <v>No</v>
      </c>
      <c r="R172" t="str">
        <f>""</f>
        <v/>
      </c>
      <c r="S172" t="str">
        <f t="shared" si="68"/>
        <v>No</v>
      </c>
      <c r="T172" t="str">
        <f>""</f>
        <v/>
      </c>
      <c r="U172" t="str">
        <f t="shared" si="69"/>
        <v>No</v>
      </c>
      <c r="V172" t="str">
        <f>""</f>
        <v/>
      </c>
      <c r="X172" t="str">
        <f>"NEF Consulting Services"</f>
        <v>NEF Consulting Services</v>
      </c>
      <c r="Y172" t="str">
        <f>"PO Box 260"</f>
        <v>PO Box 260</v>
      </c>
      <c r="Z172" t="str">
        <f>"Dickson"</f>
        <v>Dickson</v>
      </c>
      <c r="AA172" t="str">
        <f>"2602"</f>
        <v>2602</v>
      </c>
      <c r="AB172" t="str">
        <f t="shared" si="64"/>
        <v>Australia</v>
      </c>
      <c r="AC172" t="str">
        <f t="shared" si="63"/>
        <v>No</v>
      </c>
      <c r="AD172" t="str">
        <f>"17125808188"</f>
        <v>17125808188</v>
      </c>
      <c r="AE172" t="str">
        <f t="shared" si="67"/>
        <v>ADMIN OFFICER</v>
      </c>
      <c r="AF172" t="str">
        <f t="shared" si="72"/>
        <v>(02) 6271 1000</v>
      </c>
      <c r="AG172" t="str">
        <f>""</f>
        <v/>
      </c>
      <c r="AH172" t="str">
        <f>""</f>
        <v/>
      </c>
      <c r="AI172" t="str">
        <f t="shared" si="71"/>
        <v>CORPORATE TREASURY [OLD] Corporate Treasury</v>
      </c>
      <c r="AJ172" t="str">
        <f t="shared" si="73"/>
        <v>2603</v>
      </c>
    </row>
    <row r="173" spans="1:36" x14ac:dyDescent="0.25">
      <c r="A173" t="str">
        <f t="shared" si="54"/>
        <v>Department of Communications</v>
      </c>
      <c r="B173" t="str">
        <f>""</f>
        <v/>
      </c>
      <c r="C173" t="str">
        <f>"CN2800742"</f>
        <v>CN2800742</v>
      </c>
      <c r="D173" t="str">
        <f t="shared" si="70"/>
        <v>David Kenny</v>
      </c>
      <c r="E173" s="44">
        <v>42019.470138888886</v>
      </c>
      <c r="F173" t="s">
        <v>2508</v>
      </c>
      <c r="G173" t="str">
        <f t="shared" si="55"/>
        <v>published</v>
      </c>
      <c r="H173" s="45">
        <v>41891</v>
      </c>
      <c r="I173" s="45">
        <v>41943</v>
      </c>
      <c r="J173" s="46">
        <v>10000</v>
      </c>
      <c r="K173" t="s">
        <v>1646</v>
      </c>
      <c r="L173" t="str">
        <f>"0004604696"</f>
        <v>0004604696</v>
      </c>
      <c r="M173" t="str">
        <f>"Building support services"</f>
        <v>Building support services</v>
      </c>
      <c r="N173" t="str">
        <f>"Open tender"</f>
        <v>Open tender</v>
      </c>
      <c r="O173" t="str">
        <f>"NA"</f>
        <v>NA</v>
      </c>
      <c r="Q173" t="str">
        <f t="shared" si="66"/>
        <v>No</v>
      </c>
      <c r="R173" t="str">
        <f>""</f>
        <v/>
      </c>
      <c r="S173" t="str">
        <f t="shared" si="68"/>
        <v>No</v>
      </c>
      <c r="T173" t="str">
        <f>""</f>
        <v/>
      </c>
      <c r="U173" t="str">
        <f t="shared" si="69"/>
        <v>No</v>
      </c>
      <c r="V173" t="str">
        <f>""</f>
        <v/>
      </c>
      <c r="X173" t="str">
        <f>"NEF Consulting Services"</f>
        <v>NEF Consulting Services</v>
      </c>
      <c r="Y173" t="str">
        <f>"PO Box 260"</f>
        <v>PO Box 260</v>
      </c>
      <c r="Z173" t="str">
        <f>"Dickson"</f>
        <v>Dickson</v>
      </c>
      <c r="AA173" t="str">
        <f>"2602"</f>
        <v>2602</v>
      </c>
      <c r="AB173" t="str">
        <f t="shared" si="64"/>
        <v>Australia</v>
      </c>
      <c r="AC173" t="str">
        <f t="shared" si="63"/>
        <v>No</v>
      </c>
      <c r="AD173" t="str">
        <f>"17125808188"</f>
        <v>17125808188</v>
      </c>
      <c r="AE173" t="str">
        <f t="shared" si="67"/>
        <v>ADMIN OFFICER</v>
      </c>
      <c r="AF173" t="str">
        <f t="shared" si="72"/>
        <v>(02) 6271 1000</v>
      </c>
      <c r="AG173" t="str">
        <f>""</f>
        <v/>
      </c>
      <c r="AH173" t="str">
        <f>""</f>
        <v/>
      </c>
      <c r="AI173" t="str">
        <f t="shared" si="71"/>
        <v>CORPORATE TREASURY [OLD] Corporate Treasury</v>
      </c>
      <c r="AJ173" t="str">
        <f t="shared" si="73"/>
        <v>2603</v>
      </c>
    </row>
    <row r="174" spans="1:36" x14ac:dyDescent="0.25">
      <c r="A174" t="str">
        <f t="shared" si="54"/>
        <v>Department of Communications</v>
      </c>
      <c r="B174" t="str">
        <f>""</f>
        <v/>
      </c>
      <c r="C174" t="str">
        <f>"CN2611281"</f>
        <v>CN2611281</v>
      </c>
      <c r="D174" t="str">
        <f t="shared" si="70"/>
        <v>David Kenny</v>
      </c>
      <c r="E174" s="44">
        <v>41920.473611111112</v>
      </c>
      <c r="F174" t="s">
        <v>2508</v>
      </c>
      <c r="G174" t="str">
        <f t="shared" si="55"/>
        <v>published</v>
      </c>
      <c r="H174" s="45">
        <v>41879</v>
      </c>
      <c r="I174" s="45">
        <v>41943</v>
      </c>
      <c r="J174" s="46">
        <v>106057</v>
      </c>
      <c r="K174" t="s">
        <v>788</v>
      </c>
      <c r="L174" t="str">
        <f>"0004604697"</f>
        <v>0004604697</v>
      </c>
      <c r="M174" t="str">
        <f>"Management advisory services"</f>
        <v>Management advisory services</v>
      </c>
      <c r="N174" t="str">
        <f>"Open tender"</f>
        <v>Open tender</v>
      </c>
      <c r="O174" t="str">
        <f>"DCON/12/133"</f>
        <v>DCON/12/133</v>
      </c>
      <c r="P174" t="str">
        <f>"SON1143842"</f>
        <v>SON1143842</v>
      </c>
      <c r="Q174" t="str">
        <f>"Yes"</f>
        <v>Yes</v>
      </c>
      <c r="R174" t="str">
        <f>"Other - COMMERCIAL-IN-CONFIDENCE MATERIAL WILL BE INCLUDED"</f>
        <v>Other - COMMERCIAL-IN-CONFIDENCE MATERIAL WILL BE INCLUDED</v>
      </c>
      <c r="S174" t="str">
        <f>"Yes"</f>
        <v>Yes</v>
      </c>
      <c r="T174" t="str">
        <f>"Other - COMMERCIAL-IN-CONFIDENCE MATERIAL WILL BE INCLUDED"</f>
        <v>Other - COMMERCIAL-IN-CONFIDENCE MATERIAL WILL BE INCLUDED</v>
      </c>
      <c r="U174" t="str">
        <f>"Yes"</f>
        <v>Yes</v>
      </c>
      <c r="V174" t="str">
        <f>"Need for specialised or professional skills"</f>
        <v>Need for specialised or professional skills</v>
      </c>
      <c r="X174" t="str">
        <f>"Deloitte Access Economics"</f>
        <v>Deloitte Access Economics</v>
      </c>
      <c r="Y174" t="str">
        <f>"225 George Street"</f>
        <v>225 George Street</v>
      </c>
      <c r="Z174" t="str">
        <f>"Sydney"</f>
        <v>Sydney</v>
      </c>
      <c r="AA174" t="str">
        <f>"2000"</f>
        <v>2000</v>
      </c>
      <c r="AB174" t="str">
        <f t="shared" si="64"/>
        <v>Australia</v>
      </c>
      <c r="AC174" t="str">
        <f t="shared" si="63"/>
        <v>No</v>
      </c>
      <c r="AD174" t="str">
        <f>"19954628041"</f>
        <v>19954628041</v>
      </c>
      <c r="AE174" t="str">
        <f>"PROCUREMENT MANAGER"</f>
        <v>PROCUREMENT MANAGER</v>
      </c>
      <c r="AF174" t="str">
        <f t="shared" si="72"/>
        <v>(02) 6271 1000</v>
      </c>
      <c r="AG174" t="str">
        <f>""</f>
        <v/>
      </c>
      <c r="AH174" t="str">
        <f>""</f>
        <v/>
      </c>
      <c r="AI174" t="str">
        <f>"CONSUMER &amp; CONTENT Consumer and Content Division"</f>
        <v>CONSUMER &amp; CONTENT Consumer and Content Division</v>
      </c>
      <c r="AJ174" t="str">
        <f t="shared" si="73"/>
        <v>2603</v>
      </c>
    </row>
    <row r="175" spans="1:36" x14ac:dyDescent="0.25">
      <c r="A175" t="str">
        <f t="shared" si="54"/>
        <v>Department of Communications</v>
      </c>
      <c r="B175" t="str">
        <f>""</f>
        <v/>
      </c>
      <c r="C175" t="str">
        <f>"CN2577831"</f>
        <v>CN2577831</v>
      </c>
      <c r="D175" t="str">
        <f t="shared" si="70"/>
        <v>David Kenny</v>
      </c>
      <c r="E175" s="44">
        <v>41901.635416666664</v>
      </c>
      <c r="F175" t="s">
        <v>2508</v>
      </c>
      <c r="G175" t="str">
        <f t="shared" si="55"/>
        <v>published</v>
      </c>
      <c r="H175" s="45">
        <v>41892</v>
      </c>
      <c r="I175" s="45">
        <v>41943</v>
      </c>
      <c r="J175" s="46">
        <v>65200</v>
      </c>
      <c r="K175" t="s">
        <v>2301</v>
      </c>
      <c r="L175" t="str">
        <f>"0004604698"</f>
        <v>0004604698</v>
      </c>
      <c r="M175" t="str">
        <f>"Legal services"</f>
        <v>Legal services</v>
      </c>
      <c r="N175" t="str">
        <f>"Prequalified tender"</f>
        <v>Prequalified tender</v>
      </c>
      <c r="O175" t="str">
        <f>""</f>
        <v/>
      </c>
      <c r="Q175" t="str">
        <f>"Yes"</f>
        <v>Yes</v>
      </c>
      <c r="R175" t="str">
        <f>"Costing/profit information"</f>
        <v>Costing/profit information</v>
      </c>
      <c r="S175" t="str">
        <f>"Yes"</f>
        <v>Yes</v>
      </c>
      <c r="T175" t="str">
        <f>"Intellectual property"</f>
        <v>Intellectual property</v>
      </c>
      <c r="U175" t="str">
        <f t="shared" ref="U175:U201" si="74">"No"</f>
        <v>No</v>
      </c>
      <c r="V175" t="str">
        <f>""</f>
        <v/>
      </c>
      <c r="X175" t="str">
        <f>"AUSTRALIAN GOVERNMENT SOLICITOR"</f>
        <v>AUSTRALIAN GOVERNMENT SOLICITOR</v>
      </c>
      <c r="Y175" t="str">
        <f>"Locked Bag 7246"</f>
        <v>Locked Bag 7246</v>
      </c>
      <c r="Z175" t="str">
        <f>"Canberra Mail Centre"</f>
        <v>Canberra Mail Centre</v>
      </c>
      <c r="AA175" t="str">
        <f>"2610"</f>
        <v>2610</v>
      </c>
      <c r="AB175" t="str">
        <f t="shared" si="64"/>
        <v>Australia</v>
      </c>
      <c r="AC175" t="str">
        <f t="shared" si="63"/>
        <v>No</v>
      </c>
      <c r="AD175" t="str">
        <f>"69405937639"</f>
        <v>69405937639</v>
      </c>
      <c r="AE175" t="str">
        <f>"PROCUREMENT MANAGER"</f>
        <v>PROCUREMENT MANAGER</v>
      </c>
      <c r="AF175" t="str">
        <f t="shared" si="72"/>
        <v>(02) 6271 1000</v>
      </c>
      <c r="AG175" t="str">
        <f>""</f>
        <v/>
      </c>
      <c r="AH175" t="str">
        <f>""</f>
        <v/>
      </c>
      <c r="AI175" t="str">
        <f>"GENERAL COUNSEL Office of the General Counsel"</f>
        <v>GENERAL COUNSEL Office of the General Counsel</v>
      </c>
      <c r="AJ175" t="str">
        <f t="shared" si="73"/>
        <v>2603</v>
      </c>
    </row>
    <row r="176" spans="1:36" x14ac:dyDescent="0.25">
      <c r="A176" t="str">
        <f t="shared" si="54"/>
        <v>Department of Communications</v>
      </c>
      <c r="B176" t="str">
        <f>""</f>
        <v/>
      </c>
      <c r="C176" t="str">
        <f>"CN2577821"</f>
        <v>CN2577821</v>
      </c>
      <c r="D176" t="str">
        <f t="shared" si="70"/>
        <v>David Kenny</v>
      </c>
      <c r="E176" s="44">
        <v>41901.635416666664</v>
      </c>
      <c r="F176" t="s">
        <v>2508</v>
      </c>
      <c r="G176" t="str">
        <f t="shared" si="55"/>
        <v>published</v>
      </c>
      <c r="H176" s="45">
        <v>41894</v>
      </c>
      <c r="I176" s="45">
        <v>41957</v>
      </c>
      <c r="J176" s="46">
        <v>13000</v>
      </c>
      <c r="K176" t="s">
        <v>290</v>
      </c>
      <c r="L176" t="str">
        <f>"0004604699"</f>
        <v>0004604699</v>
      </c>
      <c r="M176" t="str">
        <f>"Temporary personnel services"</f>
        <v>Temporary personnel services</v>
      </c>
      <c r="N176" t="str">
        <f>"Open tender"</f>
        <v>Open tender</v>
      </c>
      <c r="O176" t="str">
        <f>"DCON/12/244"</f>
        <v>DCON/12/244</v>
      </c>
      <c r="P176" t="str">
        <f>"SON1180562"</f>
        <v>SON1180562</v>
      </c>
      <c r="Q176" t="str">
        <f t="shared" ref="Q176:Q219" si="75">"No"</f>
        <v>No</v>
      </c>
      <c r="R176" t="str">
        <f>""</f>
        <v/>
      </c>
      <c r="S176" t="str">
        <f t="shared" ref="S176:S219" si="76">"No"</f>
        <v>No</v>
      </c>
      <c r="T176" t="str">
        <f>""</f>
        <v/>
      </c>
      <c r="U176" t="str">
        <f t="shared" si="74"/>
        <v>No</v>
      </c>
      <c r="V176" t="str">
        <f>""</f>
        <v/>
      </c>
      <c r="X176" t="str">
        <f>"McArthur (NSW) Pty Ltd"</f>
        <v>McArthur (NSW) Pty Ltd</v>
      </c>
      <c r="Y176" t="str">
        <f>"PO Box 1400"</f>
        <v>PO Box 1400</v>
      </c>
      <c r="Z176" t="str">
        <f>"Brisbane"</f>
        <v>Brisbane</v>
      </c>
      <c r="AA176" t="str">
        <f>"4001"</f>
        <v>4001</v>
      </c>
      <c r="AB176" t="str">
        <f t="shared" si="64"/>
        <v>Australia</v>
      </c>
      <c r="AC176" t="str">
        <f t="shared" si="63"/>
        <v>No</v>
      </c>
      <c r="AD176" t="str">
        <f>"26078078298"</f>
        <v>26078078298</v>
      </c>
      <c r="AE176" t="str">
        <f>"PROCUREMENT MANAGER"</f>
        <v>PROCUREMENT MANAGER</v>
      </c>
      <c r="AF176" t="str">
        <f t="shared" si="72"/>
        <v>(02) 6271 1000</v>
      </c>
      <c r="AG176" t="str">
        <f>""</f>
        <v/>
      </c>
      <c r="AH176" t="str">
        <f>""</f>
        <v/>
      </c>
      <c r="AI176" t="str">
        <f>"CONSUMER &amp; CONTENT Consumer and Content Division"</f>
        <v>CONSUMER &amp; CONTENT Consumer and Content Division</v>
      </c>
      <c r="AJ176" t="str">
        <f t="shared" si="73"/>
        <v>2603</v>
      </c>
    </row>
    <row r="177" spans="1:36" x14ac:dyDescent="0.25">
      <c r="A177" t="str">
        <f t="shared" si="54"/>
        <v>Department of Communications</v>
      </c>
      <c r="B177" t="str">
        <f>""</f>
        <v/>
      </c>
      <c r="C177" t="str">
        <f>"CN2577811"</f>
        <v>CN2577811</v>
      </c>
      <c r="D177" t="str">
        <f t="shared" si="70"/>
        <v>David Kenny</v>
      </c>
      <c r="E177" s="44">
        <v>41901.635416666664</v>
      </c>
      <c r="F177" t="s">
        <v>2508</v>
      </c>
      <c r="G177" t="str">
        <f t="shared" si="55"/>
        <v>published</v>
      </c>
      <c r="H177" s="45">
        <v>41909</v>
      </c>
      <c r="I177" s="45">
        <v>41915</v>
      </c>
      <c r="J177" s="46">
        <v>17980</v>
      </c>
      <c r="K177" t="s">
        <v>771</v>
      </c>
      <c r="L177" t="str">
        <f>"0004604700"</f>
        <v>0004604700</v>
      </c>
      <c r="M177" t="str">
        <f>"Hotel rooms"</f>
        <v>Hotel rooms</v>
      </c>
      <c r="N177" t="str">
        <f>"Limited tender"</f>
        <v>Limited tender</v>
      </c>
      <c r="O177" t="str">
        <f>""</f>
        <v/>
      </c>
      <c r="Q177" t="str">
        <f t="shared" si="75"/>
        <v>No</v>
      </c>
      <c r="R177" t="str">
        <f>""</f>
        <v/>
      </c>
      <c r="S177" t="str">
        <f t="shared" si="76"/>
        <v>No</v>
      </c>
      <c r="T177" t="str">
        <f>""</f>
        <v/>
      </c>
      <c r="U177" t="str">
        <f t="shared" si="74"/>
        <v>No</v>
      </c>
      <c r="V177" t="str">
        <f>""</f>
        <v/>
      </c>
      <c r="X177" t="str">
        <f>"Stamford Plaza Brisbane"</f>
        <v>Stamford Plaza Brisbane</v>
      </c>
      <c r="Y177" t="str">
        <f>"Cnr Edward &amp; Margaret St"</f>
        <v>Cnr Edward &amp; Margaret St</v>
      </c>
      <c r="Z177" t="str">
        <f>"Brisbane"</f>
        <v>Brisbane</v>
      </c>
      <c r="AA177" t="str">
        <f>"4000"</f>
        <v>4000</v>
      </c>
      <c r="AB177" t="str">
        <f t="shared" si="64"/>
        <v>Australia</v>
      </c>
      <c r="AC177" t="str">
        <f t="shared" si="63"/>
        <v>No</v>
      </c>
      <c r="AD177" t="str">
        <f>"19091007395"</f>
        <v>19091007395</v>
      </c>
      <c r="AE177" t="str">
        <f>"ADMIN OFFICER"</f>
        <v>ADMIN OFFICER</v>
      </c>
      <c r="AF177" t="str">
        <f t="shared" si="72"/>
        <v>(02) 6271 1000</v>
      </c>
      <c r="AG177" t="str">
        <f>""</f>
        <v/>
      </c>
      <c r="AH177" t="str">
        <f>""</f>
        <v/>
      </c>
      <c r="AI177" t="str">
        <f>"DESV"</f>
        <v>DESV</v>
      </c>
      <c r="AJ177" t="str">
        <f t="shared" si="73"/>
        <v>2603</v>
      </c>
    </row>
    <row r="178" spans="1:36" x14ac:dyDescent="0.25">
      <c r="A178" t="str">
        <f t="shared" si="54"/>
        <v>Department of Communications</v>
      </c>
      <c r="B178" t="str">
        <f>""</f>
        <v/>
      </c>
      <c r="C178" t="str">
        <f>"CN2800732"</f>
        <v>CN2800732</v>
      </c>
      <c r="D178" t="str">
        <f t="shared" si="70"/>
        <v>David Kenny</v>
      </c>
      <c r="E178" s="44">
        <v>42019.470138888886</v>
      </c>
      <c r="F178" t="s">
        <v>2508</v>
      </c>
      <c r="G178" t="str">
        <f t="shared" si="55"/>
        <v>published</v>
      </c>
      <c r="H178" s="45">
        <v>41899</v>
      </c>
      <c r="I178" s="45">
        <v>42185</v>
      </c>
      <c r="J178" s="46">
        <v>42066.9</v>
      </c>
      <c r="K178" t="s">
        <v>1648</v>
      </c>
      <c r="L178" t="str">
        <f>"0004604701"</f>
        <v>0004604701</v>
      </c>
      <c r="M178" t="str">
        <f>"Temporary personnel services"</f>
        <v>Temporary personnel services</v>
      </c>
      <c r="N178" t="str">
        <f>"Open tender"</f>
        <v>Open tender</v>
      </c>
      <c r="O178" t="str">
        <f>"DCON/12/244"</f>
        <v>DCON/12/244</v>
      </c>
      <c r="P178" t="str">
        <f>"SON1180562"</f>
        <v>SON1180562</v>
      </c>
      <c r="Q178" t="str">
        <f t="shared" si="75"/>
        <v>No</v>
      </c>
      <c r="R178" t="str">
        <f>""</f>
        <v/>
      </c>
      <c r="S178" t="str">
        <f t="shared" si="76"/>
        <v>No</v>
      </c>
      <c r="T178" t="str">
        <f>""</f>
        <v/>
      </c>
      <c r="U178" t="str">
        <f t="shared" si="74"/>
        <v>No</v>
      </c>
      <c r="V178" t="str">
        <f>""</f>
        <v/>
      </c>
      <c r="X178" t="str">
        <f>"SOS (STAFFING &amp; OFFICE SOLUTIONS)"</f>
        <v>SOS (STAFFING &amp; OFFICE SOLUTIONS)</v>
      </c>
      <c r="Y178" t="str">
        <f>"1st Fl Andrew Arcade, 42 Giles Stre"</f>
        <v>1st Fl Andrew Arcade, 42 Giles Stre</v>
      </c>
      <c r="Z178" t="str">
        <f>"Kingston"</f>
        <v>Kingston</v>
      </c>
      <c r="AA178" t="str">
        <f>"2604"</f>
        <v>2604</v>
      </c>
      <c r="AB178" t="str">
        <f t="shared" si="64"/>
        <v>Australia</v>
      </c>
      <c r="AC178" t="str">
        <f t="shared" si="63"/>
        <v>No</v>
      </c>
      <c r="AD178" t="str">
        <f>"78082056782"</f>
        <v>78082056782</v>
      </c>
      <c r="AE178" t="str">
        <f>"ADMIN OFFICER"</f>
        <v>ADMIN OFFICER</v>
      </c>
      <c r="AF178" t="str">
        <f t="shared" si="72"/>
        <v>(02) 6271 1000</v>
      </c>
      <c r="AG178" t="str">
        <f>""</f>
        <v/>
      </c>
      <c r="AH178" t="str">
        <f>""</f>
        <v/>
      </c>
      <c r="AI178" t="str">
        <f>"CORPORATE TREASURY [OLD] Corporate Treasury"</f>
        <v>CORPORATE TREASURY [OLD] Corporate Treasury</v>
      </c>
      <c r="AJ178" t="str">
        <f t="shared" si="73"/>
        <v>2603</v>
      </c>
    </row>
    <row r="179" spans="1:36" x14ac:dyDescent="0.25">
      <c r="A179" t="str">
        <f t="shared" si="54"/>
        <v>Department of Communications</v>
      </c>
      <c r="B179" t="str">
        <f>""</f>
        <v/>
      </c>
      <c r="C179" t="str">
        <f>"CN2611271"</f>
        <v>CN2611271</v>
      </c>
      <c r="D179" t="str">
        <f t="shared" si="70"/>
        <v>David Kenny</v>
      </c>
      <c r="E179" s="44">
        <v>41920.473611111112</v>
      </c>
      <c r="F179" t="s">
        <v>2508</v>
      </c>
      <c r="G179" t="str">
        <f t="shared" si="55"/>
        <v>published</v>
      </c>
      <c r="H179" s="45">
        <v>41899</v>
      </c>
      <c r="I179" s="45">
        <v>41997</v>
      </c>
      <c r="J179" s="46">
        <v>20000</v>
      </c>
      <c r="K179" t="s">
        <v>1648</v>
      </c>
      <c r="L179" t="str">
        <f>"0004604701"</f>
        <v>0004604701</v>
      </c>
      <c r="M179" t="str">
        <f>"Temporary personnel services"</f>
        <v>Temporary personnel services</v>
      </c>
      <c r="N179" t="str">
        <f>"Open tender"</f>
        <v>Open tender</v>
      </c>
      <c r="O179" t="str">
        <f>"DCON/12/244"</f>
        <v>DCON/12/244</v>
      </c>
      <c r="P179" t="str">
        <f>"SON1180562"</f>
        <v>SON1180562</v>
      </c>
      <c r="Q179" t="str">
        <f t="shared" si="75"/>
        <v>No</v>
      </c>
      <c r="R179" t="str">
        <f>""</f>
        <v/>
      </c>
      <c r="S179" t="str">
        <f t="shared" si="76"/>
        <v>No</v>
      </c>
      <c r="T179" t="str">
        <f>""</f>
        <v/>
      </c>
      <c r="U179" t="str">
        <f t="shared" si="74"/>
        <v>No</v>
      </c>
      <c r="V179" t="str">
        <f>""</f>
        <v/>
      </c>
      <c r="X179" t="str">
        <f>"SOS (STAFFING &amp; OFFICE SOLUTIONS)"</f>
        <v>SOS (STAFFING &amp; OFFICE SOLUTIONS)</v>
      </c>
      <c r="Y179" t="str">
        <f>"1st Fl Andrew Arcade, 42 Giles Stre"</f>
        <v>1st Fl Andrew Arcade, 42 Giles Stre</v>
      </c>
      <c r="Z179" t="str">
        <f>"Kingston"</f>
        <v>Kingston</v>
      </c>
      <c r="AA179" t="str">
        <f>"2604"</f>
        <v>2604</v>
      </c>
      <c r="AB179" t="str">
        <f t="shared" si="64"/>
        <v>Australia</v>
      </c>
      <c r="AC179" t="str">
        <f t="shared" si="63"/>
        <v>No</v>
      </c>
      <c r="AD179" t="str">
        <f>"78082056782"</f>
        <v>78082056782</v>
      </c>
      <c r="AE179" t="str">
        <f>"ADMIN OFFICER"</f>
        <v>ADMIN OFFICER</v>
      </c>
      <c r="AF179" t="str">
        <f t="shared" si="72"/>
        <v>(02) 6271 1000</v>
      </c>
      <c r="AG179" t="str">
        <f>""</f>
        <v/>
      </c>
      <c r="AH179" t="str">
        <f>""</f>
        <v/>
      </c>
      <c r="AI179" t="str">
        <f>"CORPORATE TREASURY [OLD] Corporate Treasury"</f>
        <v>CORPORATE TREASURY [OLD] Corporate Treasury</v>
      </c>
      <c r="AJ179" t="str">
        <f t="shared" si="73"/>
        <v>2603</v>
      </c>
    </row>
    <row r="180" spans="1:36" x14ac:dyDescent="0.25">
      <c r="A180" t="str">
        <f t="shared" si="54"/>
        <v>Department of Communications</v>
      </c>
      <c r="B180" t="str">
        <f>""</f>
        <v/>
      </c>
      <c r="C180" t="str">
        <f>"CN2577801"</f>
        <v>CN2577801</v>
      </c>
      <c r="D180" t="str">
        <f t="shared" si="70"/>
        <v>David Kenny</v>
      </c>
      <c r="E180" s="44">
        <v>41901.634722222225</v>
      </c>
      <c r="F180" t="s">
        <v>2508</v>
      </c>
      <c r="G180" t="str">
        <f t="shared" si="55"/>
        <v>published</v>
      </c>
      <c r="H180" s="45">
        <v>41883</v>
      </c>
      <c r="I180" s="45">
        <v>41995</v>
      </c>
      <c r="J180" s="46">
        <v>61600</v>
      </c>
      <c r="K180" t="s">
        <v>2094</v>
      </c>
      <c r="L180" t="str">
        <f>"0004604703"</f>
        <v>0004604703</v>
      </c>
      <c r="M180" t="str">
        <f>"Professional procurement services"</f>
        <v>Professional procurement services</v>
      </c>
      <c r="N180" t="str">
        <f>"Open tender"</f>
        <v>Open tender</v>
      </c>
      <c r="O180" t="str">
        <f>"11/000006268"</f>
        <v>11/000006268</v>
      </c>
      <c r="P180" t="str">
        <f>"SON867801"</f>
        <v>SON867801</v>
      </c>
      <c r="Q180" t="str">
        <f t="shared" si="75"/>
        <v>No</v>
      </c>
      <c r="R180" t="str">
        <f>""</f>
        <v/>
      </c>
      <c r="S180" t="str">
        <f t="shared" si="76"/>
        <v>No</v>
      </c>
      <c r="T180" t="str">
        <f>""</f>
        <v/>
      </c>
      <c r="U180" t="str">
        <f t="shared" si="74"/>
        <v>No</v>
      </c>
      <c r="V180" t="str">
        <f>""</f>
        <v/>
      </c>
      <c r="X180" t="str">
        <f>"Business Aspect (ACT) Pty Ltd"</f>
        <v>Business Aspect (ACT) Pty Ltd</v>
      </c>
      <c r="Y180" t="str">
        <f>"PO Box PO BOX 641"</f>
        <v>PO Box PO BOX 641</v>
      </c>
      <c r="Z180" t="str">
        <f>"Spring Hill"</f>
        <v>Spring Hill</v>
      </c>
      <c r="AA180" t="str">
        <f>"4004"</f>
        <v>4004</v>
      </c>
      <c r="AB180" t="str">
        <f t="shared" si="64"/>
        <v>Australia</v>
      </c>
      <c r="AC180" t="str">
        <f t="shared" si="63"/>
        <v>No</v>
      </c>
      <c r="AD180" t="str">
        <f>"61121411274"</f>
        <v>61121411274</v>
      </c>
      <c r="AE180" t="str">
        <f>"PROCUREMENT MANAGER"</f>
        <v>PROCUREMENT MANAGER</v>
      </c>
      <c r="AF180" t="str">
        <f t="shared" si="72"/>
        <v>(02) 6271 1000</v>
      </c>
      <c r="AG180" t="str">
        <f>""</f>
        <v/>
      </c>
      <c r="AH180" t="str">
        <f>""</f>
        <v/>
      </c>
      <c r="AI180" t="str">
        <f>"DIGITAL PRODUCTIVITY Digital Productivity Division"</f>
        <v>DIGITAL PRODUCTIVITY Digital Productivity Division</v>
      </c>
      <c r="AJ180" t="str">
        <f t="shared" si="73"/>
        <v>2603</v>
      </c>
    </row>
    <row r="181" spans="1:36" x14ac:dyDescent="0.25">
      <c r="A181" t="str">
        <f t="shared" si="54"/>
        <v>Department of Communications</v>
      </c>
      <c r="B181" t="str">
        <f>""</f>
        <v/>
      </c>
      <c r="C181" t="str">
        <f>"CN2577791"</f>
        <v>CN2577791</v>
      </c>
      <c r="D181" t="str">
        <f t="shared" si="70"/>
        <v>David Kenny</v>
      </c>
      <c r="E181" s="44">
        <v>41901.634722222225</v>
      </c>
      <c r="F181" t="s">
        <v>2508</v>
      </c>
      <c r="G181" t="str">
        <f t="shared" si="55"/>
        <v>published</v>
      </c>
      <c r="H181" s="45">
        <v>41897</v>
      </c>
      <c r="I181" s="45">
        <v>41950</v>
      </c>
      <c r="J181" s="46">
        <v>72930</v>
      </c>
      <c r="K181" t="s">
        <v>2096</v>
      </c>
      <c r="L181" t="str">
        <f>"0004604704"</f>
        <v>0004604704</v>
      </c>
      <c r="M181" t="str">
        <f>"Professional procurement services"</f>
        <v>Professional procurement services</v>
      </c>
      <c r="N181" t="str">
        <f>"Limited tender"</f>
        <v>Limited tender</v>
      </c>
      <c r="O181" t="str">
        <f>""</f>
        <v/>
      </c>
      <c r="Q181" t="str">
        <f t="shared" si="75"/>
        <v>No</v>
      </c>
      <c r="R181" t="str">
        <f>""</f>
        <v/>
      </c>
      <c r="S181" t="str">
        <f t="shared" si="76"/>
        <v>No</v>
      </c>
      <c r="T181" t="str">
        <f>""</f>
        <v/>
      </c>
      <c r="U181" t="str">
        <f t="shared" si="74"/>
        <v>No</v>
      </c>
      <c r="V181" t="str">
        <f>""</f>
        <v/>
      </c>
      <c r="X181" t="str">
        <f>"Data to Decision CRC T/a"</f>
        <v>Data to Decision CRC T/a</v>
      </c>
      <c r="Y181" t="str">
        <f>"Module 7E, Endeavour House"</f>
        <v>Module 7E, Endeavour House</v>
      </c>
      <c r="Z181" t="str">
        <f>"Fourth Avenue, Technology Parade"</f>
        <v>Fourth Avenue, Technology Parade</v>
      </c>
      <c r="AA181" t="str">
        <f>"5095"</f>
        <v>5095</v>
      </c>
      <c r="AB181" t="str">
        <f t="shared" si="64"/>
        <v>Australia</v>
      </c>
      <c r="AC181" t="str">
        <f t="shared" si="63"/>
        <v>No</v>
      </c>
      <c r="AD181" t="str">
        <f>"45168769677"</f>
        <v>45168769677</v>
      </c>
      <c r="AE181" t="str">
        <f>"PROCUREMENT MANAGER"</f>
        <v>PROCUREMENT MANAGER</v>
      </c>
      <c r="AF181" t="str">
        <f t="shared" si="72"/>
        <v>(02) 6271 1000</v>
      </c>
      <c r="AG181" t="str">
        <f>""</f>
        <v/>
      </c>
      <c r="AH181" t="str">
        <f>""</f>
        <v/>
      </c>
      <c r="AI181" t="str">
        <f>"DIGITAL PRODUCTIVITY Digital Productivity Division"</f>
        <v>DIGITAL PRODUCTIVITY Digital Productivity Division</v>
      </c>
      <c r="AJ181" t="str">
        <f t="shared" si="73"/>
        <v>2603</v>
      </c>
    </row>
    <row r="182" spans="1:36" x14ac:dyDescent="0.25">
      <c r="A182" t="str">
        <f t="shared" si="54"/>
        <v>Department of Communications</v>
      </c>
      <c r="B182" t="str">
        <f>""</f>
        <v/>
      </c>
      <c r="C182" t="str">
        <f>"CN2611261"</f>
        <v>CN2611261</v>
      </c>
      <c r="D182" t="str">
        <f t="shared" si="70"/>
        <v>David Kenny</v>
      </c>
      <c r="E182" s="44">
        <v>41920.473611111112</v>
      </c>
      <c r="F182" t="s">
        <v>2508</v>
      </c>
      <c r="G182" t="str">
        <f t="shared" si="55"/>
        <v>published</v>
      </c>
      <c r="H182" s="45">
        <v>41886</v>
      </c>
      <c r="I182" s="45">
        <v>41943</v>
      </c>
      <c r="J182" s="46">
        <v>49500</v>
      </c>
      <c r="K182" t="s">
        <v>1580</v>
      </c>
      <c r="L182" t="str">
        <f>"0004604709"</f>
        <v>0004604709</v>
      </c>
      <c r="M182" t="str">
        <f>"Information technology consultation services"</f>
        <v>Information technology consultation services</v>
      </c>
      <c r="N182" t="str">
        <f>"Limited tender"</f>
        <v>Limited tender</v>
      </c>
      <c r="O182" t="str">
        <f>""</f>
        <v/>
      </c>
      <c r="Q182" t="str">
        <f t="shared" si="75"/>
        <v>No</v>
      </c>
      <c r="R182" t="str">
        <f>""</f>
        <v/>
      </c>
      <c r="S182" t="str">
        <f t="shared" si="76"/>
        <v>No</v>
      </c>
      <c r="T182" t="str">
        <f>""</f>
        <v/>
      </c>
      <c r="U182" t="str">
        <f t="shared" si="74"/>
        <v>No</v>
      </c>
      <c r="V182" t="str">
        <f>""</f>
        <v/>
      </c>
      <c r="X182" t="str">
        <f>"OBS Pty Ltd"</f>
        <v>OBS Pty Ltd</v>
      </c>
      <c r="Y182" t="str">
        <f>"451 Little Bourke Street, Level 9"</f>
        <v>451 Little Bourke Street, Level 9</v>
      </c>
      <c r="Z182" t="str">
        <f>"Melbourne"</f>
        <v>Melbourne</v>
      </c>
      <c r="AA182" t="str">
        <f>"3000"</f>
        <v>3000</v>
      </c>
      <c r="AB182" t="str">
        <f t="shared" si="64"/>
        <v>Australia</v>
      </c>
      <c r="AC182" t="str">
        <f t="shared" si="63"/>
        <v>No</v>
      </c>
      <c r="AD182" t="str">
        <f>"13081252922"</f>
        <v>13081252922</v>
      </c>
      <c r="AE182" t="str">
        <f>"ADMIN OFFICER"</f>
        <v>ADMIN OFFICER</v>
      </c>
      <c r="AF182" t="str">
        <f t="shared" si="72"/>
        <v>(02) 6271 1000</v>
      </c>
      <c r="AG182" t="str">
        <f>""</f>
        <v/>
      </c>
      <c r="AH182" t="str">
        <f>""</f>
        <v/>
      </c>
      <c r="AI182" t="str">
        <f>"CORPORATE TREASURY [OLD] Corporate Treasury"</f>
        <v>CORPORATE TREASURY [OLD] Corporate Treasury</v>
      </c>
      <c r="AJ182" t="str">
        <f t="shared" si="73"/>
        <v>2603</v>
      </c>
    </row>
    <row r="183" spans="1:36" x14ac:dyDescent="0.25">
      <c r="A183" t="str">
        <f t="shared" si="54"/>
        <v>Department of Communications</v>
      </c>
      <c r="B183" t="str">
        <f>""</f>
        <v/>
      </c>
      <c r="C183" t="str">
        <f>"CN2611251"</f>
        <v>CN2611251</v>
      </c>
      <c r="D183" t="str">
        <f t="shared" si="70"/>
        <v>David Kenny</v>
      </c>
      <c r="E183" s="44">
        <v>41920.472916666666</v>
      </c>
      <c r="F183" t="s">
        <v>2508</v>
      </c>
      <c r="G183" t="str">
        <f t="shared" si="55"/>
        <v>published</v>
      </c>
      <c r="H183" s="45">
        <v>41919</v>
      </c>
      <c r="I183" s="45">
        <v>42094</v>
      </c>
      <c r="J183" s="46">
        <v>171600</v>
      </c>
      <c r="K183" t="s">
        <v>1652</v>
      </c>
      <c r="L183" t="str">
        <f>"0004604714"</f>
        <v>0004604714</v>
      </c>
      <c r="M183" t="str">
        <f>"Software maintenance and support"</f>
        <v>Software maintenance and support</v>
      </c>
      <c r="N183" t="str">
        <f>"Open tender"</f>
        <v>Open tender</v>
      </c>
      <c r="O183" t="str">
        <f>"11/000006268"</f>
        <v>11/000006268</v>
      </c>
      <c r="P183" t="str">
        <f>"SON867801"</f>
        <v>SON867801</v>
      </c>
      <c r="Q183" t="str">
        <f t="shared" si="75"/>
        <v>No</v>
      </c>
      <c r="R183" t="str">
        <f>""</f>
        <v/>
      </c>
      <c r="S183" t="str">
        <f t="shared" si="76"/>
        <v>No</v>
      </c>
      <c r="T183" t="str">
        <f>""</f>
        <v/>
      </c>
      <c r="U183" t="str">
        <f t="shared" si="74"/>
        <v>No</v>
      </c>
      <c r="V183" t="str">
        <f>""</f>
        <v/>
      </c>
      <c r="X183" t="str">
        <f>"Omaha IT Services Pty Ltd"</f>
        <v>Omaha IT Services Pty Ltd</v>
      </c>
      <c r="Y183" t="str">
        <f>"PO Box 196"</f>
        <v>PO Box 196</v>
      </c>
      <c r="Z183" t="str">
        <f>"Calwell"</f>
        <v>Calwell</v>
      </c>
      <c r="AA183" t="str">
        <f>"2905"</f>
        <v>2905</v>
      </c>
      <c r="AB183" t="str">
        <f t="shared" si="64"/>
        <v>Australia</v>
      </c>
      <c r="AC183" t="str">
        <f t="shared" si="63"/>
        <v>No</v>
      </c>
      <c r="AD183" t="str">
        <f>"50050494196"</f>
        <v>50050494196</v>
      </c>
      <c r="AE183" t="str">
        <f>"ADMIN OFFICER"</f>
        <v>ADMIN OFFICER</v>
      </c>
      <c r="AF183" t="str">
        <f t="shared" si="72"/>
        <v>(02) 6271 1000</v>
      </c>
      <c r="AG183" t="str">
        <f>""</f>
        <v/>
      </c>
      <c r="AH183" t="str">
        <f>""</f>
        <v/>
      </c>
      <c r="AI183" t="str">
        <f>"CORPORATE TREASURY [OLD] Corporate Treasury"</f>
        <v>CORPORATE TREASURY [OLD] Corporate Treasury</v>
      </c>
      <c r="AJ183" t="str">
        <f t="shared" si="73"/>
        <v>2603</v>
      </c>
    </row>
    <row r="184" spans="1:36" x14ac:dyDescent="0.25">
      <c r="A184" t="str">
        <f t="shared" si="54"/>
        <v>Department of Communications</v>
      </c>
      <c r="B184" t="str">
        <f>""</f>
        <v/>
      </c>
      <c r="C184" t="str">
        <f>"CN2611241"</f>
        <v>CN2611241</v>
      </c>
      <c r="D184" t="str">
        <f t="shared" si="70"/>
        <v>David Kenny</v>
      </c>
      <c r="E184" s="44">
        <v>41920.472916666666</v>
      </c>
      <c r="F184" t="s">
        <v>2508</v>
      </c>
      <c r="G184" t="str">
        <f t="shared" si="55"/>
        <v>published</v>
      </c>
      <c r="H184" s="45">
        <v>41911</v>
      </c>
      <c r="I184" s="45">
        <v>42185</v>
      </c>
      <c r="J184" s="46">
        <v>40000</v>
      </c>
      <c r="K184" t="s">
        <v>1658</v>
      </c>
      <c r="L184" t="str">
        <f>"0004604715"</f>
        <v>0004604715</v>
      </c>
      <c r="M184" t="str">
        <f>"Workstations and office packages"</f>
        <v>Workstations and office packages</v>
      </c>
      <c r="N184" t="str">
        <f t="shared" ref="N184:N191" si="77">"Limited tender"</f>
        <v>Limited tender</v>
      </c>
      <c r="O184" t="str">
        <f>""</f>
        <v/>
      </c>
      <c r="Q184" t="str">
        <f t="shared" si="75"/>
        <v>No</v>
      </c>
      <c r="R184" t="str">
        <f>""</f>
        <v/>
      </c>
      <c r="S184" t="str">
        <f t="shared" si="76"/>
        <v>No</v>
      </c>
      <c r="T184" t="str">
        <f>""</f>
        <v/>
      </c>
      <c r="U184" t="str">
        <f t="shared" si="74"/>
        <v>No</v>
      </c>
      <c r="V184" t="str">
        <f>""</f>
        <v/>
      </c>
      <c r="X184" t="str">
        <f>"Schiavello (ACT) Pty Ltd"</f>
        <v>Schiavello (ACT) Pty Ltd</v>
      </c>
      <c r="Y184" t="str">
        <f>"PO Box 427"</f>
        <v>PO Box 427</v>
      </c>
      <c r="Z184" t="str">
        <f>"FYSHWICK"</f>
        <v>FYSHWICK</v>
      </c>
      <c r="AA184" t="str">
        <f>"2609"</f>
        <v>2609</v>
      </c>
      <c r="AB184" t="str">
        <f t="shared" si="64"/>
        <v>Australia</v>
      </c>
      <c r="AC184" t="str">
        <f t="shared" ref="AC184:AC215" si="78">"No"</f>
        <v>No</v>
      </c>
      <c r="AD184" t="str">
        <f>"83008635532"</f>
        <v>83008635532</v>
      </c>
      <c r="AE184" t="str">
        <f>"ADMIN OFFICER"</f>
        <v>ADMIN OFFICER</v>
      </c>
      <c r="AF184" t="str">
        <f t="shared" si="72"/>
        <v>(02) 6271 1000</v>
      </c>
      <c r="AG184" t="str">
        <f>""</f>
        <v/>
      </c>
      <c r="AH184" t="str">
        <f>""</f>
        <v/>
      </c>
      <c r="AI184" t="str">
        <f>"CORPORATE TREASURY [OLD] Corporate Treasury"</f>
        <v>CORPORATE TREASURY [OLD] Corporate Treasury</v>
      </c>
      <c r="AJ184" t="str">
        <f t="shared" si="73"/>
        <v>2603</v>
      </c>
    </row>
    <row r="185" spans="1:36" x14ac:dyDescent="0.25">
      <c r="A185" t="str">
        <f t="shared" si="54"/>
        <v>Department of Communications</v>
      </c>
      <c r="B185" t="str">
        <f>""</f>
        <v/>
      </c>
      <c r="C185" t="str">
        <f>"CN2611231"</f>
        <v>CN2611231</v>
      </c>
      <c r="D185" t="str">
        <f t="shared" si="70"/>
        <v>David Kenny</v>
      </c>
      <c r="E185" s="44">
        <v>41920.472916666666</v>
      </c>
      <c r="F185" t="s">
        <v>2508</v>
      </c>
      <c r="G185" t="str">
        <f t="shared" si="55"/>
        <v>published</v>
      </c>
      <c r="H185" s="45">
        <v>41911</v>
      </c>
      <c r="I185" s="45">
        <v>42062</v>
      </c>
      <c r="J185" s="46">
        <v>250000</v>
      </c>
      <c r="K185" t="s">
        <v>2101</v>
      </c>
      <c r="L185" t="str">
        <f>"0004604716"</f>
        <v>0004604716</v>
      </c>
      <c r="M185" t="str">
        <f>"Professional procurement services"</f>
        <v>Professional procurement services</v>
      </c>
      <c r="N185" t="str">
        <f t="shared" si="77"/>
        <v>Limited tender</v>
      </c>
      <c r="O185" t="str">
        <f>""</f>
        <v/>
      </c>
      <c r="Q185" t="str">
        <f t="shared" si="75"/>
        <v>No</v>
      </c>
      <c r="R185" t="str">
        <f>""</f>
        <v/>
      </c>
      <c r="S185" t="str">
        <f t="shared" si="76"/>
        <v>No</v>
      </c>
      <c r="T185" t="str">
        <f>""</f>
        <v/>
      </c>
      <c r="U185" t="str">
        <f t="shared" si="74"/>
        <v>No</v>
      </c>
      <c r="V185" t="str">
        <f>""</f>
        <v/>
      </c>
      <c r="X185" t="str">
        <f>"NATIONAL ICT AUSTRALIA LTD"</f>
        <v>NATIONAL ICT AUSTRALIA LTD</v>
      </c>
      <c r="Y185" t="str">
        <f>"Locked Bag 9013"</f>
        <v>Locked Bag 9013</v>
      </c>
      <c r="Z185" t="str">
        <f>"Alexandria"</f>
        <v>Alexandria</v>
      </c>
      <c r="AA185" t="str">
        <f>"1435"</f>
        <v>1435</v>
      </c>
      <c r="AB185" t="str">
        <f t="shared" ref="AB185:AB216" si="79">"Australia"</f>
        <v>Australia</v>
      </c>
      <c r="AC185" t="str">
        <f t="shared" si="78"/>
        <v>No</v>
      </c>
      <c r="AD185" t="str">
        <f>"62102206173"</f>
        <v>62102206173</v>
      </c>
      <c r="AE185" t="str">
        <f>"PROCUREMENT MANAGER"</f>
        <v>PROCUREMENT MANAGER</v>
      </c>
      <c r="AF185" t="str">
        <f t="shared" si="72"/>
        <v>(02) 6271 1000</v>
      </c>
      <c r="AG185" t="str">
        <f>""</f>
        <v/>
      </c>
      <c r="AH185" t="str">
        <f>""</f>
        <v/>
      </c>
      <c r="AI185" t="str">
        <f>"DIGITAL PRODUCTIVITY Digital Productivity Division"</f>
        <v>DIGITAL PRODUCTIVITY Digital Productivity Division</v>
      </c>
      <c r="AJ185" t="str">
        <f t="shared" si="73"/>
        <v>2603</v>
      </c>
    </row>
    <row r="186" spans="1:36" x14ac:dyDescent="0.25">
      <c r="A186" t="str">
        <f t="shared" si="54"/>
        <v>Department of Communications</v>
      </c>
      <c r="B186" t="str">
        <f>""</f>
        <v/>
      </c>
      <c r="C186" t="str">
        <f>"CN2611221"</f>
        <v>CN2611221</v>
      </c>
      <c r="D186" t="str">
        <f t="shared" si="70"/>
        <v>David Kenny</v>
      </c>
      <c r="E186" s="44">
        <v>41920.472916666666</v>
      </c>
      <c r="F186" t="s">
        <v>2508</v>
      </c>
      <c r="G186" t="str">
        <f t="shared" si="55"/>
        <v>published</v>
      </c>
      <c r="H186" s="45">
        <v>41912</v>
      </c>
      <c r="I186" s="45">
        <v>42090</v>
      </c>
      <c r="J186" s="46">
        <v>80000</v>
      </c>
      <c r="K186" t="s">
        <v>2103</v>
      </c>
      <c r="L186" t="str">
        <f>"0004604717"</f>
        <v>0004604717</v>
      </c>
      <c r="M186" t="str">
        <f>"Professional procurement services"</f>
        <v>Professional procurement services</v>
      </c>
      <c r="N186" t="str">
        <f t="shared" si="77"/>
        <v>Limited tender</v>
      </c>
      <c r="O186" t="str">
        <f>""</f>
        <v/>
      </c>
      <c r="Q186" t="str">
        <f t="shared" si="75"/>
        <v>No</v>
      </c>
      <c r="R186" t="str">
        <f>""</f>
        <v/>
      </c>
      <c r="S186" t="str">
        <f t="shared" si="76"/>
        <v>No</v>
      </c>
      <c r="T186" t="str">
        <f>""</f>
        <v/>
      </c>
      <c r="U186" t="str">
        <f t="shared" si="74"/>
        <v>No</v>
      </c>
      <c r="V186" t="str">
        <f>""</f>
        <v/>
      </c>
      <c r="X186" t="str">
        <f>"CSIRO"</f>
        <v>CSIRO</v>
      </c>
      <c r="Y186" t="str">
        <f>"PRIVATE BAG 89"</f>
        <v>PRIVATE BAG 89</v>
      </c>
      <c r="Z186" t="str">
        <f>"CLAYTON SOUTH"</f>
        <v>CLAYTON SOUTH</v>
      </c>
      <c r="AA186" t="str">
        <f>"3169"</f>
        <v>3169</v>
      </c>
      <c r="AB186" t="str">
        <f t="shared" si="79"/>
        <v>Australia</v>
      </c>
      <c r="AC186" t="str">
        <f t="shared" si="78"/>
        <v>No</v>
      </c>
      <c r="AD186" t="str">
        <f>"41687119230"</f>
        <v>41687119230</v>
      </c>
      <c r="AE186" t="str">
        <f>"PROCUREMENT MANAGER"</f>
        <v>PROCUREMENT MANAGER</v>
      </c>
      <c r="AF186" t="str">
        <f t="shared" si="72"/>
        <v>(02) 6271 1000</v>
      </c>
      <c r="AG186" t="str">
        <f>""</f>
        <v/>
      </c>
      <c r="AH186" t="str">
        <f>""</f>
        <v/>
      </c>
      <c r="AI186" t="str">
        <f>"DIGITAL PRODUCTIVITY Digital Productivity Division"</f>
        <v>DIGITAL PRODUCTIVITY Digital Productivity Division</v>
      </c>
      <c r="AJ186" t="str">
        <f t="shared" si="73"/>
        <v>2603</v>
      </c>
    </row>
    <row r="187" spans="1:36" x14ac:dyDescent="0.25">
      <c r="A187" t="str">
        <f t="shared" si="54"/>
        <v>Department of Communications</v>
      </c>
      <c r="B187" t="str">
        <f>""</f>
        <v/>
      </c>
      <c r="C187" t="str">
        <f>"CN2611211"</f>
        <v>CN2611211</v>
      </c>
      <c r="D187" t="str">
        <f t="shared" si="70"/>
        <v>David Kenny</v>
      </c>
      <c r="E187" s="44">
        <v>41920.472916666666</v>
      </c>
      <c r="F187" t="s">
        <v>2508</v>
      </c>
      <c r="G187" t="str">
        <f t="shared" si="55"/>
        <v>published</v>
      </c>
      <c r="H187" s="45">
        <v>41913</v>
      </c>
      <c r="I187" s="45">
        <v>42185</v>
      </c>
      <c r="J187" s="46">
        <v>56000</v>
      </c>
      <c r="K187" t="s">
        <v>306</v>
      </c>
      <c r="L187" t="str">
        <f>"0004604721"</f>
        <v>0004604721</v>
      </c>
      <c r="M187" t="str">
        <f>"Management advisory services"</f>
        <v>Management advisory services</v>
      </c>
      <c r="N187" t="str">
        <f t="shared" si="77"/>
        <v>Limited tender</v>
      </c>
      <c r="O187" t="str">
        <f>"DCON14/118"</f>
        <v>DCON14/118</v>
      </c>
      <c r="Q187" t="str">
        <f t="shared" si="75"/>
        <v>No</v>
      </c>
      <c r="R187" t="str">
        <f>""</f>
        <v/>
      </c>
      <c r="S187" t="str">
        <f t="shared" si="76"/>
        <v>No</v>
      </c>
      <c r="T187" t="str">
        <f>""</f>
        <v/>
      </c>
      <c r="U187" t="str">
        <f t="shared" si="74"/>
        <v>No</v>
      </c>
      <c r="V187" t="str">
        <f>""</f>
        <v/>
      </c>
      <c r="X187" t="str">
        <f>"Amanda O'Rourke &amp; Assoc Pty Ltd"</f>
        <v>Amanda O'Rourke &amp; Assoc Pty Ltd</v>
      </c>
      <c r="Y187" t="str">
        <f>"PO Box 4017"</f>
        <v>PO Box 4017</v>
      </c>
      <c r="Z187" t="str">
        <f>"Manuka"</f>
        <v>Manuka</v>
      </c>
      <c r="AA187" t="str">
        <f>"2603"</f>
        <v>2603</v>
      </c>
      <c r="AB187" t="str">
        <f t="shared" si="79"/>
        <v>Australia</v>
      </c>
      <c r="AC187" t="str">
        <f t="shared" si="78"/>
        <v>No</v>
      </c>
      <c r="AD187" t="str">
        <f>"32152572319"</f>
        <v>32152572319</v>
      </c>
      <c r="AE187" t="str">
        <f>"PROCUREMENT MANAGER"</f>
        <v>PROCUREMENT MANAGER</v>
      </c>
      <c r="AF187" t="str">
        <f t="shared" si="72"/>
        <v>(02) 6271 1000</v>
      </c>
      <c r="AG187" t="str">
        <f>""</f>
        <v/>
      </c>
      <c r="AH187" t="str">
        <f>""</f>
        <v/>
      </c>
      <c r="AI187" t="str">
        <f>"CONSUMER &amp; CONTENT Consumer and Content Division"</f>
        <v>CONSUMER &amp; CONTENT Consumer and Content Division</v>
      </c>
      <c r="AJ187" t="str">
        <f t="shared" si="73"/>
        <v>2603</v>
      </c>
    </row>
    <row r="188" spans="1:36" x14ac:dyDescent="0.25">
      <c r="A188" t="str">
        <f t="shared" si="54"/>
        <v>Department of Communications</v>
      </c>
      <c r="B188" t="str">
        <f>""</f>
        <v/>
      </c>
      <c r="C188" t="str">
        <f>"CN2611201"</f>
        <v>CN2611201</v>
      </c>
      <c r="D188" t="str">
        <f t="shared" si="70"/>
        <v>David Kenny</v>
      </c>
      <c r="E188" s="44">
        <v>41920.472916666666</v>
      </c>
      <c r="F188" t="s">
        <v>2508</v>
      </c>
      <c r="G188" t="str">
        <f t="shared" si="55"/>
        <v>published</v>
      </c>
      <c r="H188" s="45">
        <v>41907</v>
      </c>
      <c r="I188" s="45">
        <v>42035</v>
      </c>
      <c r="J188" s="46">
        <v>38500</v>
      </c>
      <c r="K188" t="s">
        <v>1662</v>
      </c>
      <c r="L188" t="str">
        <f>"0004604722"</f>
        <v>0004604722</v>
      </c>
      <c r="M188" t="str">
        <f>"Personnel recruitment"</f>
        <v>Personnel recruitment</v>
      </c>
      <c r="N188" t="str">
        <f t="shared" si="77"/>
        <v>Limited tender</v>
      </c>
      <c r="O188" t="str">
        <f>""</f>
        <v/>
      </c>
      <c r="Q188" t="str">
        <f t="shared" si="75"/>
        <v>No</v>
      </c>
      <c r="R188" t="str">
        <f>""</f>
        <v/>
      </c>
      <c r="S188" t="str">
        <f t="shared" si="76"/>
        <v>No</v>
      </c>
      <c r="T188" t="str">
        <f>""</f>
        <v/>
      </c>
      <c r="U188" t="str">
        <f t="shared" si="74"/>
        <v>No</v>
      </c>
      <c r="V188" t="str">
        <f>""</f>
        <v/>
      </c>
      <c r="X188" t="str">
        <f>"Doyle Executive, Accounting"</f>
        <v>Doyle Executive, Accounting</v>
      </c>
      <c r="Y188" t="str">
        <f>"616/25 Edinburgh Avenue"</f>
        <v>616/25 Edinburgh Avenue</v>
      </c>
      <c r="Z188" t="str">
        <f>"Canberra"</f>
        <v>Canberra</v>
      </c>
      <c r="AA188" t="str">
        <f>"2601"</f>
        <v>2601</v>
      </c>
      <c r="AB188" t="str">
        <f t="shared" si="79"/>
        <v>Australia</v>
      </c>
      <c r="AC188" t="str">
        <f t="shared" si="78"/>
        <v>No</v>
      </c>
      <c r="AD188" t="str">
        <f>"81163707604"</f>
        <v>81163707604</v>
      </c>
      <c r="AE188" t="str">
        <f t="shared" ref="AE188:AE196" si="80">"ADMIN OFFICER"</f>
        <v>ADMIN OFFICER</v>
      </c>
      <c r="AF188" t="str">
        <f t="shared" si="72"/>
        <v>(02) 6271 1000</v>
      </c>
      <c r="AG188" t="str">
        <f>""</f>
        <v/>
      </c>
      <c r="AH188" t="str">
        <f>""</f>
        <v/>
      </c>
      <c r="AI188" t="str">
        <f t="shared" ref="AI188:AI196" si="81">"CORPORATE TREASURY [OLD] Corporate Treasury"</f>
        <v>CORPORATE TREASURY [OLD] Corporate Treasury</v>
      </c>
      <c r="AJ188" t="str">
        <f t="shared" si="73"/>
        <v>2603</v>
      </c>
    </row>
    <row r="189" spans="1:36" x14ac:dyDescent="0.25">
      <c r="A189" t="str">
        <f t="shared" si="54"/>
        <v>Department of Communications</v>
      </c>
      <c r="B189" t="str">
        <f>""</f>
        <v/>
      </c>
      <c r="C189" t="str">
        <f>"CN2611181"</f>
        <v>CN2611181</v>
      </c>
      <c r="D189" t="str">
        <f t="shared" si="70"/>
        <v>David Kenny</v>
      </c>
      <c r="E189" s="44">
        <v>41920.472916666666</v>
      </c>
      <c r="F189" t="s">
        <v>2508</v>
      </c>
      <c r="G189" t="str">
        <f t="shared" si="55"/>
        <v>published</v>
      </c>
      <c r="H189" s="45">
        <v>41919</v>
      </c>
      <c r="I189" s="45">
        <v>43010</v>
      </c>
      <c r="J189" s="46">
        <v>143503.79999999999</v>
      </c>
      <c r="K189" t="s">
        <v>1667</v>
      </c>
      <c r="L189" t="str">
        <f>"0004604727"</f>
        <v>0004604727</v>
      </c>
      <c r="M189" t="str">
        <f>"Telecommunications media services"</f>
        <v>Telecommunications media services</v>
      </c>
      <c r="N189" t="str">
        <f t="shared" si="77"/>
        <v>Limited tender</v>
      </c>
      <c r="O189" t="str">
        <f>""</f>
        <v/>
      </c>
      <c r="Q189" t="str">
        <f t="shared" si="75"/>
        <v>No</v>
      </c>
      <c r="R189" t="str">
        <f>""</f>
        <v/>
      </c>
      <c r="S189" t="str">
        <f t="shared" si="76"/>
        <v>No</v>
      </c>
      <c r="T189" t="str">
        <f>""</f>
        <v/>
      </c>
      <c r="U189" t="str">
        <f t="shared" si="74"/>
        <v>No</v>
      </c>
      <c r="V189" t="str">
        <f>""</f>
        <v/>
      </c>
      <c r="X189" t="str">
        <f>"Telstra Corporation Ltd"</f>
        <v>Telstra Corporation Ltd</v>
      </c>
      <c r="Y189" t="str">
        <f>"Level 11, 400 George Street"</f>
        <v>Level 11, 400 George Street</v>
      </c>
      <c r="Z189" t="str">
        <f>"Sydney"</f>
        <v>Sydney</v>
      </c>
      <c r="AA189" t="str">
        <f>"2000"</f>
        <v>2000</v>
      </c>
      <c r="AB189" t="str">
        <f t="shared" si="79"/>
        <v>Australia</v>
      </c>
      <c r="AC189" t="str">
        <f t="shared" si="78"/>
        <v>No</v>
      </c>
      <c r="AD189" t="str">
        <f>"33051775556"</f>
        <v>33051775556</v>
      </c>
      <c r="AE189" t="str">
        <f t="shared" si="80"/>
        <v>ADMIN OFFICER</v>
      </c>
      <c r="AF189" t="str">
        <f t="shared" si="72"/>
        <v>(02) 6271 1000</v>
      </c>
      <c r="AG189" t="str">
        <f>""</f>
        <v/>
      </c>
      <c r="AH189" t="str">
        <f>""</f>
        <v/>
      </c>
      <c r="AI189" t="str">
        <f t="shared" si="81"/>
        <v>CORPORATE TREASURY [OLD] Corporate Treasury</v>
      </c>
      <c r="AJ189" t="str">
        <f t="shared" si="73"/>
        <v>2603</v>
      </c>
    </row>
    <row r="190" spans="1:36" x14ac:dyDescent="0.25">
      <c r="A190" t="str">
        <f t="shared" si="54"/>
        <v>Department of Communications</v>
      </c>
      <c r="B190" t="str">
        <f>""</f>
        <v/>
      </c>
      <c r="C190" t="str">
        <f>"CN2626941"</f>
        <v>CN2626941</v>
      </c>
      <c r="D190" t="str">
        <f t="shared" si="70"/>
        <v>David Kenny</v>
      </c>
      <c r="E190" s="44">
        <v>41929.376388888886</v>
      </c>
      <c r="F190" t="s">
        <v>2508</v>
      </c>
      <c r="G190" t="str">
        <f t="shared" si="55"/>
        <v>published</v>
      </c>
      <c r="H190" s="45">
        <v>41922</v>
      </c>
      <c r="I190" s="45">
        <v>42185</v>
      </c>
      <c r="J190" s="46">
        <v>12900</v>
      </c>
      <c r="K190" t="s">
        <v>1673</v>
      </c>
      <c r="L190" t="str">
        <f>"0004604730"</f>
        <v>0004604730</v>
      </c>
      <c r="M190" t="str">
        <f>"Network security equipment"</f>
        <v>Network security equipment</v>
      </c>
      <c r="N190" t="str">
        <f t="shared" si="77"/>
        <v>Limited tender</v>
      </c>
      <c r="O190" t="str">
        <f>""</f>
        <v/>
      </c>
      <c r="Q190" t="str">
        <f t="shared" si="75"/>
        <v>No</v>
      </c>
      <c r="R190" t="str">
        <f>""</f>
        <v/>
      </c>
      <c r="S190" t="str">
        <f t="shared" si="76"/>
        <v>No</v>
      </c>
      <c r="T190" t="str">
        <f>""</f>
        <v/>
      </c>
      <c r="U190" t="str">
        <f t="shared" si="74"/>
        <v>No</v>
      </c>
      <c r="V190" t="str">
        <f>""</f>
        <v/>
      </c>
      <c r="X190" t="str">
        <f>"ATTORNEY GENERAL'S DEPARTMENT"</f>
        <v>ATTORNEY GENERAL'S DEPARTMENT</v>
      </c>
      <c r="Y190" t="str">
        <f>"ROBERT GARRAN OFFICES, NATIONAL CCT"</f>
        <v>ROBERT GARRAN OFFICES, NATIONAL CCT</v>
      </c>
      <c r="Z190" t="str">
        <f>"BARTON"</f>
        <v>BARTON</v>
      </c>
      <c r="AA190" t="str">
        <f>"2600"</f>
        <v>2600</v>
      </c>
      <c r="AB190" t="str">
        <f t="shared" si="79"/>
        <v>Australia</v>
      </c>
      <c r="AC190" t="str">
        <f t="shared" si="78"/>
        <v>No</v>
      </c>
      <c r="AD190" t="str">
        <f>"92661124436"</f>
        <v>92661124436</v>
      </c>
      <c r="AE190" t="str">
        <f t="shared" si="80"/>
        <v>ADMIN OFFICER</v>
      </c>
      <c r="AF190" t="str">
        <f t="shared" si="72"/>
        <v>(02) 6271 1000</v>
      </c>
      <c r="AG190" t="str">
        <f>""</f>
        <v/>
      </c>
      <c r="AH190" t="str">
        <f>""</f>
        <v/>
      </c>
      <c r="AI190" t="str">
        <f t="shared" si="81"/>
        <v>CORPORATE TREASURY [OLD] Corporate Treasury</v>
      </c>
      <c r="AJ190" t="str">
        <f t="shared" si="73"/>
        <v>2603</v>
      </c>
    </row>
    <row r="191" spans="1:36" x14ac:dyDescent="0.25">
      <c r="A191" t="str">
        <f t="shared" si="54"/>
        <v>Department of Communications</v>
      </c>
      <c r="B191" t="str">
        <f>""</f>
        <v/>
      </c>
      <c r="C191" t="str">
        <f>"CN2626931"</f>
        <v>CN2626931</v>
      </c>
      <c r="D191" t="str">
        <f t="shared" si="70"/>
        <v>David Kenny</v>
      </c>
      <c r="E191" s="44">
        <v>41929.376388888886</v>
      </c>
      <c r="F191" t="s">
        <v>2508</v>
      </c>
      <c r="G191" t="str">
        <f t="shared" si="55"/>
        <v>published</v>
      </c>
      <c r="H191" s="45">
        <v>41821</v>
      </c>
      <c r="I191" s="45">
        <v>42185</v>
      </c>
      <c r="J191" s="46">
        <v>42570</v>
      </c>
      <c r="K191" t="s">
        <v>1676</v>
      </c>
      <c r="L191" t="str">
        <f>"0004604731"</f>
        <v>0004604731</v>
      </c>
      <c r="M191" t="str">
        <f>"Software maintenance and support"</f>
        <v>Software maintenance and support</v>
      </c>
      <c r="N191" t="str">
        <f t="shared" si="77"/>
        <v>Limited tender</v>
      </c>
      <c r="O191" t="str">
        <f>""</f>
        <v/>
      </c>
      <c r="Q191" t="str">
        <f t="shared" si="75"/>
        <v>No</v>
      </c>
      <c r="R191" t="str">
        <f>""</f>
        <v/>
      </c>
      <c r="S191" t="str">
        <f t="shared" si="76"/>
        <v>No</v>
      </c>
      <c r="T191" t="str">
        <f>""</f>
        <v/>
      </c>
      <c r="U191" t="str">
        <f t="shared" si="74"/>
        <v>No</v>
      </c>
      <c r="V191" t="str">
        <f>""</f>
        <v/>
      </c>
      <c r="X191" t="str">
        <f>"Excelerated Consulting Pty Ltd"</f>
        <v>Excelerated Consulting Pty Ltd</v>
      </c>
      <c r="Y191" t="str">
        <f>"PO Box 4188"</f>
        <v>PO Box 4188</v>
      </c>
      <c r="Z191" t="str">
        <f>"Manuka"</f>
        <v>Manuka</v>
      </c>
      <c r="AA191" t="str">
        <f>"2603"</f>
        <v>2603</v>
      </c>
      <c r="AB191" t="str">
        <f t="shared" si="79"/>
        <v>Australia</v>
      </c>
      <c r="AC191" t="str">
        <f t="shared" si="78"/>
        <v>No</v>
      </c>
      <c r="AD191" t="str">
        <f>"30082667776"</f>
        <v>30082667776</v>
      </c>
      <c r="AE191" t="str">
        <f t="shared" si="80"/>
        <v>ADMIN OFFICER</v>
      </c>
      <c r="AF191" t="str">
        <f t="shared" si="72"/>
        <v>(02) 6271 1000</v>
      </c>
      <c r="AG191" t="str">
        <f>""</f>
        <v/>
      </c>
      <c r="AH191" t="str">
        <f>""</f>
        <v/>
      </c>
      <c r="AI191" t="str">
        <f t="shared" si="81"/>
        <v>CORPORATE TREASURY [OLD] Corporate Treasury</v>
      </c>
      <c r="AJ191" t="str">
        <f t="shared" si="73"/>
        <v>2603</v>
      </c>
    </row>
    <row r="192" spans="1:36" x14ac:dyDescent="0.25">
      <c r="A192" t="str">
        <f t="shared" si="54"/>
        <v>Department of Communications</v>
      </c>
      <c r="B192" t="str">
        <f>""</f>
        <v/>
      </c>
      <c r="C192" t="str">
        <f>"CN2700391"</f>
        <v>CN2700391</v>
      </c>
      <c r="D192" t="str">
        <f t="shared" si="70"/>
        <v>David Kenny</v>
      </c>
      <c r="E192" s="44">
        <v>41967.613194444442</v>
      </c>
      <c r="F192" t="s">
        <v>2508</v>
      </c>
      <c r="G192" t="str">
        <f t="shared" si="55"/>
        <v>published</v>
      </c>
      <c r="H192" s="45">
        <v>41891</v>
      </c>
      <c r="I192" s="45">
        <v>41943</v>
      </c>
      <c r="J192" s="46">
        <v>427949.5</v>
      </c>
      <c r="K192" t="s">
        <v>1680</v>
      </c>
      <c r="L192" t="str">
        <f>"0004604735"</f>
        <v>0004604735</v>
      </c>
      <c r="M192" t="str">
        <f>"Notebook computers"</f>
        <v>Notebook computers</v>
      </c>
      <c r="N192" t="str">
        <f>"Open tender"</f>
        <v>Open tender</v>
      </c>
      <c r="O192" t="str">
        <f>"FIN10/AGI001"</f>
        <v>FIN10/AGI001</v>
      </c>
      <c r="P192" t="str">
        <f>"SON335550"</f>
        <v>SON335550</v>
      </c>
      <c r="Q192" t="str">
        <f t="shared" si="75"/>
        <v>No</v>
      </c>
      <c r="R192" t="str">
        <f>""</f>
        <v/>
      </c>
      <c r="S192" t="str">
        <f t="shared" si="76"/>
        <v>No</v>
      </c>
      <c r="T192" t="str">
        <f>""</f>
        <v/>
      </c>
      <c r="U192" t="str">
        <f t="shared" si="74"/>
        <v>No</v>
      </c>
      <c r="V192" t="str">
        <f>""</f>
        <v/>
      </c>
      <c r="X192" t="str">
        <f>"ETHANGROUP"</f>
        <v>ETHANGROUP</v>
      </c>
      <c r="Y192" t="str">
        <f>"Level 5, 13-15 Lyon Park Road"</f>
        <v>Level 5, 13-15 Lyon Park Road</v>
      </c>
      <c r="Z192" t="str">
        <f>"North Ryde"</f>
        <v>North Ryde</v>
      </c>
      <c r="AA192" t="str">
        <f>"2113"</f>
        <v>2113</v>
      </c>
      <c r="AB192" t="str">
        <f t="shared" si="79"/>
        <v>Australia</v>
      </c>
      <c r="AC192" t="str">
        <f t="shared" si="78"/>
        <v>No</v>
      </c>
      <c r="AD192" t="str">
        <f>"93099503456"</f>
        <v>93099503456</v>
      </c>
      <c r="AE192" t="str">
        <f t="shared" si="80"/>
        <v>ADMIN OFFICER</v>
      </c>
      <c r="AF192" t="str">
        <f t="shared" si="72"/>
        <v>(02) 6271 1000</v>
      </c>
      <c r="AG192" t="str">
        <f>""</f>
        <v/>
      </c>
      <c r="AH192" t="str">
        <f>""</f>
        <v/>
      </c>
      <c r="AI192" t="str">
        <f t="shared" si="81"/>
        <v>CORPORATE TREASURY [OLD] Corporate Treasury</v>
      </c>
      <c r="AJ192" t="str">
        <f t="shared" si="73"/>
        <v>2603</v>
      </c>
    </row>
    <row r="193" spans="1:36" x14ac:dyDescent="0.25">
      <c r="A193" t="str">
        <f t="shared" si="54"/>
        <v>Department of Communications</v>
      </c>
      <c r="B193" t="str">
        <f>""</f>
        <v/>
      </c>
      <c r="C193" t="str">
        <f>"CN2626921"</f>
        <v>CN2626921</v>
      </c>
      <c r="D193" t="str">
        <f t="shared" si="70"/>
        <v>David Kenny</v>
      </c>
      <c r="E193" s="44">
        <v>41929.375694444447</v>
      </c>
      <c r="F193" t="s">
        <v>2508</v>
      </c>
      <c r="G193" t="str">
        <f t="shared" si="55"/>
        <v>published</v>
      </c>
      <c r="H193" s="45">
        <v>41891</v>
      </c>
      <c r="I193" s="45">
        <v>41943</v>
      </c>
      <c r="J193" s="46">
        <v>33110</v>
      </c>
      <c r="K193" t="s">
        <v>1684</v>
      </c>
      <c r="L193" t="str">
        <f>"0004604737"</f>
        <v>0004604737</v>
      </c>
      <c r="M193" t="str">
        <f>"Office and desk accessories"</f>
        <v>Office and desk accessories</v>
      </c>
      <c r="N193" t="str">
        <f>"Limited tender"</f>
        <v>Limited tender</v>
      </c>
      <c r="O193" t="str">
        <f>""</f>
        <v/>
      </c>
      <c r="Q193" t="str">
        <f t="shared" si="75"/>
        <v>No</v>
      </c>
      <c r="R193" t="str">
        <f>""</f>
        <v/>
      </c>
      <c r="S193" t="str">
        <f t="shared" si="76"/>
        <v>No</v>
      </c>
      <c r="T193" t="str">
        <f>""</f>
        <v/>
      </c>
      <c r="U193" t="str">
        <f t="shared" si="74"/>
        <v>No</v>
      </c>
      <c r="V193" t="str">
        <f>""</f>
        <v/>
      </c>
      <c r="X193" t="str">
        <f>"Schiavello (ACT) Pty Ltd"</f>
        <v>Schiavello (ACT) Pty Ltd</v>
      </c>
      <c r="Y193" t="str">
        <f>"PO Box 427"</f>
        <v>PO Box 427</v>
      </c>
      <c r="Z193" t="str">
        <f>"FYSHWICK"</f>
        <v>FYSHWICK</v>
      </c>
      <c r="AA193" t="str">
        <f>"2609"</f>
        <v>2609</v>
      </c>
      <c r="AB193" t="str">
        <f t="shared" si="79"/>
        <v>Australia</v>
      </c>
      <c r="AC193" t="str">
        <f t="shared" si="78"/>
        <v>No</v>
      </c>
      <c r="AD193" t="str">
        <f>"83008635532"</f>
        <v>83008635532</v>
      </c>
      <c r="AE193" t="str">
        <f t="shared" si="80"/>
        <v>ADMIN OFFICER</v>
      </c>
      <c r="AF193" t="str">
        <f t="shared" si="72"/>
        <v>(02) 6271 1000</v>
      </c>
      <c r="AG193" t="str">
        <f>""</f>
        <v/>
      </c>
      <c r="AH193" t="str">
        <f>""</f>
        <v/>
      </c>
      <c r="AI193" t="str">
        <f t="shared" si="81"/>
        <v>CORPORATE TREASURY [OLD] Corporate Treasury</v>
      </c>
      <c r="AJ193" t="str">
        <f t="shared" si="73"/>
        <v>2603</v>
      </c>
    </row>
    <row r="194" spans="1:36" x14ac:dyDescent="0.25">
      <c r="A194" t="str">
        <f t="shared" si="54"/>
        <v>Department of Communications</v>
      </c>
      <c r="B194" t="str">
        <f>""</f>
        <v/>
      </c>
      <c r="C194" t="str">
        <f>"CN2626901"</f>
        <v>CN2626901</v>
      </c>
      <c r="D194" t="str">
        <f t="shared" si="70"/>
        <v>David Kenny</v>
      </c>
      <c r="E194" s="44">
        <v>41929.375694444447</v>
      </c>
      <c r="F194" t="s">
        <v>2508</v>
      </c>
      <c r="G194" t="str">
        <f t="shared" si="55"/>
        <v>published</v>
      </c>
      <c r="H194" s="45">
        <v>41932</v>
      </c>
      <c r="I194" s="45">
        <v>42185</v>
      </c>
      <c r="J194" s="46">
        <v>63800</v>
      </c>
      <c r="K194" t="s">
        <v>1687</v>
      </c>
      <c r="L194" t="str">
        <f>"0004604738"</f>
        <v>0004604738</v>
      </c>
      <c r="M194" t="str">
        <f>"Personnel recruitment"</f>
        <v>Personnel recruitment</v>
      </c>
      <c r="N194" t="str">
        <f>"Limited tender"</f>
        <v>Limited tender</v>
      </c>
      <c r="O194" t="str">
        <f>""</f>
        <v/>
      </c>
      <c r="Q194" t="str">
        <f t="shared" si="75"/>
        <v>No</v>
      </c>
      <c r="R194" t="str">
        <f>""</f>
        <v/>
      </c>
      <c r="S194" t="str">
        <f t="shared" si="76"/>
        <v>No</v>
      </c>
      <c r="T194" t="str">
        <f>""</f>
        <v/>
      </c>
      <c r="U194" t="str">
        <f t="shared" si="74"/>
        <v>No</v>
      </c>
      <c r="V194" t="str">
        <f>""</f>
        <v/>
      </c>
      <c r="X194" t="str">
        <f>"Associative Producers"</f>
        <v>Associative Producers</v>
      </c>
      <c r="Y194" t="str">
        <f>"20 Blair Street"</f>
        <v>20 Blair Street</v>
      </c>
      <c r="Z194" t="str">
        <f>"Watson"</f>
        <v>Watson</v>
      </c>
      <c r="AA194" t="str">
        <f>"2602"</f>
        <v>2602</v>
      </c>
      <c r="AB194" t="str">
        <f t="shared" si="79"/>
        <v>Australia</v>
      </c>
      <c r="AC194" t="str">
        <f t="shared" si="78"/>
        <v>No</v>
      </c>
      <c r="AD194" t="str">
        <f>"71445366035"</f>
        <v>71445366035</v>
      </c>
      <c r="AE194" t="str">
        <f t="shared" si="80"/>
        <v>ADMIN OFFICER</v>
      </c>
      <c r="AF194" t="str">
        <f t="shared" si="72"/>
        <v>(02) 6271 1000</v>
      </c>
      <c r="AG194" t="str">
        <f>""</f>
        <v/>
      </c>
      <c r="AH194" t="str">
        <f>""</f>
        <v/>
      </c>
      <c r="AI194" t="str">
        <f t="shared" si="81"/>
        <v>CORPORATE TREASURY [OLD] Corporate Treasury</v>
      </c>
      <c r="AJ194" t="str">
        <f t="shared" si="73"/>
        <v>2603</v>
      </c>
    </row>
    <row r="195" spans="1:36" x14ac:dyDescent="0.25">
      <c r="A195" t="str">
        <f t="shared" si="54"/>
        <v>Department of Communications</v>
      </c>
      <c r="B195" t="str">
        <f>""</f>
        <v/>
      </c>
      <c r="C195" t="str">
        <f>"CN2626891"</f>
        <v>CN2626891</v>
      </c>
      <c r="D195" t="str">
        <f t="shared" si="70"/>
        <v>David Kenny</v>
      </c>
      <c r="E195" s="44">
        <v>41929.375694444447</v>
      </c>
      <c r="F195" t="s">
        <v>2508</v>
      </c>
      <c r="G195" t="str">
        <f t="shared" si="55"/>
        <v>published</v>
      </c>
      <c r="H195" s="45">
        <v>41929</v>
      </c>
      <c r="I195" s="45">
        <v>42185</v>
      </c>
      <c r="J195" s="46">
        <v>20000</v>
      </c>
      <c r="K195" t="s">
        <v>1690</v>
      </c>
      <c r="L195" t="str">
        <f>"0004604739"</f>
        <v>0004604739</v>
      </c>
      <c r="M195" t="str">
        <f>"Desktop computers"</f>
        <v>Desktop computers</v>
      </c>
      <c r="N195" t="str">
        <f>"Open tender"</f>
        <v>Open tender</v>
      </c>
      <c r="O195" t="str">
        <f>"FIN10/AGI001"</f>
        <v>FIN10/AGI001</v>
      </c>
      <c r="P195" t="str">
        <f>"SON335550"</f>
        <v>SON335550</v>
      </c>
      <c r="Q195" t="str">
        <f t="shared" si="75"/>
        <v>No</v>
      </c>
      <c r="R195" t="str">
        <f>""</f>
        <v/>
      </c>
      <c r="S195" t="str">
        <f t="shared" si="76"/>
        <v>No</v>
      </c>
      <c r="T195" t="str">
        <f>""</f>
        <v/>
      </c>
      <c r="U195" t="str">
        <f t="shared" si="74"/>
        <v>No</v>
      </c>
      <c r="V195" t="str">
        <f>""</f>
        <v/>
      </c>
      <c r="X195" t="str">
        <f>"ACER COMPUTER AUSTRALIA PTY LTD"</f>
        <v>ACER COMPUTER AUSTRALIA PTY LTD</v>
      </c>
      <c r="Y195" t="str">
        <f>"5 8 Baywater Drive"</f>
        <v>5 8 Baywater Drive</v>
      </c>
      <c r="Z195" t="str">
        <f>"Wentworth Point"</f>
        <v>Wentworth Point</v>
      </c>
      <c r="AA195" t="str">
        <f>"2127"</f>
        <v>2127</v>
      </c>
      <c r="AB195" t="str">
        <f t="shared" si="79"/>
        <v>Australia</v>
      </c>
      <c r="AC195" t="str">
        <f t="shared" si="78"/>
        <v>No</v>
      </c>
      <c r="AD195" t="str">
        <f>"78003872768"</f>
        <v>78003872768</v>
      </c>
      <c r="AE195" t="str">
        <f t="shared" si="80"/>
        <v>ADMIN OFFICER</v>
      </c>
      <c r="AF195" t="str">
        <f t="shared" si="72"/>
        <v>(02) 6271 1000</v>
      </c>
      <c r="AG195" t="str">
        <f>""</f>
        <v/>
      </c>
      <c r="AH195" t="str">
        <f>""</f>
        <v/>
      </c>
      <c r="AI195" t="str">
        <f t="shared" si="81"/>
        <v>CORPORATE TREASURY [OLD] Corporate Treasury</v>
      </c>
      <c r="AJ195" t="str">
        <f t="shared" si="73"/>
        <v>2603</v>
      </c>
    </row>
    <row r="196" spans="1:36" x14ac:dyDescent="0.25">
      <c r="A196" t="str">
        <f t="shared" ref="A196:A259" si="82">"Department of Communications"</f>
        <v>Department of Communications</v>
      </c>
      <c r="B196" t="str">
        <f>""</f>
        <v/>
      </c>
      <c r="C196" t="str">
        <f>"CN2645691"</f>
        <v>CN2645691</v>
      </c>
      <c r="D196" t="str">
        <f t="shared" si="70"/>
        <v>David Kenny</v>
      </c>
      <c r="E196" s="44">
        <v>41940.561111111114</v>
      </c>
      <c r="F196" t="s">
        <v>2508</v>
      </c>
      <c r="G196" t="str">
        <f t="shared" ref="G196:G259" si="83">"published"</f>
        <v>published</v>
      </c>
      <c r="H196" s="45">
        <v>41929</v>
      </c>
      <c r="I196" s="45">
        <v>43024</v>
      </c>
      <c r="J196" s="46">
        <v>693000</v>
      </c>
      <c r="K196" t="s">
        <v>1165</v>
      </c>
      <c r="L196" t="str">
        <f>"0004604741"</f>
        <v>0004604741</v>
      </c>
      <c r="M196" t="str">
        <f>"Communications Devices and Accessories"</f>
        <v>Communications Devices and Accessories</v>
      </c>
      <c r="N196" t="str">
        <f>"Open tender"</f>
        <v>Open tender</v>
      </c>
      <c r="O196" t="str">
        <f>"DCON/14/1"</f>
        <v>DCON/14/1</v>
      </c>
      <c r="Q196" t="str">
        <f t="shared" si="75"/>
        <v>No</v>
      </c>
      <c r="R196" t="str">
        <f>""</f>
        <v/>
      </c>
      <c r="S196" t="str">
        <f t="shared" si="76"/>
        <v>No</v>
      </c>
      <c r="T196" t="str">
        <f>""</f>
        <v/>
      </c>
      <c r="U196" t="str">
        <f t="shared" si="74"/>
        <v>No</v>
      </c>
      <c r="V196" t="str">
        <f>""</f>
        <v/>
      </c>
      <c r="X196" t="str">
        <f>"MACQUARIE TELECOM"</f>
        <v>MACQUARIE TELECOM</v>
      </c>
      <c r="Y196" t="str">
        <f>"2 Market St"</f>
        <v>2 Market St</v>
      </c>
      <c r="Z196" t="str">
        <f>"SYDNEY"</f>
        <v>SYDNEY</v>
      </c>
      <c r="AA196" t="str">
        <f>"2000"</f>
        <v>2000</v>
      </c>
      <c r="AB196" t="str">
        <f t="shared" si="79"/>
        <v>Australia</v>
      </c>
      <c r="AC196" t="str">
        <f t="shared" si="78"/>
        <v>No</v>
      </c>
      <c r="AD196" t="str">
        <f>"21082930916"</f>
        <v>21082930916</v>
      </c>
      <c r="AE196" t="str">
        <f t="shared" si="80"/>
        <v>ADMIN OFFICER</v>
      </c>
      <c r="AF196" t="str">
        <f t="shared" si="72"/>
        <v>(02) 6271 1000</v>
      </c>
      <c r="AG196" t="str">
        <f>""</f>
        <v/>
      </c>
      <c r="AH196" t="str">
        <f>""</f>
        <v/>
      </c>
      <c r="AI196" t="str">
        <f t="shared" si="81"/>
        <v>CORPORATE TREASURY [OLD] Corporate Treasury</v>
      </c>
      <c r="AJ196" t="str">
        <f t="shared" si="73"/>
        <v>2603</v>
      </c>
    </row>
    <row r="197" spans="1:36" x14ac:dyDescent="0.25">
      <c r="A197" t="str">
        <f t="shared" si="82"/>
        <v>Department of Communications</v>
      </c>
      <c r="B197" t="str">
        <f>""</f>
        <v/>
      </c>
      <c r="C197" t="str">
        <f>"CN2645681"</f>
        <v>CN2645681</v>
      </c>
      <c r="D197" t="str">
        <f t="shared" si="70"/>
        <v>David Kenny</v>
      </c>
      <c r="E197" s="44">
        <v>41940.561111111114</v>
      </c>
      <c r="F197" t="s">
        <v>2508</v>
      </c>
      <c r="G197" t="str">
        <f t="shared" si="83"/>
        <v>published</v>
      </c>
      <c r="H197" s="45">
        <v>41928</v>
      </c>
      <c r="I197" s="45">
        <v>41943</v>
      </c>
      <c r="J197" s="46">
        <v>24649.8</v>
      </c>
      <c r="K197" t="s">
        <v>394</v>
      </c>
      <c r="L197" t="str">
        <f>"0004604743"</f>
        <v>0004604743</v>
      </c>
      <c r="M197" t="str">
        <f>"Education and Training Services"</f>
        <v>Education and Training Services</v>
      </c>
      <c r="N197" t="str">
        <f>"Limited tender"</f>
        <v>Limited tender</v>
      </c>
      <c r="O197" t="str">
        <f>""</f>
        <v/>
      </c>
      <c r="Q197" t="str">
        <f t="shared" si="75"/>
        <v>No</v>
      </c>
      <c r="R197" t="str">
        <f>""</f>
        <v/>
      </c>
      <c r="S197" t="str">
        <f t="shared" si="76"/>
        <v>No</v>
      </c>
      <c r="T197" t="str">
        <f>""</f>
        <v/>
      </c>
      <c r="U197" t="str">
        <f t="shared" si="74"/>
        <v>No</v>
      </c>
      <c r="V197" t="str">
        <f>""</f>
        <v/>
      </c>
      <c r="X197" t="str">
        <f>"AUSTRALIAN UNIVERSITY"</f>
        <v>AUSTRALIAN UNIVERSITY</v>
      </c>
      <c r="Y197" t="str">
        <f>"GPO BOX 4"</f>
        <v>GPO BOX 4</v>
      </c>
      <c r="Z197" t="str">
        <f>"CANBERRA"</f>
        <v>CANBERRA</v>
      </c>
      <c r="AA197" t="str">
        <f>"2601"</f>
        <v>2601</v>
      </c>
      <c r="AB197" t="str">
        <f t="shared" si="79"/>
        <v>Australia</v>
      </c>
      <c r="AC197" t="str">
        <f t="shared" si="78"/>
        <v>No</v>
      </c>
      <c r="AD197" t="str">
        <f>"52234063906"</f>
        <v>52234063906</v>
      </c>
      <c r="AE197" t="str">
        <f>"PROCUREMENT MANAGER"</f>
        <v>PROCUREMENT MANAGER</v>
      </c>
      <c r="AF197" t="str">
        <f t="shared" si="72"/>
        <v>(02) 6271 1000</v>
      </c>
      <c r="AG197" t="str">
        <f>""</f>
        <v/>
      </c>
      <c r="AH197" t="str">
        <f>""</f>
        <v/>
      </c>
      <c r="AI197" t="str">
        <f>"COMMUNICATIONS RESEARCH Bureau of Communications Research"</f>
        <v>COMMUNICATIONS RESEARCH Bureau of Communications Research</v>
      </c>
      <c r="AJ197" t="str">
        <f t="shared" si="73"/>
        <v>2603</v>
      </c>
    </row>
    <row r="198" spans="1:36" x14ac:dyDescent="0.25">
      <c r="A198" t="str">
        <f t="shared" si="82"/>
        <v>Department of Communications</v>
      </c>
      <c r="B198" t="str">
        <f>""</f>
        <v/>
      </c>
      <c r="C198" t="str">
        <f>"CN2645671"</f>
        <v>CN2645671</v>
      </c>
      <c r="D198" t="str">
        <f t="shared" si="70"/>
        <v>David Kenny</v>
      </c>
      <c r="E198" s="44">
        <v>41940.561111111114</v>
      </c>
      <c r="F198" t="s">
        <v>2508</v>
      </c>
      <c r="G198" t="str">
        <f t="shared" si="83"/>
        <v>published</v>
      </c>
      <c r="H198" s="45">
        <v>41935</v>
      </c>
      <c r="I198" s="45">
        <v>41943</v>
      </c>
      <c r="J198" s="46">
        <v>17820</v>
      </c>
      <c r="K198" t="s">
        <v>1698</v>
      </c>
      <c r="L198" t="str">
        <f>"0004604748"</f>
        <v>0004604748</v>
      </c>
      <c r="M198" t="str">
        <f>"Software"</f>
        <v>Software</v>
      </c>
      <c r="N198" t="str">
        <f>"Open tender"</f>
        <v>Open tender</v>
      </c>
      <c r="O198" t="str">
        <f>"DCON/10/96"</f>
        <v>DCON/10/96</v>
      </c>
      <c r="P198" t="str">
        <f>"SON368749"</f>
        <v>SON368749</v>
      </c>
      <c r="Q198" t="str">
        <f t="shared" si="75"/>
        <v>No</v>
      </c>
      <c r="R198" t="str">
        <f>""</f>
        <v/>
      </c>
      <c r="S198" t="str">
        <f t="shared" si="76"/>
        <v>No</v>
      </c>
      <c r="T198" t="str">
        <f>""</f>
        <v/>
      </c>
      <c r="U198" t="str">
        <f t="shared" si="74"/>
        <v>No</v>
      </c>
      <c r="V198" t="str">
        <f>""</f>
        <v/>
      </c>
      <c r="X198" t="str">
        <f>"The Trustee for Silverstripe Unit T"</f>
        <v>The Trustee for Silverstripe Unit T</v>
      </c>
      <c r="Y198" t="str">
        <f>"Level 1, 1 Cecil Place"</f>
        <v>Level 1, 1 Cecil Place</v>
      </c>
      <c r="Z198" t="str">
        <f>"Prahran"</f>
        <v>Prahran</v>
      </c>
      <c r="AA198" t="str">
        <f>"3181"</f>
        <v>3181</v>
      </c>
      <c r="AB198" t="str">
        <f t="shared" si="79"/>
        <v>Australia</v>
      </c>
      <c r="AC198" t="str">
        <f t="shared" si="78"/>
        <v>No</v>
      </c>
      <c r="AD198" t="str">
        <f>"55800709480"</f>
        <v>55800709480</v>
      </c>
      <c r="AE198" t="str">
        <f>"ADMIN OFFICER"</f>
        <v>ADMIN OFFICER</v>
      </c>
      <c r="AF198" t="str">
        <f t="shared" si="72"/>
        <v>(02) 6271 1000</v>
      </c>
      <c r="AG198" t="str">
        <f>""</f>
        <v/>
      </c>
      <c r="AH198" t="str">
        <f>""</f>
        <v/>
      </c>
      <c r="AI198" t="str">
        <f>"CORPORATE TREASURY [OLD] Corporate Treasury"</f>
        <v>CORPORATE TREASURY [OLD] Corporate Treasury</v>
      </c>
      <c r="AJ198" t="str">
        <f t="shared" si="73"/>
        <v>2603</v>
      </c>
    </row>
    <row r="199" spans="1:36" x14ac:dyDescent="0.25">
      <c r="A199" t="str">
        <f t="shared" si="82"/>
        <v>Department of Communications</v>
      </c>
      <c r="B199" t="str">
        <f>""</f>
        <v/>
      </c>
      <c r="C199" t="str">
        <f>"CN2645661"</f>
        <v>CN2645661</v>
      </c>
      <c r="D199" t="str">
        <f t="shared" si="70"/>
        <v>David Kenny</v>
      </c>
      <c r="E199" s="44">
        <v>41940.561111111114</v>
      </c>
      <c r="F199" t="s">
        <v>2508</v>
      </c>
      <c r="G199" t="str">
        <f t="shared" si="83"/>
        <v>published</v>
      </c>
      <c r="H199" s="45">
        <v>41934</v>
      </c>
      <c r="I199" s="45">
        <v>41978</v>
      </c>
      <c r="J199" s="46">
        <v>21000</v>
      </c>
      <c r="K199" t="s">
        <v>398</v>
      </c>
      <c r="L199" t="str">
        <f>"0004604749"</f>
        <v>0004604749</v>
      </c>
      <c r="M199" t="str">
        <f>"Temporary personnel services"</f>
        <v>Temporary personnel services</v>
      </c>
      <c r="N199" t="str">
        <f>"Open tender"</f>
        <v>Open tender</v>
      </c>
      <c r="O199" t="str">
        <f>"DCON/12/244"</f>
        <v>DCON/12/244</v>
      </c>
      <c r="P199" t="str">
        <f>"SON1180562"</f>
        <v>SON1180562</v>
      </c>
      <c r="Q199" t="str">
        <f t="shared" si="75"/>
        <v>No</v>
      </c>
      <c r="R199" t="str">
        <f>""</f>
        <v/>
      </c>
      <c r="S199" t="str">
        <f t="shared" si="76"/>
        <v>No</v>
      </c>
      <c r="T199" t="str">
        <f>""</f>
        <v/>
      </c>
      <c r="U199" t="str">
        <f t="shared" si="74"/>
        <v>No</v>
      </c>
      <c r="V199" t="str">
        <f>""</f>
        <v/>
      </c>
      <c r="X199" t="str">
        <f>"HAYS PERSONNEL SERVICES (AUST) P/L"</f>
        <v>HAYS PERSONNEL SERVICES (AUST) P/L</v>
      </c>
      <c r="Y199" t="str">
        <f>"GPO BOX 3868"</f>
        <v>GPO BOX 3868</v>
      </c>
      <c r="Z199" t="str">
        <f>"SYDNEY"</f>
        <v>SYDNEY</v>
      </c>
      <c r="AA199" t="str">
        <f>"2001"</f>
        <v>2001</v>
      </c>
      <c r="AB199" t="str">
        <f t="shared" si="79"/>
        <v>Australia</v>
      </c>
      <c r="AC199" t="str">
        <f t="shared" si="78"/>
        <v>No</v>
      </c>
      <c r="AD199" t="str">
        <f>"47001407281"</f>
        <v>47001407281</v>
      </c>
      <c r="AE199" t="str">
        <f>"PROCUREMENT MANAGER"</f>
        <v>PROCUREMENT MANAGER</v>
      </c>
      <c r="AF199" t="str">
        <f t="shared" si="72"/>
        <v>(02) 6271 1000</v>
      </c>
      <c r="AG199" t="str">
        <f>""</f>
        <v/>
      </c>
      <c r="AH199" t="str">
        <f>""</f>
        <v/>
      </c>
      <c r="AI199" t="str">
        <f>"COMMUNICATIONS RESEARCH Bureau of Communications Research"</f>
        <v>COMMUNICATIONS RESEARCH Bureau of Communications Research</v>
      </c>
      <c r="AJ199" t="str">
        <f t="shared" si="73"/>
        <v>2603</v>
      </c>
    </row>
    <row r="200" spans="1:36" x14ac:dyDescent="0.25">
      <c r="A200" t="str">
        <f t="shared" si="82"/>
        <v>Department of Communications</v>
      </c>
      <c r="B200" t="str">
        <f>""</f>
        <v/>
      </c>
      <c r="C200" t="str">
        <f>"CN2645651"</f>
        <v>CN2645651</v>
      </c>
      <c r="D200" t="str">
        <f t="shared" si="70"/>
        <v>David Kenny</v>
      </c>
      <c r="E200" s="44">
        <v>41940.560416666667</v>
      </c>
      <c r="F200" t="s">
        <v>2508</v>
      </c>
      <c r="G200" t="str">
        <f t="shared" si="83"/>
        <v>published</v>
      </c>
      <c r="H200" s="45">
        <v>41939</v>
      </c>
      <c r="I200" s="45">
        <v>41992</v>
      </c>
      <c r="J200" s="46">
        <v>36960</v>
      </c>
      <c r="K200" t="s">
        <v>403</v>
      </c>
      <c r="L200" t="str">
        <f>"0004604750"</f>
        <v>0004604750</v>
      </c>
      <c r="M200" t="str">
        <f>"Temporary personnel services"</f>
        <v>Temporary personnel services</v>
      </c>
      <c r="N200" t="str">
        <f>"Open tender"</f>
        <v>Open tender</v>
      </c>
      <c r="O200" t="str">
        <f>"DCON/12/244"</f>
        <v>DCON/12/244</v>
      </c>
      <c r="P200" t="str">
        <f>"SON1180562"</f>
        <v>SON1180562</v>
      </c>
      <c r="Q200" t="str">
        <f t="shared" si="75"/>
        <v>No</v>
      </c>
      <c r="R200" t="str">
        <f>""</f>
        <v/>
      </c>
      <c r="S200" t="str">
        <f t="shared" si="76"/>
        <v>No</v>
      </c>
      <c r="T200" t="str">
        <f>""</f>
        <v/>
      </c>
      <c r="U200" t="str">
        <f t="shared" si="74"/>
        <v>No</v>
      </c>
      <c r="V200" t="str">
        <f>""</f>
        <v/>
      </c>
      <c r="X200" t="str">
        <f>"HAYS PERSONNEL SERVICES (AUST) P/L"</f>
        <v>HAYS PERSONNEL SERVICES (AUST) P/L</v>
      </c>
      <c r="Y200" t="str">
        <f>"GPO BOX 3868"</f>
        <v>GPO BOX 3868</v>
      </c>
      <c r="Z200" t="str">
        <f>"SYDNEY"</f>
        <v>SYDNEY</v>
      </c>
      <c r="AA200" t="str">
        <f>"2001"</f>
        <v>2001</v>
      </c>
      <c r="AB200" t="str">
        <f t="shared" si="79"/>
        <v>Australia</v>
      </c>
      <c r="AC200" t="str">
        <f t="shared" si="78"/>
        <v>No</v>
      </c>
      <c r="AD200" t="str">
        <f>"47001407281"</f>
        <v>47001407281</v>
      </c>
      <c r="AE200" t="str">
        <f>"PROCUREMENT MANAGER"</f>
        <v>PROCUREMENT MANAGER</v>
      </c>
      <c r="AF200" t="str">
        <f t="shared" si="72"/>
        <v>(02) 6271 1000</v>
      </c>
      <c r="AG200" t="str">
        <f>""</f>
        <v/>
      </c>
      <c r="AH200" t="str">
        <f>""</f>
        <v/>
      </c>
      <c r="AI200" t="str">
        <f>"COMMUNICATIONS RESEARCH Bureau of Communications Research"</f>
        <v>COMMUNICATIONS RESEARCH Bureau of Communications Research</v>
      </c>
      <c r="AJ200" t="str">
        <f t="shared" si="73"/>
        <v>2603</v>
      </c>
    </row>
    <row r="201" spans="1:36" x14ac:dyDescent="0.25">
      <c r="A201" t="str">
        <f t="shared" si="82"/>
        <v>Department of Communications</v>
      </c>
      <c r="B201" t="str">
        <f>""</f>
        <v/>
      </c>
      <c r="C201" t="str">
        <f>"CN2645641"</f>
        <v>CN2645641</v>
      </c>
      <c r="D201" t="str">
        <f t="shared" si="70"/>
        <v>David Kenny</v>
      </c>
      <c r="E201" s="44">
        <v>41940.560416666667</v>
      </c>
      <c r="F201" t="s">
        <v>2508</v>
      </c>
      <c r="G201" t="str">
        <f t="shared" si="83"/>
        <v>published</v>
      </c>
      <c r="H201" s="45">
        <v>41912</v>
      </c>
      <c r="I201" s="45">
        <v>41943</v>
      </c>
      <c r="J201" s="46">
        <v>40480</v>
      </c>
      <c r="K201" t="s">
        <v>1699</v>
      </c>
      <c r="L201" t="str">
        <f>"0004604751"</f>
        <v>0004604751</v>
      </c>
      <c r="M201" t="str">
        <f>"Information technology consultation services"</f>
        <v>Information technology consultation services</v>
      </c>
      <c r="N201" t="str">
        <f>"Open tender"</f>
        <v>Open tender</v>
      </c>
      <c r="O201" t="str">
        <f>"11/000006268"</f>
        <v>11/000006268</v>
      </c>
      <c r="P201" t="str">
        <f>"SON867801"</f>
        <v>SON867801</v>
      </c>
      <c r="Q201" t="str">
        <f t="shared" si="75"/>
        <v>No</v>
      </c>
      <c r="R201" t="str">
        <f>""</f>
        <v/>
      </c>
      <c r="S201" t="str">
        <f t="shared" si="76"/>
        <v>No</v>
      </c>
      <c r="T201" t="str">
        <f>""</f>
        <v/>
      </c>
      <c r="U201" t="str">
        <f t="shared" si="74"/>
        <v>No</v>
      </c>
      <c r="V201" t="str">
        <f>""</f>
        <v/>
      </c>
      <c r="X201" t="str">
        <f>"Callida Consulting"</f>
        <v>Callida Consulting</v>
      </c>
      <c r="Y201" t="str">
        <f>"PO Box 4207"</f>
        <v>PO Box 4207</v>
      </c>
      <c r="Z201" t="str">
        <f>"KINGSTON"</f>
        <v>KINGSTON</v>
      </c>
      <c r="AA201" t="str">
        <f>"2604"</f>
        <v>2604</v>
      </c>
      <c r="AB201" t="str">
        <f t="shared" si="79"/>
        <v>Australia</v>
      </c>
      <c r="AC201" t="str">
        <f t="shared" si="78"/>
        <v>No</v>
      </c>
      <c r="AD201" t="str">
        <f>"40154007664"</f>
        <v>40154007664</v>
      </c>
      <c r="AE201" t="str">
        <f t="shared" ref="AE201:AE209" si="84">"ADMIN OFFICER"</f>
        <v>ADMIN OFFICER</v>
      </c>
      <c r="AF201" t="str">
        <f t="shared" si="72"/>
        <v>(02) 6271 1000</v>
      </c>
      <c r="AG201" t="str">
        <f>""</f>
        <v/>
      </c>
      <c r="AH201" t="str">
        <f>""</f>
        <v/>
      </c>
      <c r="AI201" t="str">
        <f t="shared" ref="AI201:AI207" si="85">"CORPORATE TREASURY [OLD] Corporate Treasury"</f>
        <v>CORPORATE TREASURY [OLD] Corporate Treasury</v>
      </c>
      <c r="AJ201" t="str">
        <f t="shared" si="73"/>
        <v>2603</v>
      </c>
    </row>
    <row r="202" spans="1:36" x14ac:dyDescent="0.25">
      <c r="A202" t="str">
        <f t="shared" si="82"/>
        <v>Department of Communications</v>
      </c>
      <c r="B202" t="str">
        <f>""</f>
        <v/>
      </c>
      <c r="C202" t="str">
        <f>"CN2651302"</f>
        <v>CN2651302</v>
      </c>
      <c r="D202" t="str">
        <f t="shared" si="70"/>
        <v>David Kenny</v>
      </c>
      <c r="E202" s="44">
        <v>41943.618055555555</v>
      </c>
      <c r="F202" t="s">
        <v>2508</v>
      </c>
      <c r="G202" t="str">
        <f t="shared" si="83"/>
        <v>published</v>
      </c>
      <c r="H202" s="45">
        <v>41904</v>
      </c>
      <c r="I202" s="45">
        <v>41984</v>
      </c>
      <c r="J202" s="46">
        <v>65000</v>
      </c>
      <c r="K202" t="s">
        <v>1705</v>
      </c>
      <c r="L202" t="str">
        <f>"0004604758"</f>
        <v>0004604758</v>
      </c>
      <c r="M202" t="str">
        <f>"Corporate objectives or policy development"</f>
        <v>Corporate objectives or policy development</v>
      </c>
      <c r="N202" t="str">
        <f t="shared" ref="N202:N208" si="86">"Limited tender"</f>
        <v>Limited tender</v>
      </c>
      <c r="O202" t="str">
        <f>""</f>
        <v/>
      </c>
      <c r="Q202" t="str">
        <f t="shared" si="75"/>
        <v>No</v>
      </c>
      <c r="R202" t="str">
        <f>""</f>
        <v/>
      </c>
      <c r="S202" t="str">
        <f t="shared" si="76"/>
        <v>No</v>
      </c>
      <c r="T202" t="str">
        <f>""</f>
        <v/>
      </c>
      <c r="U202" t="str">
        <f>"Yes"</f>
        <v>Yes</v>
      </c>
      <c r="V202" t="str">
        <f>"Need for independent research or assessment"</f>
        <v>Need for independent research or assessment</v>
      </c>
      <c r="X202" t="str">
        <f>"Trish Bergin Consulting"</f>
        <v>Trish Bergin Consulting</v>
      </c>
      <c r="Y202" t="str">
        <f>"P O Box 5747"</f>
        <v>P O Box 5747</v>
      </c>
      <c r="Z202" t="str">
        <f>"Hughes"</f>
        <v>Hughes</v>
      </c>
      <c r="AA202" t="str">
        <f>"2605"</f>
        <v>2605</v>
      </c>
      <c r="AB202" t="str">
        <f t="shared" si="79"/>
        <v>Australia</v>
      </c>
      <c r="AC202" t="str">
        <f t="shared" si="78"/>
        <v>No</v>
      </c>
      <c r="AD202" t="str">
        <f>"29374563525"</f>
        <v>29374563525</v>
      </c>
      <c r="AE202" t="str">
        <f t="shared" si="84"/>
        <v>ADMIN OFFICER</v>
      </c>
      <c r="AF202" t="str">
        <f t="shared" si="72"/>
        <v>(02) 6271 1000</v>
      </c>
      <c r="AG202" t="str">
        <f>""</f>
        <v/>
      </c>
      <c r="AH202" t="str">
        <f>""</f>
        <v/>
      </c>
      <c r="AI202" t="str">
        <f t="shared" si="85"/>
        <v>CORPORATE TREASURY [OLD] Corporate Treasury</v>
      </c>
      <c r="AJ202" t="str">
        <f t="shared" si="73"/>
        <v>2603</v>
      </c>
    </row>
    <row r="203" spans="1:36" x14ac:dyDescent="0.25">
      <c r="A203" t="str">
        <f t="shared" si="82"/>
        <v>Department of Communications</v>
      </c>
      <c r="B203" t="str">
        <f>""</f>
        <v/>
      </c>
      <c r="C203" t="str">
        <f>"CN3071022"</f>
        <v>CN3071022</v>
      </c>
      <c r="D203" t="str">
        <f>"Leesa O'connor"</f>
        <v>Leesa O'connor</v>
      </c>
      <c r="E203" s="44">
        <v>42143.462500000001</v>
      </c>
      <c r="F203" t="s">
        <v>2508</v>
      </c>
      <c r="G203" t="str">
        <f t="shared" si="83"/>
        <v>published</v>
      </c>
      <c r="H203" s="45">
        <v>41935</v>
      </c>
      <c r="I203" s="45">
        <v>42185</v>
      </c>
      <c r="J203" s="46">
        <v>16500</v>
      </c>
      <c r="K203" t="s">
        <v>1706</v>
      </c>
      <c r="L203" t="str">
        <f>"0004604759"</f>
        <v>0004604759</v>
      </c>
      <c r="M203" t="str">
        <f>"Software maintenance and support"</f>
        <v>Software maintenance and support</v>
      </c>
      <c r="N203" t="str">
        <f t="shared" si="86"/>
        <v>Limited tender</v>
      </c>
      <c r="O203" t="str">
        <f>""</f>
        <v/>
      </c>
      <c r="Q203" t="str">
        <f t="shared" si="75"/>
        <v>No</v>
      </c>
      <c r="R203" t="str">
        <f>""</f>
        <v/>
      </c>
      <c r="S203" t="str">
        <f t="shared" si="76"/>
        <v>No</v>
      </c>
      <c r="T203" t="str">
        <f>""</f>
        <v/>
      </c>
      <c r="U203" t="str">
        <f t="shared" ref="U203:U218" si="87">"No"</f>
        <v>No</v>
      </c>
      <c r="V203" t="str">
        <f>""</f>
        <v/>
      </c>
      <c r="X203" t="str">
        <f>"Excelerated Consulting Pty Ltd"</f>
        <v>Excelerated Consulting Pty Ltd</v>
      </c>
      <c r="Y203" t="str">
        <f>"PO Box 4188"</f>
        <v>PO Box 4188</v>
      </c>
      <c r="Z203" t="str">
        <f>"Manuka"</f>
        <v>Manuka</v>
      </c>
      <c r="AA203" t="str">
        <f>"2603"</f>
        <v>2603</v>
      </c>
      <c r="AB203" t="str">
        <f t="shared" si="79"/>
        <v>Australia</v>
      </c>
      <c r="AC203" t="str">
        <f t="shared" si="78"/>
        <v>No</v>
      </c>
      <c r="AD203" t="str">
        <f>"30082667776"</f>
        <v>30082667776</v>
      </c>
      <c r="AE203" t="str">
        <f t="shared" si="84"/>
        <v>ADMIN OFFICER</v>
      </c>
      <c r="AF203" t="str">
        <f t="shared" si="72"/>
        <v>(02) 6271 1000</v>
      </c>
      <c r="AG203" t="str">
        <f>""</f>
        <v/>
      </c>
      <c r="AH203" t="str">
        <f>""</f>
        <v/>
      </c>
      <c r="AI203" t="str">
        <f t="shared" si="85"/>
        <v>CORPORATE TREASURY [OLD] Corporate Treasury</v>
      </c>
      <c r="AJ203" t="str">
        <f t="shared" ref="AJ203:AJ219" si="88">"2603"</f>
        <v>2603</v>
      </c>
    </row>
    <row r="204" spans="1:36" x14ac:dyDescent="0.25">
      <c r="A204" t="str">
        <f t="shared" si="82"/>
        <v>Department of Communications</v>
      </c>
      <c r="B204" t="str">
        <f>""</f>
        <v/>
      </c>
      <c r="C204" t="str">
        <f>"CN2700381"</f>
        <v>CN2700381</v>
      </c>
      <c r="D204" t="str">
        <f>"David Kenny"</f>
        <v>David Kenny</v>
      </c>
      <c r="E204" s="44">
        <v>41967.613194444442</v>
      </c>
      <c r="F204" t="s">
        <v>2508</v>
      </c>
      <c r="G204" t="str">
        <f t="shared" si="83"/>
        <v>published</v>
      </c>
      <c r="H204" s="45">
        <v>41935</v>
      </c>
      <c r="I204" s="45">
        <v>42185</v>
      </c>
      <c r="J204" s="46">
        <v>14300</v>
      </c>
      <c r="K204" t="s">
        <v>1706</v>
      </c>
      <c r="L204" t="str">
        <f>"0004604759"</f>
        <v>0004604759</v>
      </c>
      <c r="M204" t="str">
        <f>"Software maintenance and support"</f>
        <v>Software maintenance and support</v>
      </c>
      <c r="N204" t="str">
        <f t="shared" si="86"/>
        <v>Limited tender</v>
      </c>
      <c r="O204" t="str">
        <f>""</f>
        <v/>
      </c>
      <c r="Q204" t="str">
        <f t="shared" si="75"/>
        <v>No</v>
      </c>
      <c r="R204" t="str">
        <f>""</f>
        <v/>
      </c>
      <c r="S204" t="str">
        <f t="shared" si="76"/>
        <v>No</v>
      </c>
      <c r="T204" t="str">
        <f>""</f>
        <v/>
      </c>
      <c r="U204" t="str">
        <f t="shared" si="87"/>
        <v>No</v>
      </c>
      <c r="V204" t="str">
        <f>""</f>
        <v/>
      </c>
      <c r="X204" t="str">
        <f>"Excelerated Consulting Pty Ltd"</f>
        <v>Excelerated Consulting Pty Ltd</v>
      </c>
      <c r="Y204" t="str">
        <f>"PO Box 4188"</f>
        <v>PO Box 4188</v>
      </c>
      <c r="Z204" t="str">
        <f>"Manuka"</f>
        <v>Manuka</v>
      </c>
      <c r="AA204" t="str">
        <f>"2603"</f>
        <v>2603</v>
      </c>
      <c r="AB204" t="str">
        <f t="shared" si="79"/>
        <v>Australia</v>
      </c>
      <c r="AC204" t="str">
        <f t="shared" si="78"/>
        <v>No</v>
      </c>
      <c r="AD204" t="str">
        <f>"30082667776"</f>
        <v>30082667776</v>
      </c>
      <c r="AE204" t="str">
        <f t="shared" si="84"/>
        <v>ADMIN OFFICER</v>
      </c>
      <c r="AF204" t="str">
        <f t="shared" si="72"/>
        <v>(02) 6271 1000</v>
      </c>
      <c r="AG204" t="str">
        <f>""</f>
        <v/>
      </c>
      <c r="AH204" t="str">
        <f>""</f>
        <v/>
      </c>
      <c r="AI204" t="str">
        <f t="shared" si="85"/>
        <v>CORPORATE TREASURY [OLD] Corporate Treasury</v>
      </c>
      <c r="AJ204" t="str">
        <f t="shared" si="88"/>
        <v>2603</v>
      </c>
    </row>
    <row r="205" spans="1:36" x14ac:dyDescent="0.25">
      <c r="A205" t="str">
        <f t="shared" si="82"/>
        <v>Department of Communications</v>
      </c>
      <c r="B205" t="str">
        <f>""</f>
        <v/>
      </c>
      <c r="C205" t="str">
        <f>"CN2651292"</f>
        <v>CN2651292</v>
      </c>
      <c r="D205" t="str">
        <f>"David Kenny"</f>
        <v>David Kenny</v>
      </c>
      <c r="E205" s="44">
        <v>41943.618055555555</v>
      </c>
      <c r="F205" t="s">
        <v>2508</v>
      </c>
      <c r="G205" t="str">
        <f t="shared" si="83"/>
        <v>published</v>
      </c>
      <c r="H205" s="45">
        <v>41935</v>
      </c>
      <c r="I205" s="45">
        <v>42185</v>
      </c>
      <c r="J205" s="46">
        <v>22000</v>
      </c>
      <c r="K205" t="s">
        <v>1706</v>
      </c>
      <c r="L205" t="str">
        <f>"0004604759"</f>
        <v>0004604759</v>
      </c>
      <c r="M205" t="str">
        <f>"Software maintenance and support"</f>
        <v>Software maintenance and support</v>
      </c>
      <c r="N205" t="str">
        <f t="shared" si="86"/>
        <v>Limited tender</v>
      </c>
      <c r="O205" t="str">
        <f>""</f>
        <v/>
      </c>
      <c r="Q205" t="str">
        <f t="shared" si="75"/>
        <v>No</v>
      </c>
      <c r="R205" t="str">
        <f>""</f>
        <v/>
      </c>
      <c r="S205" t="str">
        <f t="shared" si="76"/>
        <v>No</v>
      </c>
      <c r="T205" t="str">
        <f>""</f>
        <v/>
      </c>
      <c r="U205" t="str">
        <f t="shared" si="87"/>
        <v>No</v>
      </c>
      <c r="V205" t="str">
        <f>""</f>
        <v/>
      </c>
      <c r="X205" t="str">
        <f>"Excelerated Consulting Pty Ltd"</f>
        <v>Excelerated Consulting Pty Ltd</v>
      </c>
      <c r="Y205" t="str">
        <f>"PO Box 4188"</f>
        <v>PO Box 4188</v>
      </c>
      <c r="Z205" t="str">
        <f>"Manuka"</f>
        <v>Manuka</v>
      </c>
      <c r="AA205" t="str">
        <f>"2603"</f>
        <v>2603</v>
      </c>
      <c r="AB205" t="str">
        <f t="shared" si="79"/>
        <v>Australia</v>
      </c>
      <c r="AC205" t="str">
        <f t="shared" si="78"/>
        <v>No</v>
      </c>
      <c r="AD205" t="str">
        <f>"30082667776"</f>
        <v>30082667776</v>
      </c>
      <c r="AE205" t="str">
        <f t="shared" si="84"/>
        <v>ADMIN OFFICER</v>
      </c>
      <c r="AF205" t="str">
        <f t="shared" si="72"/>
        <v>(02) 6271 1000</v>
      </c>
      <c r="AG205" t="str">
        <f>""</f>
        <v/>
      </c>
      <c r="AH205" t="str">
        <f>""</f>
        <v/>
      </c>
      <c r="AI205" t="str">
        <f t="shared" si="85"/>
        <v>CORPORATE TREASURY [OLD] Corporate Treasury</v>
      </c>
      <c r="AJ205" t="str">
        <f t="shared" si="88"/>
        <v>2603</v>
      </c>
    </row>
    <row r="206" spans="1:36" x14ac:dyDescent="0.25">
      <c r="A206" t="str">
        <f t="shared" si="82"/>
        <v>Department of Communications</v>
      </c>
      <c r="B206" t="str">
        <f>""</f>
        <v/>
      </c>
      <c r="C206" t="str">
        <f>"CN2651282"</f>
        <v>CN2651282</v>
      </c>
      <c r="D206" t="str">
        <f>"David Kenny"</f>
        <v>David Kenny</v>
      </c>
      <c r="E206" s="44">
        <v>41943.618055555555</v>
      </c>
      <c r="F206" t="s">
        <v>2508</v>
      </c>
      <c r="G206" t="str">
        <f t="shared" si="83"/>
        <v>published</v>
      </c>
      <c r="H206" s="45">
        <v>41940</v>
      </c>
      <c r="I206" s="45">
        <v>41941</v>
      </c>
      <c r="J206" s="46">
        <v>16000</v>
      </c>
      <c r="K206" t="s">
        <v>1707</v>
      </c>
      <c r="L206" t="str">
        <f>"0004604760"</f>
        <v>0004604760</v>
      </c>
      <c r="M206" t="str">
        <f>"Strategic planning consultation services"</f>
        <v>Strategic planning consultation services</v>
      </c>
      <c r="N206" t="str">
        <f t="shared" si="86"/>
        <v>Limited tender</v>
      </c>
      <c r="O206" t="str">
        <f>""</f>
        <v/>
      </c>
      <c r="Q206" t="str">
        <f t="shared" si="75"/>
        <v>No</v>
      </c>
      <c r="R206" t="str">
        <f>""</f>
        <v/>
      </c>
      <c r="S206" t="str">
        <f t="shared" si="76"/>
        <v>No</v>
      </c>
      <c r="T206" t="str">
        <f>""</f>
        <v/>
      </c>
      <c r="U206" t="str">
        <f t="shared" si="87"/>
        <v>No</v>
      </c>
      <c r="V206" t="str">
        <f>""</f>
        <v/>
      </c>
      <c r="X206" t="str">
        <f>"Beesness Pty Ltd"</f>
        <v>Beesness Pty Ltd</v>
      </c>
      <c r="Y206" t="str">
        <f>"77B Lynwood Avenue"</f>
        <v>77B Lynwood Avenue</v>
      </c>
      <c r="Z206" t="str">
        <f>"Dee Why"</f>
        <v>Dee Why</v>
      </c>
      <c r="AA206" t="str">
        <f>"2099"</f>
        <v>2099</v>
      </c>
      <c r="AB206" t="str">
        <f t="shared" si="79"/>
        <v>Australia</v>
      </c>
      <c r="AC206" t="str">
        <f t="shared" si="78"/>
        <v>No</v>
      </c>
      <c r="AD206" t="str">
        <f>"53164305695"</f>
        <v>53164305695</v>
      </c>
      <c r="AE206" t="str">
        <f t="shared" si="84"/>
        <v>ADMIN OFFICER</v>
      </c>
      <c r="AF206" t="str">
        <f t="shared" si="72"/>
        <v>(02) 6271 1000</v>
      </c>
      <c r="AG206" t="str">
        <f>""</f>
        <v/>
      </c>
      <c r="AH206" t="str">
        <f>""</f>
        <v/>
      </c>
      <c r="AI206" t="str">
        <f t="shared" si="85"/>
        <v>CORPORATE TREASURY [OLD] Corporate Treasury</v>
      </c>
      <c r="AJ206" t="str">
        <f t="shared" si="88"/>
        <v>2603</v>
      </c>
    </row>
    <row r="207" spans="1:36" x14ac:dyDescent="0.25">
      <c r="A207" t="str">
        <f t="shared" si="82"/>
        <v>Department of Communications</v>
      </c>
      <c r="B207" t="str">
        <f>""</f>
        <v/>
      </c>
      <c r="C207" t="str">
        <f>"CN2651272"</f>
        <v>CN2651272</v>
      </c>
      <c r="D207" t="str">
        <f>"David Kenny"</f>
        <v>David Kenny</v>
      </c>
      <c r="E207" s="44">
        <v>41943.618055555555</v>
      </c>
      <c r="F207" t="s">
        <v>2508</v>
      </c>
      <c r="G207" t="str">
        <f t="shared" si="83"/>
        <v>published</v>
      </c>
      <c r="H207" s="45">
        <v>41912</v>
      </c>
      <c r="I207" s="45">
        <v>41943</v>
      </c>
      <c r="J207" s="46">
        <v>10164</v>
      </c>
      <c r="K207" t="s">
        <v>1709</v>
      </c>
      <c r="L207" t="str">
        <f>"0004604763"</f>
        <v>0004604763</v>
      </c>
      <c r="M207" t="str">
        <f>"Business administration services"</f>
        <v>Business administration services</v>
      </c>
      <c r="N207" t="str">
        <f t="shared" si="86"/>
        <v>Limited tender</v>
      </c>
      <c r="O207" t="str">
        <f>""</f>
        <v/>
      </c>
      <c r="Q207" t="str">
        <f t="shared" si="75"/>
        <v>No</v>
      </c>
      <c r="R207" t="str">
        <f>""</f>
        <v/>
      </c>
      <c r="S207" t="str">
        <f t="shared" si="76"/>
        <v>No</v>
      </c>
      <c r="T207" t="str">
        <f>""</f>
        <v/>
      </c>
      <c r="U207" t="str">
        <f t="shared" si="87"/>
        <v>No</v>
      </c>
      <c r="V207" t="str">
        <f>""</f>
        <v/>
      </c>
      <c r="X207" t="str">
        <f>"Systemik Solutions Pty Ltd"</f>
        <v>Systemik Solutions Pty Ltd</v>
      </c>
      <c r="Y207" t="str">
        <f>"Level 11, 84 Pitt Street"</f>
        <v>Level 11, 84 Pitt Street</v>
      </c>
      <c r="Z207" t="str">
        <f>"Sydney"</f>
        <v>Sydney</v>
      </c>
      <c r="AA207" t="str">
        <f>"2000"</f>
        <v>2000</v>
      </c>
      <c r="AB207" t="str">
        <f t="shared" si="79"/>
        <v>Australia</v>
      </c>
      <c r="AC207" t="str">
        <f t="shared" si="78"/>
        <v>No</v>
      </c>
      <c r="AD207" t="str">
        <f>"66060421169"</f>
        <v>66060421169</v>
      </c>
      <c r="AE207" t="str">
        <f t="shared" si="84"/>
        <v>ADMIN OFFICER</v>
      </c>
      <c r="AF207" t="str">
        <f t="shared" si="72"/>
        <v>(02) 6271 1000</v>
      </c>
      <c r="AG207" t="str">
        <f>""</f>
        <v/>
      </c>
      <c r="AH207" t="str">
        <f>""</f>
        <v/>
      </c>
      <c r="AI207" t="str">
        <f t="shared" si="85"/>
        <v>CORPORATE TREASURY [OLD] Corporate Treasury</v>
      </c>
      <c r="AJ207" t="str">
        <f t="shared" si="88"/>
        <v>2603</v>
      </c>
    </row>
    <row r="208" spans="1:36" x14ac:dyDescent="0.25">
      <c r="A208" t="str">
        <f t="shared" si="82"/>
        <v>Department of Communications</v>
      </c>
      <c r="B208" t="str">
        <f>""</f>
        <v/>
      </c>
      <c r="C208" t="str">
        <f>"CN2675042"</f>
        <v>CN2675042</v>
      </c>
      <c r="D208" t="str">
        <f t="shared" ref="D208:D214" si="89">"Robert McGlynn"</f>
        <v>Robert McGlynn</v>
      </c>
      <c r="E208" s="44">
        <v>41955.359027777777</v>
      </c>
      <c r="F208" t="s">
        <v>2508</v>
      </c>
      <c r="G208" t="str">
        <f t="shared" si="83"/>
        <v>published</v>
      </c>
      <c r="H208" s="45">
        <v>41956</v>
      </c>
      <c r="I208" s="45">
        <v>41956</v>
      </c>
      <c r="J208" s="46">
        <v>11000</v>
      </c>
      <c r="K208" t="s">
        <v>2227</v>
      </c>
      <c r="L208" t="str">
        <f>"0004604764"</f>
        <v>0004604764</v>
      </c>
      <c r="M208" t="str">
        <f>"Education and Training Services"</f>
        <v>Education and Training Services</v>
      </c>
      <c r="N208" t="str">
        <f t="shared" si="86"/>
        <v>Limited tender</v>
      </c>
      <c r="O208" t="str">
        <f>""</f>
        <v/>
      </c>
      <c r="Q208" t="str">
        <f t="shared" si="75"/>
        <v>No</v>
      </c>
      <c r="R208" t="str">
        <f>""</f>
        <v/>
      </c>
      <c r="S208" t="str">
        <f t="shared" si="76"/>
        <v>No</v>
      </c>
      <c r="T208" t="str">
        <f>""</f>
        <v/>
      </c>
      <c r="U208" t="str">
        <f t="shared" si="87"/>
        <v>No</v>
      </c>
      <c r="V208" t="str">
        <f>""</f>
        <v/>
      </c>
      <c r="X208" t="str">
        <f>"AUSTRALIAN UNIVERSITY"</f>
        <v>AUSTRALIAN UNIVERSITY</v>
      </c>
      <c r="Y208" t="str">
        <f>"GPO BOX 4"</f>
        <v>GPO BOX 4</v>
      </c>
      <c r="Z208" t="str">
        <f>"CANBERRA"</f>
        <v>CANBERRA</v>
      </c>
      <c r="AA208" t="str">
        <f>"2601"</f>
        <v>2601</v>
      </c>
      <c r="AB208" t="str">
        <f t="shared" si="79"/>
        <v>Australia</v>
      </c>
      <c r="AC208" t="str">
        <f t="shared" si="78"/>
        <v>No</v>
      </c>
      <c r="AD208" t="str">
        <f>"52234063906"</f>
        <v>52234063906</v>
      </c>
      <c r="AE208" t="str">
        <f t="shared" si="84"/>
        <v>ADMIN OFFICER</v>
      </c>
      <c r="AF208" t="str">
        <f t="shared" si="72"/>
        <v>(02) 6271 1000</v>
      </c>
      <c r="AG208" t="str">
        <f>""</f>
        <v/>
      </c>
      <c r="AH208" t="str">
        <f>""</f>
        <v/>
      </c>
      <c r="AI208" t="str">
        <f>"NPAR"</f>
        <v>NPAR</v>
      </c>
      <c r="AJ208" t="str">
        <f t="shared" si="88"/>
        <v>2603</v>
      </c>
    </row>
    <row r="209" spans="1:36" x14ac:dyDescent="0.25">
      <c r="A209" t="str">
        <f t="shared" si="82"/>
        <v>Department of Communications</v>
      </c>
      <c r="B209" t="str">
        <f>""</f>
        <v/>
      </c>
      <c r="C209" t="str">
        <f>"CN2675022"</f>
        <v>CN2675022</v>
      </c>
      <c r="D209" t="str">
        <f t="shared" si="89"/>
        <v>Robert McGlynn</v>
      </c>
      <c r="E209" s="44">
        <v>41955.35833333333</v>
      </c>
      <c r="F209" t="s">
        <v>2508</v>
      </c>
      <c r="G209" t="str">
        <f t="shared" si="83"/>
        <v>published</v>
      </c>
      <c r="H209" s="45">
        <v>41933</v>
      </c>
      <c r="I209" s="45">
        <v>42108</v>
      </c>
      <c r="J209" s="46">
        <v>129800</v>
      </c>
      <c r="K209" t="s">
        <v>1711</v>
      </c>
      <c r="L209" t="str">
        <f>"0004604765"</f>
        <v>0004604765</v>
      </c>
      <c r="M209" t="str">
        <f>"Project management"</f>
        <v>Project management</v>
      </c>
      <c r="N209" t="str">
        <f>"Open tender"</f>
        <v>Open tender</v>
      </c>
      <c r="O209" t="str">
        <f>"11/000006268"</f>
        <v>11/000006268</v>
      </c>
      <c r="P209" t="str">
        <f>"SON867801"</f>
        <v>SON867801</v>
      </c>
      <c r="Q209" t="str">
        <f t="shared" si="75"/>
        <v>No</v>
      </c>
      <c r="R209" t="str">
        <f>""</f>
        <v/>
      </c>
      <c r="S209" t="str">
        <f t="shared" si="76"/>
        <v>No</v>
      </c>
      <c r="T209" t="str">
        <f>""</f>
        <v/>
      </c>
      <c r="U209" t="str">
        <f t="shared" si="87"/>
        <v>No</v>
      </c>
      <c r="V209" t="str">
        <f>""</f>
        <v/>
      </c>
      <c r="X209" t="str">
        <f>"Frontier Group Australia Pty Ltd"</f>
        <v>Frontier Group Australia Pty Ltd</v>
      </c>
      <c r="Y209" t="str">
        <f>"GPO Box 321"</f>
        <v>GPO Box 321</v>
      </c>
      <c r="Z209" t="str">
        <f>"Canberra City"</f>
        <v>Canberra City</v>
      </c>
      <c r="AA209" t="str">
        <f>"2601"</f>
        <v>2601</v>
      </c>
      <c r="AB209" t="str">
        <f t="shared" si="79"/>
        <v>Australia</v>
      </c>
      <c r="AC209" t="str">
        <f t="shared" si="78"/>
        <v>No</v>
      </c>
      <c r="AD209" t="str">
        <f>"77087743879"</f>
        <v>77087743879</v>
      </c>
      <c r="AE209" t="str">
        <f t="shared" si="84"/>
        <v>ADMIN OFFICER</v>
      </c>
      <c r="AF209" t="str">
        <f t="shared" si="72"/>
        <v>(02) 6271 1000</v>
      </c>
      <c r="AG209" t="str">
        <f>""</f>
        <v/>
      </c>
      <c r="AH209" t="str">
        <f>""</f>
        <v/>
      </c>
      <c r="AI209" t="str">
        <f>"CORPORATE TREASURY [OLD] Corporate Treasury"</f>
        <v>CORPORATE TREASURY [OLD] Corporate Treasury</v>
      </c>
      <c r="AJ209" t="str">
        <f t="shared" si="88"/>
        <v>2603</v>
      </c>
    </row>
    <row r="210" spans="1:36" x14ac:dyDescent="0.25">
      <c r="A210" t="str">
        <f t="shared" si="82"/>
        <v>Department of Communications</v>
      </c>
      <c r="B210" t="str">
        <f>""</f>
        <v/>
      </c>
      <c r="C210" t="str">
        <f>"CN2675012"</f>
        <v>CN2675012</v>
      </c>
      <c r="D210" t="str">
        <f t="shared" si="89"/>
        <v>Robert McGlynn</v>
      </c>
      <c r="E210" s="44">
        <v>41955.35833333333</v>
      </c>
      <c r="F210" t="s">
        <v>2508</v>
      </c>
      <c r="G210" t="str">
        <f t="shared" si="83"/>
        <v>published</v>
      </c>
      <c r="H210" s="45">
        <v>41821</v>
      </c>
      <c r="I210" s="45">
        <v>42185</v>
      </c>
      <c r="J210" s="46">
        <v>56555</v>
      </c>
      <c r="K210" t="s">
        <v>314</v>
      </c>
      <c r="L210" t="str">
        <f>"0004604768"</f>
        <v>0004604768</v>
      </c>
      <c r="M210" t="str">
        <f>"Computer servers"</f>
        <v>Computer servers</v>
      </c>
      <c r="N210" t="str">
        <f>"Limited tender"</f>
        <v>Limited tender</v>
      </c>
      <c r="O210" t="str">
        <f>""</f>
        <v/>
      </c>
      <c r="Q210" t="str">
        <f t="shared" si="75"/>
        <v>No</v>
      </c>
      <c r="R210" t="str">
        <f>""</f>
        <v/>
      </c>
      <c r="S210" t="str">
        <f t="shared" si="76"/>
        <v>No</v>
      </c>
      <c r="T210" t="str">
        <f>""</f>
        <v/>
      </c>
      <c r="U210" t="str">
        <f t="shared" si="87"/>
        <v>No</v>
      </c>
      <c r="V210" t="str">
        <f>""</f>
        <v/>
      </c>
      <c r="X210" t="str">
        <f>"Offis Pty Ltd"</f>
        <v>Offis Pty Ltd</v>
      </c>
      <c r="Y210" t="str">
        <f>"Level 3, 55 Pyrmont Bridge Rd"</f>
        <v>Level 3, 55 Pyrmont Bridge Rd</v>
      </c>
      <c r="Z210" t="str">
        <f>"Pyrmont"</f>
        <v>Pyrmont</v>
      </c>
      <c r="AA210" t="str">
        <f>"2009"</f>
        <v>2009</v>
      </c>
      <c r="AB210" t="str">
        <f t="shared" si="79"/>
        <v>Australia</v>
      </c>
      <c r="AC210" t="str">
        <f t="shared" si="78"/>
        <v>No</v>
      </c>
      <c r="AD210" t="str">
        <f>"70077283811"</f>
        <v>70077283811</v>
      </c>
      <c r="AE210" t="str">
        <f>"PROCUREMENT MANAGER"</f>
        <v>PROCUREMENT MANAGER</v>
      </c>
      <c r="AF210" t="str">
        <f t="shared" si="72"/>
        <v>(02) 6271 1000</v>
      </c>
      <c r="AG210" t="str">
        <f>""</f>
        <v/>
      </c>
      <c r="AH210" t="str">
        <f>""</f>
        <v/>
      </c>
      <c r="AI210" t="str">
        <f>"CONSUMER &amp; CONTENT Consumer and Content Division"</f>
        <v>CONSUMER &amp; CONTENT Consumer and Content Division</v>
      </c>
      <c r="AJ210" t="str">
        <f t="shared" si="88"/>
        <v>2603</v>
      </c>
    </row>
    <row r="211" spans="1:36" x14ac:dyDescent="0.25">
      <c r="A211" t="str">
        <f t="shared" si="82"/>
        <v>Department of Communications</v>
      </c>
      <c r="B211" t="str">
        <f>""</f>
        <v/>
      </c>
      <c r="C211" t="str">
        <f>"CN2675002"</f>
        <v>CN2675002</v>
      </c>
      <c r="D211" t="str">
        <f t="shared" si="89"/>
        <v>Robert McGlynn</v>
      </c>
      <c r="E211" s="44">
        <v>41955.35833333333</v>
      </c>
      <c r="F211" t="s">
        <v>2508</v>
      </c>
      <c r="G211" t="str">
        <f t="shared" si="83"/>
        <v>published</v>
      </c>
      <c r="H211" s="45">
        <v>41821</v>
      </c>
      <c r="I211" s="45">
        <v>42185</v>
      </c>
      <c r="J211" s="46">
        <v>60792</v>
      </c>
      <c r="K211" t="s">
        <v>316</v>
      </c>
      <c r="L211" t="str">
        <f>"0004604769"</f>
        <v>0004604769</v>
      </c>
      <c r="M211" t="str">
        <f>"Computer servers"</f>
        <v>Computer servers</v>
      </c>
      <c r="N211" t="str">
        <f>"Limited tender"</f>
        <v>Limited tender</v>
      </c>
      <c r="O211" t="str">
        <f>""</f>
        <v/>
      </c>
      <c r="Q211" t="str">
        <f t="shared" si="75"/>
        <v>No</v>
      </c>
      <c r="R211" t="str">
        <f>""</f>
        <v/>
      </c>
      <c r="S211" t="str">
        <f t="shared" si="76"/>
        <v>No</v>
      </c>
      <c r="T211" t="str">
        <f>""</f>
        <v/>
      </c>
      <c r="U211" t="str">
        <f t="shared" si="87"/>
        <v>No</v>
      </c>
      <c r="V211" t="str">
        <f>""</f>
        <v/>
      </c>
      <c r="X211" t="str">
        <f>"Offis Pty Ltd"</f>
        <v>Offis Pty Ltd</v>
      </c>
      <c r="Y211" t="str">
        <f>"Level 3, 55 Pyrmont Bridge Rd"</f>
        <v>Level 3, 55 Pyrmont Bridge Rd</v>
      </c>
      <c r="Z211" t="str">
        <f>"Pyrmont"</f>
        <v>Pyrmont</v>
      </c>
      <c r="AA211" t="str">
        <f>"2009"</f>
        <v>2009</v>
      </c>
      <c r="AB211" t="str">
        <f t="shared" si="79"/>
        <v>Australia</v>
      </c>
      <c r="AC211" t="str">
        <f t="shared" si="78"/>
        <v>No</v>
      </c>
      <c r="AD211" t="str">
        <f>"70077283811"</f>
        <v>70077283811</v>
      </c>
      <c r="AE211" t="str">
        <f>"PROCUREMENT MANAGER"</f>
        <v>PROCUREMENT MANAGER</v>
      </c>
      <c r="AF211" t="str">
        <f t="shared" si="72"/>
        <v>(02) 6271 1000</v>
      </c>
      <c r="AG211" t="str">
        <f>""</f>
        <v/>
      </c>
      <c r="AH211" t="str">
        <f>""</f>
        <v/>
      </c>
      <c r="AI211" t="str">
        <f>"CONSUMER &amp; CONTENT Consumer and Content Division"</f>
        <v>CONSUMER &amp; CONTENT Consumer and Content Division</v>
      </c>
      <c r="AJ211" t="str">
        <f t="shared" si="88"/>
        <v>2603</v>
      </c>
    </row>
    <row r="212" spans="1:36" x14ac:dyDescent="0.25">
      <c r="A212" t="str">
        <f t="shared" si="82"/>
        <v>Department of Communications</v>
      </c>
      <c r="B212" t="str">
        <f>""</f>
        <v/>
      </c>
      <c r="C212" t="str">
        <f>"CN2674992"</f>
        <v>CN2674992</v>
      </c>
      <c r="D212" t="str">
        <f t="shared" si="89"/>
        <v>Robert McGlynn</v>
      </c>
      <c r="E212" s="44">
        <v>41955.35833333333</v>
      </c>
      <c r="F212" t="s">
        <v>2508</v>
      </c>
      <c r="G212" t="str">
        <f t="shared" si="83"/>
        <v>published</v>
      </c>
      <c r="H212" s="45">
        <v>41932</v>
      </c>
      <c r="I212" s="45">
        <v>41957</v>
      </c>
      <c r="J212" s="46">
        <v>35288</v>
      </c>
      <c r="K212" t="s">
        <v>1717</v>
      </c>
      <c r="L212" t="str">
        <f>"0004604770"</f>
        <v>0004604770</v>
      </c>
      <c r="M212" t="str">
        <f>"Information technology consultation services"</f>
        <v>Information technology consultation services</v>
      </c>
      <c r="N212" t="str">
        <f>"Open tender"</f>
        <v>Open tender</v>
      </c>
      <c r="O212" t="str">
        <f>"20000194"</f>
        <v>20000194</v>
      </c>
      <c r="P212" t="str">
        <f>"SON466625"</f>
        <v>SON466625</v>
      </c>
      <c r="Q212" t="str">
        <f t="shared" si="75"/>
        <v>No</v>
      </c>
      <c r="R212" t="str">
        <f>""</f>
        <v/>
      </c>
      <c r="S212" t="str">
        <f t="shared" si="76"/>
        <v>No</v>
      </c>
      <c r="T212" t="str">
        <f>""</f>
        <v/>
      </c>
      <c r="U212" t="str">
        <f t="shared" si="87"/>
        <v>No</v>
      </c>
      <c r="V212" t="str">
        <f>""</f>
        <v/>
      </c>
      <c r="X212" t="str">
        <f>"INFRONT SYSTEMS"</f>
        <v>INFRONT SYSTEMS</v>
      </c>
      <c r="Y212" t="str">
        <f>"PO Box 3866"</f>
        <v>PO Box 3866</v>
      </c>
      <c r="Z212" t="str">
        <f>"MANUKA"</f>
        <v>MANUKA</v>
      </c>
      <c r="AA212" t="str">
        <f>"2603"</f>
        <v>2603</v>
      </c>
      <c r="AB212" t="str">
        <f t="shared" si="79"/>
        <v>Australia</v>
      </c>
      <c r="AC212" t="str">
        <f t="shared" si="78"/>
        <v>No</v>
      </c>
      <c r="AD212" t="str">
        <f>"72084698699"</f>
        <v>72084698699</v>
      </c>
      <c r="AE212" t="str">
        <f>"ADMIN OFFICER"</f>
        <v>ADMIN OFFICER</v>
      </c>
      <c r="AF212" t="str">
        <f t="shared" si="72"/>
        <v>(02) 6271 1000</v>
      </c>
      <c r="AG212" t="str">
        <f>""</f>
        <v/>
      </c>
      <c r="AH212" t="str">
        <f>""</f>
        <v/>
      </c>
      <c r="AI212" t="str">
        <f>"CORPORATE TREASURY [OLD] Corporate Treasury"</f>
        <v>CORPORATE TREASURY [OLD] Corporate Treasury</v>
      </c>
      <c r="AJ212" t="str">
        <f t="shared" si="88"/>
        <v>2603</v>
      </c>
    </row>
    <row r="213" spans="1:36" x14ac:dyDescent="0.25">
      <c r="A213" t="str">
        <f t="shared" si="82"/>
        <v>Department of Communications</v>
      </c>
      <c r="B213" t="str">
        <f>""</f>
        <v/>
      </c>
      <c r="C213" t="str">
        <f>"CN2674982"</f>
        <v>CN2674982</v>
      </c>
      <c r="D213" t="str">
        <f t="shared" si="89"/>
        <v>Robert McGlynn</v>
      </c>
      <c r="E213" s="44">
        <v>41955.35833333333</v>
      </c>
      <c r="F213" t="s">
        <v>2508</v>
      </c>
      <c r="G213" t="str">
        <f t="shared" si="83"/>
        <v>published</v>
      </c>
      <c r="H213" s="45">
        <v>41953</v>
      </c>
      <c r="I213" s="45">
        <v>42185</v>
      </c>
      <c r="J213" s="46">
        <v>20592</v>
      </c>
      <c r="K213" t="s">
        <v>2105</v>
      </c>
      <c r="L213" t="str">
        <f>"0004604771"</f>
        <v>0004604771</v>
      </c>
      <c r="M213" t="str">
        <f>"Audit services"</f>
        <v>Audit services</v>
      </c>
      <c r="N213" t="str">
        <f>"Open tender"</f>
        <v>Open tender</v>
      </c>
      <c r="O213" t="str">
        <f>"ACBPS127074"</f>
        <v>ACBPS127074</v>
      </c>
      <c r="P213" t="str">
        <f>"SON1837491"</f>
        <v>SON1837491</v>
      </c>
      <c r="Q213" t="str">
        <f t="shared" si="75"/>
        <v>No</v>
      </c>
      <c r="R213" t="str">
        <f>""</f>
        <v/>
      </c>
      <c r="S213" t="str">
        <f t="shared" si="76"/>
        <v>No</v>
      </c>
      <c r="T213" t="str">
        <f>""</f>
        <v/>
      </c>
      <c r="U213" t="str">
        <f t="shared" si="87"/>
        <v>No</v>
      </c>
      <c r="V213" t="str">
        <f>""</f>
        <v/>
      </c>
      <c r="X213" t="str">
        <f>"Synergy Group Australia LTD"</f>
        <v>Synergy Group Australia LTD</v>
      </c>
      <c r="Y213" t="str">
        <f>"PO Box 5085"</f>
        <v>PO Box 5085</v>
      </c>
      <c r="Z213" t="str">
        <f>"Braddon"</f>
        <v>Braddon</v>
      </c>
      <c r="AA213" t="str">
        <f>"2612"</f>
        <v>2612</v>
      </c>
      <c r="AB213" t="str">
        <f t="shared" si="79"/>
        <v>Australia</v>
      </c>
      <c r="AC213" t="str">
        <f t="shared" si="78"/>
        <v>No</v>
      </c>
      <c r="AD213" t="str">
        <f>"65119369827"</f>
        <v>65119369827</v>
      </c>
      <c r="AE213" t="str">
        <f>"PROCUREMENT MANAGER"</f>
        <v>PROCUREMENT MANAGER</v>
      </c>
      <c r="AF213" t="str">
        <f t="shared" si="72"/>
        <v>(02) 6271 1000</v>
      </c>
      <c r="AG213" t="str">
        <f>""</f>
        <v/>
      </c>
      <c r="AH213" t="str">
        <f>""</f>
        <v/>
      </c>
      <c r="AI213" t="str">
        <f>"DIGITAL PRODUCTIVITY Digital Productivity Division"</f>
        <v>DIGITAL PRODUCTIVITY Digital Productivity Division</v>
      </c>
      <c r="AJ213" t="str">
        <f t="shared" si="88"/>
        <v>2603</v>
      </c>
    </row>
    <row r="214" spans="1:36" x14ac:dyDescent="0.25">
      <c r="A214" t="str">
        <f t="shared" si="82"/>
        <v>Department of Communications</v>
      </c>
      <c r="B214" t="str">
        <f>""</f>
        <v/>
      </c>
      <c r="C214" t="str">
        <f>"CN2674962"</f>
        <v>CN2674962</v>
      </c>
      <c r="D214" t="str">
        <f t="shared" si="89"/>
        <v>Robert McGlynn</v>
      </c>
      <c r="E214" s="44">
        <v>41955.35833333333</v>
      </c>
      <c r="F214" t="s">
        <v>2508</v>
      </c>
      <c r="G214" t="str">
        <f t="shared" si="83"/>
        <v>published</v>
      </c>
      <c r="H214" s="45">
        <v>41953</v>
      </c>
      <c r="I214" s="45">
        <v>42137</v>
      </c>
      <c r="J214" s="46">
        <v>117000</v>
      </c>
      <c r="K214" t="s">
        <v>1721</v>
      </c>
      <c r="L214" t="str">
        <f>"0004604773"</f>
        <v>0004604773</v>
      </c>
      <c r="M214" t="str">
        <f>"Temporary personnel services"</f>
        <v>Temporary personnel services</v>
      </c>
      <c r="N214" t="str">
        <f>"Open tender"</f>
        <v>Open tender</v>
      </c>
      <c r="O214" t="str">
        <f>"DCON/12/244"</f>
        <v>DCON/12/244</v>
      </c>
      <c r="P214" t="str">
        <f>"SON1180562"</f>
        <v>SON1180562</v>
      </c>
      <c r="Q214" t="str">
        <f t="shared" si="75"/>
        <v>No</v>
      </c>
      <c r="R214" t="str">
        <f>""</f>
        <v/>
      </c>
      <c r="S214" t="str">
        <f t="shared" si="76"/>
        <v>No</v>
      </c>
      <c r="T214" t="str">
        <f>""</f>
        <v/>
      </c>
      <c r="U214" t="str">
        <f t="shared" si="87"/>
        <v>No</v>
      </c>
      <c r="V214" t="str">
        <f>""</f>
        <v/>
      </c>
      <c r="X214" t="str">
        <f>"HAYS PERSONNEL SERVICES (AUST) P/L"</f>
        <v>HAYS PERSONNEL SERVICES (AUST) P/L</v>
      </c>
      <c r="Y214" t="str">
        <f>"GPO BOX 3868"</f>
        <v>GPO BOX 3868</v>
      </c>
      <c r="Z214" t="str">
        <f>"SYDNEY"</f>
        <v>SYDNEY</v>
      </c>
      <c r="AA214" t="str">
        <f>"2001"</f>
        <v>2001</v>
      </c>
      <c r="AB214" t="str">
        <f t="shared" si="79"/>
        <v>Australia</v>
      </c>
      <c r="AC214" t="str">
        <f t="shared" si="78"/>
        <v>No</v>
      </c>
      <c r="AD214" t="str">
        <f>"47001407281"</f>
        <v>47001407281</v>
      </c>
      <c r="AE214" t="str">
        <f>"ADMIN OFFICER"</f>
        <v>ADMIN OFFICER</v>
      </c>
      <c r="AF214" t="str">
        <f t="shared" si="72"/>
        <v>(02) 6271 1000</v>
      </c>
      <c r="AG214" t="str">
        <f>""</f>
        <v/>
      </c>
      <c r="AH214" t="str">
        <f>""</f>
        <v/>
      </c>
      <c r="AI214" t="str">
        <f>"CORPORATE TREASURY [OLD] Corporate Treasury"</f>
        <v>CORPORATE TREASURY [OLD] Corporate Treasury</v>
      </c>
      <c r="AJ214" t="str">
        <f t="shared" si="88"/>
        <v>2603</v>
      </c>
    </row>
    <row r="215" spans="1:36" x14ac:dyDescent="0.25">
      <c r="A215" t="str">
        <f t="shared" si="82"/>
        <v>Department of Communications</v>
      </c>
      <c r="B215" t="str">
        <f>""</f>
        <v/>
      </c>
      <c r="C215" t="str">
        <f>"CN3037992"</f>
        <v>CN3037992</v>
      </c>
      <c r="D215" t="str">
        <f>"Leesa O'connor"</f>
        <v>Leesa O'connor</v>
      </c>
      <c r="E215" s="44">
        <v>42130.60833333333</v>
      </c>
      <c r="F215" t="s">
        <v>2508</v>
      </c>
      <c r="G215" t="str">
        <f t="shared" si="83"/>
        <v>published</v>
      </c>
      <c r="H215" s="45">
        <v>41953</v>
      </c>
      <c r="I215" s="45">
        <v>42185</v>
      </c>
      <c r="J215" s="46">
        <v>20000</v>
      </c>
      <c r="K215" t="s">
        <v>1721</v>
      </c>
      <c r="L215" t="str">
        <f>"0004604773"</f>
        <v>0004604773</v>
      </c>
      <c r="M215" t="str">
        <f>"Temporary personnel services"</f>
        <v>Temporary personnel services</v>
      </c>
      <c r="N215" t="str">
        <f>"Open tender"</f>
        <v>Open tender</v>
      </c>
      <c r="O215" t="str">
        <f>"DCON/12/244"</f>
        <v>DCON/12/244</v>
      </c>
      <c r="P215" t="str">
        <f>"SON1180562"</f>
        <v>SON1180562</v>
      </c>
      <c r="Q215" t="str">
        <f t="shared" si="75"/>
        <v>No</v>
      </c>
      <c r="R215" t="str">
        <f>""</f>
        <v/>
      </c>
      <c r="S215" t="str">
        <f t="shared" si="76"/>
        <v>No</v>
      </c>
      <c r="T215" t="str">
        <f>""</f>
        <v/>
      </c>
      <c r="U215" t="str">
        <f t="shared" si="87"/>
        <v>No</v>
      </c>
      <c r="V215" t="str">
        <f>""</f>
        <v/>
      </c>
      <c r="X215" t="str">
        <f>"HAYS PERSONNEL SERVICES (AUST) P/L"</f>
        <v>HAYS PERSONNEL SERVICES (AUST) P/L</v>
      </c>
      <c r="Y215" t="str">
        <f>"GPO BOX 3868"</f>
        <v>GPO BOX 3868</v>
      </c>
      <c r="Z215" t="str">
        <f>"SYDNEY"</f>
        <v>SYDNEY</v>
      </c>
      <c r="AA215" t="str">
        <f>"2001"</f>
        <v>2001</v>
      </c>
      <c r="AB215" t="str">
        <f t="shared" si="79"/>
        <v>Australia</v>
      </c>
      <c r="AC215" t="str">
        <f t="shared" si="78"/>
        <v>No</v>
      </c>
      <c r="AD215" t="str">
        <f>"47001407281"</f>
        <v>47001407281</v>
      </c>
      <c r="AE215" t="str">
        <f>"ADMIN OFFICER"</f>
        <v>ADMIN OFFICER</v>
      </c>
      <c r="AF215" t="str">
        <f t="shared" si="72"/>
        <v>(02) 6271 1000</v>
      </c>
      <c r="AG215" t="str">
        <f>""</f>
        <v/>
      </c>
      <c r="AH215" t="str">
        <f>""</f>
        <v/>
      </c>
      <c r="AI215" t="str">
        <f>"CORPORATE TREASURY [OLD] Corporate Treasury"</f>
        <v>CORPORATE TREASURY [OLD] Corporate Treasury</v>
      </c>
      <c r="AJ215" t="str">
        <f t="shared" si="88"/>
        <v>2603</v>
      </c>
    </row>
    <row r="216" spans="1:36" x14ac:dyDescent="0.25">
      <c r="A216" t="str">
        <f t="shared" si="82"/>
        <v>Department of Communications</v>
      </c>
      <c r="B216" t="str">
        <f>""</f>
        <v/>
      </c>
      <c r="C216" t="str">
        <f>"CN2674942"</f>
        <v>CN2674942</v>
      </c>
      <c r="D216" t="str">
        <f>"Robert McGlynn"</f>
        <v>Robert McGlynn</v>
      </c>
      <c r="E216" s="44">
        <v>41955.35833333333</v>
      </c>
      <c r="F216" t="s">
        <v>2508</v>
      </c>
      <c r="G216" t="str">
        <f t="shared" si="83"/>
        <v>published</v>
      </c>
      <c r="H216" s="45">
        <v>41949</v>
      </c>
      <c r="I216" s="45">
        <v>42185</v>
      </c>
      <c r="J216" s="46">
        <v>24000</v>
      </c>
      <c r="K216" t="s">
        <v>2524</v>
      </c>
      <c r="L216" t="str">
        <f>"0004604776"</f>
        <v>0004604776</v>
      </c>
      <c r="M216" t="str">
        <f>"Interior plant landscaping services"</f>
        <v>Interior plant landscaping services</v>
      </c>
      <c r="N216" t="str">
        <f>"Limited tender"</f>
        <v>Limited tender</v>
      </c>
      <c r="O216" t="str">
        <f>""</f>
        <v/>
      </c>
      <c r="Q216" t="str">
        <f t="shared" si="75"/>
        <v>No</v>
      </c>
      <c r="R216" t="str">
        <f>""</f>
        <v/>
      </c>
      <c r="S216" t="str">
        <f t="shared" si="76"/>
        <v>No</v>
      </c>
      <c r="T216" t="str">
        <f>""</f>
        <v/>
      </c>
      <c r="U216" t="str">
        <f t="shared" si="87"/>
        <v>No</v>
      </c>
      <c r="V216" t="str">
        <f>""</f>
        <v/>
      </c>
      <c r="X216" t="str">
        <f>"Andrew Dimoff Discretionary Trust"</f>
        <v>Andrew Dimoff Discretionary Trust</v>
      </c>
      <c r="Y216" t="str">
        <f>"PO Box 4190"</f>
        <v>PO Box 4190</v>
      </c>
      <c r="Z216" t="str">
        <f>"Manuka"</f>
        <v>Manuka</v>
      </c>
      <c r="AA216" t="str">
        <f>"2603"</f>
        <v>2603</v>
      </c>
      <c r="AB216" t="str">
        <f t="shared" si="79"/>
        <v>Australia</v>
      </c>
      <c r="AC216" t="str">
        <f t="shared" ref="AC216:AC251" si="90">"No"</f>
        <v>No</v>
      </c>
      <c r="AD216" t="str">
        <f>"90570120236"</f>
        <v>90570120236</v>
      </c>
      <c r="AE216" t="str">
        <f>"ADMIN OFFICER"</f>
        <v>ADMIN OFFICER</v>
      </c>
      <c r="AF216" t="str">
        <f t="shared" si="72"/>
        <v>(02) 6271 1000</v>
      </c>
      <c r="AG216" t="str">
        <f>""</f>
        <v/>
      </c>
      <c r="AH216" t="str">
        <f>""</f>
        <v/>
      </c>
      <c r="AI216" t="str">
        <f>"CORPORATE TREASURY [OLD] Corporate Treasury"</f>
        <v>CORPORATE TREASURY [OLD] Corporate Treasury</v>
      </c>
      <c r="AJ216" t="str">
        <f t="shared" si="88"/>
        <v>2603</v>
      </c>
    </row>
    <row r="217" spans="1:36" x14ac:dyDescent="0.25">
      <c r="A217" t="str">
        <f t="shared" si="82"/>
        <v>Department of Communications</v>
      </c>
      <c r="B217" t="str">
        <f>""</f>
        <v/>
      </c>
      <c r="C217" t="str">
        <f>"CN2700371"</f>
        <v>CN2700371</v>
      </c>
      <c r="D217" t="str">
        <f>"David Kenny"</f>
        <v>David Kenny</v>
      </c>
      <c r="E217" s="44">
        <v>41967.613194444442</v>
      </c>
      <c r="F217" t="s">
        <v>2508</v>
      </c>
      <c r="G217" t="str">
        <f t="shared" si="83"/>
        <v>published</v>
      </c>
      <c r="H217" s="45">
        <v>41961</v>
      </c>
      <c r="I217" s="45">
        <v>41978</v>
      </c>
      <c r="J217" s="46">
        <v>26400</v>
      </c>
      <c r="K217" t="s">
        <v>1725</v>
      </c>
      <c r="L217" t="str">
        <f>"0004604779"</f>
        <v>0004604779</v>
      </c>
      <c r="M217" t="str">
        <f>"Information technology consultation services"</f>
        <v>Information technology consultation services</v>
      </c>
      <c r="N217" t="str">
        <f>"Open tender"</f>
        <v>Open tender</v>
      </c>
      <c r="O217" t="str">
        <f>"11/000006268"</f>
        <v>11/000006268</v>
      </c>
      <c r="P217" t="str">
        <f>"SON867801"</f>
        <v>SON867801</v>
      </c>
      <c r="Q217" t="str">
        <f t="shared" si="75"/>
        <v>No</v>
      </c>
      <c r="R217" t="str">
        <f>""</f>
        <v/>
      </c>
      <c r="S217" t="str">
        <f t="shared" si="76"/>
        <v>No</v>
      </c>
      <c r="T217" t="str">
        <f>""</f>
        <v/>
      </c>
      <c r="U217" t="str">
        <f t="shared" si="87"/>
        <v>No</v>
      </c>
      <c r="V217" t="str">
        <f>""</f>
        <v/>
      </c>
      <c r="X217" t="str">
        <f>"Callida Consulting"</f>
        <v>Callida Consulting</v>
      </c>
      <c r="Y217" t="str">
        <f>"PO Box 4207"</f>
        <v>PO Box 4207</v>
      </c>
      <c r="Z217" t="str">
        <f>"KINGSTON"</f>
        <v>KINGSTON</v>
      </c>
      <c r="AA217" t="str">
        <f>"2604"</f>
        <v>2604</v>
      </c>
      <c r="AB217" t="str">
        <f t="shared" ref="AB217:AB251" si="91">"Australia"</f>
        <v>Australia</v>
      </c>
      <c r="AC217" t="str">
        <f t="shared" si="90"/>
        <v>No</v>
      </c>
      <c r="AD217" t="str">
        <f>"40154007664"</f>
        <v>40154007664</v>
      </c>
      <c r="AE217" t="str">
        <f>"ADMIN OFFICER"</f>
        <v>ADMIN OFFICER</v>
      </c>
      <c r="AF217" t="str">
        <f t="shared" si="72"/>
        <v>(02) 6271 1000</v>
      </c>
      <c r="AG217" t="str">
        <f>""</f>
        <v/>
      </c>
      <c r="AH217" t="str">
        <f>""</f>
        <v/>
      </c>
      <c r="AI217" t="str">
        <f>"CORPORATE TREASURY [OLD] Corporate Treasury"</f>
        <v>CORPORATE TREASURY [OLD] Corporate Treasury</v>
      </c>
      <c r="AJ217" t="str">
        <f t="shared" si="88"/>
        <v>2603</v>
      </c>
    </row>
    <row r="218" spans="1:36" x14ac:dyDescent="0.25">
      <c r="A218" t="str">
        <f t="shared" si="82"/>
        <v>Department of Communications</v>
      </c>
      <c r="B218" t="str">
        <f>""</f>
        <v/>
      </c>
      <c r="C218" t="str">
        <f>"CN2885802"</f>
        <v>CN2885802</v>
      </c>
      <c r="D218" t="str">
        <f>"David Kenny"</f>
        <v>David Kenny</v>
      </c>
      <c r="E218" s="44">
        <v>42062.686111111114</v>
      </c>
      <c r="F218" t="s">
        <v>2508</v>
      </c>
      <c r="G218" t="str">
        <f t="shared" si="83"/>
        <v>published</v>
      </c>
      <c r="H218" s="45">
        <v>41961</v>
      </c>
      <c r="I218" s="45">
        <v>42185</v>
      </c>
      <c r="J218" s="46">
        <v>10526.79</v>
      </c>
      <c r="K218" t="s">
        <v>1726</v>
      </c>
      <c r="L218" t="str">
        <f>"0004604780"</f>
        <v>0004604780</v>
      </c>
      <c r="M218" t="str">
        <f>"Temporary personnel services"</f>
        <v>Temporary personnel services</v>
      </c>
      <c r="N218" t="str">
        <f>"Open tender"</f>
        <v>Open tender</v>
      </c>
      <c r="O218" t="str">
        <f>"DCON/12/244"</f>
        <v>DCON/12/244</v>
      </c>
      <c r="P218" t="str">
        <f>"SON1180562"</f>
        <v>SON1180562</v>
      </c>
      <c r="Q218" t="str">
        <f t="shared" si="75"/>
        <v>No</v>
      </c>
      <c r="R218" t="str">
        <f>""</f>
        <v/>
      </c>
      <c r="S218" t="str">
        <f t="shared" si="76"/>
        <v>No</v>
      </c>
      <c r="T218" t="str">
        <f>""</f>
        <v/>
      </c>
      <c r="U218" t="str">
        <f t="shared" si="87"/>
        <v>No</v>
      </c>
      <c r="V218" t="str">
        <f>""</f>
        <v/>
      </c>
      <c r="X218" t="str">
        <f>"DFP Recruitment Services"</f>
        <v>DFP Recruitment Services</v>
      </c>
      <c r="Y218" t="str">
        <f>"388 Collins Street"</f>
        <v>388 Collins Street</v>
      </c>
      <c r="Z218" t="str">
        <f>"Melbourne"</f>
        <v>Melbourne</v>
      </c>
      <c r="AA218" t="str">
        <f>"3000"</f>
        <v>3000</v>
      </c>
      <c r="AB218" t="str">
        <f t="shared" si="91"/>
        <v>Australia</v>
      </c>
      <c r="AC218" t="str">
        <f t="shared" si="90"/>
        <v>No</v>
      </c>
      <c r="AD218" t="str">
        <f>"66394749447"</f>
        <v>66394749447</v>
      </c>
      <c r="AE218" t="str">
        <f>"ADMIN OFFICER"</f>
        <v>ADMIN OFFICER</v>
      </c>
      <c r="AF218" t="str">
        <f t="shared" si="72"/>
        <v>(02) 6271 1000</v>
      </c>
      <c r="AG218" t="str">
        <f>""</f>
        <v/>
      </c>
      <c r="AH218" t="str">
        <f>""</f>
        <v/>
      </c>
      <c r="AI218" t="str">
        <f>"CORPORATE TREASURY [OLD] Corporate Treasury"</f>
        <v>CORPORATE TREASURY [OLD] Corporate Treasury</v>
      </c>
      <c r="AJ218" t="str">
        <f t="shared" si="88"/>
        <v>2603</v>
      </c>
    </row>
    <row r="219" spans="1:36" x14ac:dyDescent="0.25">
      <c r="A219" t="str">
        <f t="shared" si="82"/>
        <v>Department of Communications</v>
      </c>
      <c r="B219" t="str">
        <f>""</f>
        <v/>
      </c>
      <c r="C219" t="str">
        <f>"CN2700361"</f>
        <v>CN2700361</v>
      </c>
      <c r="D219" t="str">
        <f>"David Kenny"</f>
        <v>David Kenny</v>
      </c>
      <c r="E219" s="44">
        <v>41967.613194444442</v>
      </c>
      <c r="F219" t="s">
        <v>2508</v>
      </c>
      <c r="G219" t="str">
        <f t="shared" si="83"/>
        <v>published</v>
      </c>
      <c r="H219" s="45">
        <v>41963</v>
      </c>
      <c r="I219" s="45">
        <v>42062</v>
      </c>
      <c r="J219" s="46">
        <v>74440</v>
      </c>
      <c r="K219" t="s">
        <v>2418</v>
      </c>
      <c r="L219" t="str">
        <f>"0004604781"</f>
        <v>0004604781</v>
      </c>
      <c r="M219" t="str">
        <f>"Project management"</f>
        <v>Project management</v>
      </c>
      <c r="N219" t="str">
        <f>"Limited tender"</f>
        <v>Limited tender</v>
      </c>
      <c r="O219" t="str">
        <f>""</f>
        <v/>
      </c>
      <c r="Q219" t="str">
        <f t="shared" si="75"/>
        <v>No</v>
      </c>
      <c r="R219" t="str">
        <f>""</f>
        <v/>
      </c>
      <c r="S219" t="str">
        <f t="shared" si="76"/>
        <v>No</v>
      </c>
      <c r="T219" t="str">
        <f>""</f>
        <v/>
      </c>
      <c r="U219" t="str">
        <f>"Yes"</f>
        <v>Yes</v>
      </c>
      <c r="V219" t="str">
        <f>"Need for independent research or assessment"</f>
        <v>Need for independent research or assessment</v>
      </c>
      <c r="X219" t="str">
        <f>"Amanda Jane Nairn"</f>
        <v>Amanda Jane Nairn</v>
      </c>
      <c r="Y219" t="str">
        <f>"105 Holt Avenue"</f>
        <v>105 Holt Avenue</v>
      </c>
      <c r="Z219" t="str">
        <f>"Mosman"</f>
        <v>Mosman</v>
      </c>
      <c r="AA219" t="str">
        <f>"2088"</f>
        <v>2088</v>
      </c>
      <c r="AB219" t="str">
        <f t="shared" si="91"/>
        <v>Australia</v>
      </c>
      <c r="AC219" t="str">
        <f t="shared" si="90"/>
        <v>No</v>
      </c>
      <c r="AD219" t="str">
        <f>"26428118297"</f>
        <v>26428118297</v>
      </c>
      <c r="AE219" t="str">
        <f>"PROCUREMENT MANAGER"</f>
        <v>PROCUREMENT MANAGER</v>
      </c>
      <c r="AF219" t="str">
        <f t="shared" si="72"/>
        <v>(02) 6271 1000</v>
      </c>
      <c r="AG219" t="str">
        <f>""</f>
        <v/>
      </c>
      <c r="AH219" t="str">
        <f>""</f>
        <v/>
      </c>
      <c r="AI219" t="str">
        <f>"STRATEGY Strategy Division"</f>
        <v>STRATEGY Strategy Division</v>
      </c>
      <c r="AJ219" t="str">
        <f t="shared" si="88"/>
        <v>2603</v>
      </c>
    </row>
    <row r="220" spans="1:36" x14ac:dyDescent="0.25">
      <c r="A220" t="str">
        <f t="shared" si="82"/>
        <v>Department of Communications</v>
      </c>
      <c r="B220" t="str">
        <f>""</f>
        <v/>
      </c>
      <c r="C220" t="str">
        <f>"CN2700351"</f>
        <v>CN2700351</v>
      </c>
      <c r="D220" t="str">
        <f>"David Kenny"</f>
        <v>David Kenny</v>
      </c>
      <c r="E220" s="44">
        <v>41967.613194444442</v>
      </c>
      <c r="F220" t="s">
        <v>2508</v>
      </c>
      <c r="G220" t="str">
        <f t="shared" si="83"/>
        <v>published</v>
      </c>
      <c r="H220" s="45">
        <v>41912</v>
      </c>
      <c r="I220" s="45">
        <v>42185</v>
      </c>
      <c r="J220" s="46">
        <v>100000</v>
      </c>
      <c r="K220" t="s">
        <v>2301</v>
      </c>
      <c r="L220" t="str">
        <f>"0004604782"</f>
        <v>0004604782</v>
      </c>
      <c r="M220" t="str">
        <f>"Legal services"</f>
        <v>Legal services</v>
      </c>
      <c r="N220" t="str">
        <f>"Prequalified tender"</f>
        <v>Prequalified tender</v>
      </c>
      <c r="O220" t="str">
        <f>""</f>
        <v/>
      </c>
      <c r="Q220" t="str">
        <f>"Yes"</f>
        <v>Yes</v>
      </c>
      <c r="R220" t="str">
        <f>"Intellectual property"</f>
        <v>Intellectual property</v>
      </c>
      <c r="S220" t="str">
        <f>"Yes"</f>
        <v>Yes</v>
      </c>
      <c r="T220" t="str">
        <f>"Intellectual property"</f>
        <v>Intellectual property</v>
      </c>
      <c r="U220" t="str">
        <f>"Yes"</f>
        <v>Yes</v>
      </c>
      <c r="V220" t="str">
        <f>"Need for specialised or professional skills"</f>
        <v>Need for specialised or professional skills</v>
      </c>
      <c r="X220" t="str">
        <f>"Lander &amp; Rogers Lawyers"</f>
        <v>Lander &amp; Rogers Lawyers</v>
      </c>
      <c r="Y220" t="str">
        <f>"GPO Box 1842Q"</f>
        <v>GPO Box 1842Q</v>
      </c>
      <c r="Z220" t="str">
        <f>"Melbourne"</f>
        <v>Melbourne</v>
      </c>
      <c r="AA220" t="str">
        <f>"3001"</f>
        <v>3001</v>
      </c>
      <c r="AB220" t="str">
        <f t="shared" si="91"/>
        <v>Australia</v>
      </c>
      <c r="AC220" t="str">
        <f t="shared" si="90"/>
        <v>No</v>
      </c>
      <c r="AD220" t="str">
        <f>"58207240529"</f>
        <v>58207240529</v>
      </c>
      <c r="AE220" t="str">
        <f>"PROCUREMENT MANAGER"</f>
        <v>PROCUREMENT MANAGER</v>
      </c>
      <c r="AF220" t="str">
        <f t="shared" si="72"/>
        <v>(02) 6271 1000</v>
      </c>
      <c r="AG220" t="str">
        <f>""</f>
        <v/>
      </c>
      <c r="AH220" t="str">
        <f>""</f>
        <v/>
      </c>
      <c r="AI220" t="str">
        <f>"GENERAL COUNSEL Office of the General Counsel"</f>
        <v>GENERAL COUNSEL Office of the General Counsel</v>
      </c>
      <c r="AJ220" t="str">
        <f>"2000"</f>
        <v>2000</v>
      </c>
    </row>
    <row r="221" spans="1:36" x14ac:dyDescent="0.25">
      <c r="A221" t="str">
        <f t="shared" si="82"/>
        <v>Department of Communications</v>
      </c>
      <c r="B221" t="str">
        <f>""</f>
        <v/>
      </c>
      <c r="C221" t="str">
        <f>"CN2730191"</f>
        <v>CN2730191</v>
      </c>
      <c r="D221" t="str">
        <f>"David Kenny"</f>
        <v>David Kenny</v>
      </c>
      <c r="E221" s="44">
        <v>41981.447916666664</v>
      </c>
      <c r="F221" t="s">
        <v>2508</v>
      </c>
      <c r="G221" t="str">
        <f t="shared" si="83"/>
        <v>published</v>
      </c>
      <c r="H221" s="45">
        <v>41970</v>
      </c>
      <c r="I221" s="45">
        <v>42097</v>
      </c>
      <c r="J221" s="46">
        <v>53000</v>
      </c>
      <c r="K221" t="s">
        <v>1729</v>
      </c>
      <c r="L221" t="str">
        <f>"0004604783"</f>
        <v>0004604783</v>
      </c>
      <c r="M221" t="str">
        <f>"Temporary personnel services"</f>
        <v>Temporary personnel services</v>
      </c>
      <c r="N221" t="str">
        <f>"Open tender"</f>
        <v>Open tender</v>
      </c>
      <c r="O221" t="str">
        <f>"DCON/12/244"</f>
        <v>DCON/12/244</v>
      </c>
      <c r="P221" t="str">
        <f>"SON1180562"</f>
        <v>SON1180562</v>
      </c>
      <c r="Q221" t="str">
        <f t="shared" ref="Q221:Q230" si="92">"No"</f>
        <v>No</v>
      </c>
      <c r="R221" t="str">
        <f>""</f>
        <v/>
      </c>
      <c r="S221" t="str">
        <f t="shared" ref="S221:S230" si="93">"No"</f>
        <v>No</v>
      </c>
      <c r="T221" t="str">
        <f>""</f>
        <v/>
      </c>
      <c r="U221" t="str">
        <f t="shared" ref="U221:U230" si="94">"No"</f>
        <v>No</v>
      </c>
      <c r="V221" t="str">
        <f>""</f>
        <v/>
      </c>
      <c r="X221" t="str">
        <f>"Horizon One Recruitment Pty ltd"</f>
        <v>Horizon One Recruitment Pty ltd</v>
      </c>
      <c r="Y221" t="str">
        <f>"level1, 27 Torrens Street"</f>
        <v>level1, 27 Torrens Street</v>
      </c>
      <c r="Z221" t="str">
        <f>"Braddon"</f>
        <v>Braddon</v>
      </c>
      <c r="AA221" t="str">
        <f>"2612"</f>
        <v>2612</v>
      </c>
      <c r="AB221" t="str">
        <f t="shared" si="91"/>
        <v>Australia</v>
      </c>
      <c r="AC221" t="str">
        <f t="shared" si="90"/>
        <v>No</v>
      </c>
      <c r="AD221" t="str">
        <f>"98129885838"</f>
        <v>98129885838</v>
      </c>
      <c r="AE221" t="str">
        <f>"ADMIN OFFICER"</f>
        <v>ADMIN OFFICER</v>
      </c>
      <c r="AF221" t="str">
        <f t="shared" si="72"/>
        <v>(02) 6271 1000</v>
      </c>
      <c r="AG221" t="str">
        <f>""</f>
        <v/>
      </c>
      <c r="AH221" t="str">
        <f>""</f>
        <v/>
      </c>
      <c r="AI221" t="str">
        <f>"CORPORATE TREASURY [OLD] Corporate Treasury"</f>
        <v>CORPORATE TREASURY [OLD] Corporate Treasury</v>
      </c>
      <c r="AJ221" t="str">
        <f t="shared" ref="AJ221:AJ253" si="95">"2603"</f>
        <v>2603</v>
      </c>
    </row>
    <row r="222" spans="1:36" x14ac:dyDescent="0.25">
      <c r="A222" t="str">
        <f t="shared" si="82"/>
        <v>Department of Communications</v>
      </c>
      <c r="B222" t="str">
        <f>""</f>
        <v/>
      </c>
      <c r="C222" t="str">
        <f>"CN2971362"</f>
        <v>CN2971362</v>
      </c>
      <c r="D222" t="str">
        <f>"Leesa O'connor"</f>
        <v>Leesa O'connor</v>
      </c>
      <c r="E222" s="44">
        <v>42101.665972222225</v>
      </c>
      <c r="F222" t="s">
        <v>2508</v>
      </c>
      <c r="G222" t="str">
        <f t="shared" si="83"/>
        <v>published</v>
      </c>
      <c r="H222" s="45">
        <v>41970</v>
      </c>
      <c r="I222" s="45">
        <v>42185</v>
      </c>
      <c r="J222" s="46">
        <v>18000</v>
      </c>
      <c r="K222" t="s">
        <v>1729</v>
      </c>
      <c r="L222" t="str">
        <f>"0004604783"</f>
        <v>0004604783</v>
      </c>
      <c r="M222" t="str">
        <f>"Temporary personnel services"</f>
        <v>Temporary personnel services</v>
      </c>
      <c r="N222" t="str">
        <f>"Open tender"</f>
        <v>Open tender</v>
      </c>
      <c r="O222" t="str">
        <f>"DCON/12/244"</f>
        <v>DCON/12/244</v>
      </c>
      <c r="P222" t="str">
        <f>"SON1180562"</f>
        <v>SON1180562</v>
      </c>
      <c r="Q222" t="str">
        <f t="shared" si="92"/>
        <v>No</v>
      </c>
      <c r="R222" t="str">
        <f>""</f>
        <v/>
      </c>
      <c r="S222" t="str">
        <f t="shared" si="93"/>
        <v>No</v>
      </c>
      <c r="T222" t="str">
        <f>""</f>
        <v/>
      </c>
      <c r="U222" t="str">
        <f t="shared" si="94"/>
        <v>No</v>
      </c>
      <c r="V222" t="str">
        <f>""</f>
        <v/>
      </c>
      <c r="X222" t="str">
        <f>"Horizon One Recruitment Pty ltd"</f>
        <v>Horizon One Recruitment Pty ltd</v>
      </c>
      <c r="Y222" t="str">
        <f>"level1, 27 Torrens Street"</f>
        <v>level1, 27 Torrens Street</v>
      </c>
      <c r="Z222" t="str">
        <f>"Braddon"</f>
        <v>Braddon</v>
      </c>
      <c r="AA222" t="str">
        <f>"2612"</f>
        <v>2612</v>
      </c>
      <c r="AB222" t="str">
        <f t="shared" si="91"/>
        <v>Australia</v>
      </c>
      <c r="AC222" t="str">
        <f t="shared" si="90"/>
        <v>No</v>
      </c>
      <c r="AD222" t="str">
        <f>"98129885838"</f>
        <v>98129885838</v>
      </c>
      <c r="AE222" t="str">
        <f>"ADMIN OFFICER"</f>
        <v>ADMIN OFFICER</v>
      </c>
      <c r="AF222" t="str">
        <f t="shared" si="72"/>
        <v>(02) 6271 1000</v>
      </c>
      <c r="AG222" t="str">
        <f>""</f>
        <v/>
      </c>
      <c r="AH222" t="str">
        <f>""</f>
        <v/>
      </c>
      <c r="AI222" t="str">
        <f>"CORPORATE TREASURY [OLD] Corporate Treasury"</f>
        <v>CORPORATE TREASURY [OLD] Corporate Treasury</v>
      </c>
      <c r="AJ222" t="str">
        <f t="shared" si="95"/>
        <v>2603</v>
      </c>
    </row>
    <row r="223" spans="1:36" x14ac:dyDescent="0.25">
      <c r="A223" t="str">
        <f t="shared" si="82"/>
        <v>Department of Communications</v>
      </c>
      <c r="B223" t="str">
        <f>""</f>
        <v/>
      </c>
      <c r="C223" t="str">
        <f>"CN2730181"</f>
        <v>CN2730181</v>
      </c>
      <c r="D223" t="str">
        <f t="shared" ref="D223:D240" si="96">"David Kenny"</f>
        <v>David Kenny</v>
      </c>
      <c r="E223" s="44">
        <v>41981.447222222225</v>
      </c>
      <c r="F223" t="s">
        <v>2508</v>
      </c>
      <c r="G223" t="str">
        <f t="shared" si="83"/>
        <v>published</v>
      </c>
      <c r="H223" s="45">
        <v>41974</v>
      </c>
      <c r="I223" s="45">
        <v>42004</v>
      </c>
      <c r="J223" s="46">
        <v>10450</v>
      </c>
      <c r="K223" t="s">
        <v>1733</v>
      </c>
      <c r="L223" t="str">
        <f>"0004604786"</f>
        <v>0004604786</v>
      </c>
      <c r="M223" t="str">
        <f>"Security surveillance and detection"</f>
        <v>Security surveillance and detection</v>
      </c>
      <c r="N223" t="str">
        <f>"Limited tender"</f>
        <v>Limited tender</v>
      </c>
      <c r="O223" t="str">
        <f>""</f>
        <v/>
      </c>
      <c r="Q223" t="str">
        <f t="shared" si="92"/>
        <v>No</v>
      </c>
      <c r="R223" t="str">
        <f>""</f>
        <v/>
      </c>
      <c r="S223" t="str">
        <f t="shared" si="93"/>
        <v>No</v>
      </c>
      <c r="T223" t="str">
        <f>""</f>
        <v/>
      </c>
      <c r="U223" t="str">
        <f t="shared" si="94"/>
        <v>No</v>
      </c>
      <c r="V223" t="str">
        <f>""</f>
        <v/>
      </c>
      <c r="X223" t="str">
        <f>"Jakeman Business Solutions Oty Ltd"</f>
        <v>Jakeman Business Solutions Oty Ltd</v>
      </c>
      <c r="Y223" t="str">
        <f>"11-13 Faulding Street, Citadel Hous"</f>
        <v>11-13 Faulding Street, Citadel Hous</v>
      </c>
      <c r="Z223" t="str">
        <f>"Symonston"</f>
        <v>Symonston</v>
      </c>
      <c r="AA223" t="str">
        <f>"2609"</f>
        <v>2609</v>
      </c>
      <c r="AB223" t="str">
        <f t="shared" si="91"/>
        <v>Australia</v>
      </c>
      <c r="AC223" t="str">
        <f t="shared" si="90"/>
        <v>No</v>
      </c>
      <c r="AD223" t="str">
        <f>"72101963240"</f>
        <v>72101963240</v>
      </c>
      <c r="AE223" t="str">
        <f>"ADMIN OFFICER"</f>
        <v>ADMIN OFFICER</v>
      </c>
      <c r="AF223" t="str">
        <f t="shared" si="72"/>
        <v>(02) 6271 1000</v>
      </c>
      <c r="AG223" t="str">
        <f>""</f>
        <v/>
      </c>
      <c r="AH223" t="str">
        <f>""</f>
        <v/>
      </c>
      <c r="AI223" t="str">
        <f>"CORPORATE TREASURY [OLD] Corporate Treasury"</f>
        <v>CORPORATE TREASURY [OLD] Corporate Treasury</v>
      </c>
      <c r="AJ223" t="str">
        <f t="shared" si="95"/>
        <v>2603</v>
      </c>
    </row>
    <row r="224" spans="1:36" x14ac:dyDescent="0.25">
      <c r="A224" t="str">
        <f t="shared" si="82"/>
        <v>Department of Communications</v>
      </c>
      <c r="B224" t="str">
        <f>""</f>
        <v/>
      </c>
      <c r="C224" t="str">
        <f>"CN2730171"</f>
        <v>CN2730171</v>
      </c>
      <c r="D224" t="str">
        <f t="shared" si="96"/>
        <v>David Kenny</v>
      </c>
      <c r="E224" s="44">
        <v>41981.447222222225</v>
      </c>
      <c r="F224" t="s">
        <v>2508</v>
      </c>
      <c r="G224" t="str">
        <f t="shared" si="83"/>
        <v>published</v>
      </c>
      <c r="H224" s="45">
        <v>41968</v>
      </c>
      <c r="I224" s="45">
        <v>42062</v>
      </c>
      <c r="J224" s="46">
        <v>54740.07</v>
      </c>
      <c r="K224" t="s">
        <v>1736</v>
      </c>
      <c r="L224" t="str">
        <f>"0004604787"</f>
        <v>0004604787</v>
      </c>
      <c r="M224" t="str">
        <f>"Education and Training Services"</f>
        <v>Education and Training Services</v>
      </c>
      <c r="N224" t="str">
        <f>"Limited tender"</f>
        <v>Limited tender</v>
      </c>
      <c r="O224" t="str">
        <f>""</f>
        <v/>
      </c>
      <c r="Q224" t="str">
        <f t="shared" si="92"/>
        <v>No</v>
      </c>
      <c r="R224" t="str">
        <f>""</f>
        <v/>
      </c>
      <c r="S224" t="str">
        <f t="shared" si="93"/>
        <v>No</v>
      </c>
      <c r="T224" t="str">
        <f>""</f>
        <v/>
      </c>
      <c r="U224" t="str">
        <f t="shared" si="94"/>
        <v>No</v>
      </c>
      <c r="V224" t="str">
        <f>""</f>
        <v/>
      </c>
      <c r="X224" t="str">
        <f>"AUSTRALIAN UNIVERSITY"</f>
        <v>AUSTRALIAN UNIVERSITY</v>
      </c>
      <c r="Y224" t="str">
        <f>"GPO BOX 4"</f>
        <v>GPO BOX 4</v>
      </c>
      <c r="Z224" t="str">
        <f>"CANBERRA"</f>
        <v>CANBERRA</v>
      </c>
      <c r="AA224" t="str">
        <f>"2601"</f>
        <v>2601</v>
      </c>
      <c r="AB224" t="str">
        <f t="shared" si="91"/>
        <v>Australia</v>
      </c>
      <c r="AC224" t="str">
        <f t="shared" si="90"/>
        <v>No</v>
      </c>
      <c r="AD224" t="str">
        <f>"52234063906"</f>
        <v>52234063906</v>
      </c>
      <c r="AE224" t="str">
        <f>"ADMIN OFFICER"</f>
        <v>ADMIN OFFICER</v>
      </c>
      <c r="AF224" t="str">
        <f t="shared" si="72"/>
        <v>(02) 6271 1000</v>
      </c>
      <c r="AG224" t="str">
        <f>""</f>
        <v/>
      </c>
      <c r="AH224" t="str">
        <f>""</f>
        <v/>
      </c>
      <c r="AI224" t="str">
        <f>"CORPORATE TREASURY [OLD] Corporate Treasury"</f>
        <v>CORPORATE TREASURY [OLD] Corporate Treasury</v>
      </c>
      <c r="AJ224" t="str">
        <f t="shared" si="95"/>
        <v>2603</v>
      </c>
    </row>
    <row r="225" spans="1:36" x14ac:dyDescent="0.25">
      <c r="A225" t="str">
        <f t="shared" si="82"/>
        <v>Department of Communications</v>
      </c>
      <c r="B225" t="str">
        <f>""</f>
        <v/>
      </c>
      <c r="C225" t="str">
        <f>"CN2730161"</f>
        <v>CN2730161</v>
      </c>
      <c r="D225" t="str">
        <f t="shared" si="96"/>
        <v>David Kenny</v>
      </c>
      <c r="E225" s="44">
        <v>41981.447222222225</v>
      </c>
      <c r="F225" t="s">
        <v>2508</v>
      </c>
      <c r="G225" t="str">
        <f t="shared" si="83"/>
        <v>published</v>
      </c>
      <c r="H225" s="45">
        <v>41939</v>
      </c>
      <c r="I225" s="45">
        <v>41985</v>
      </c>
      <c r="J225" s="46">
        <v>38368</v>
      </c>
      <c r="K225" t="s">
        <v>403</v>
      </c>
      <c r="L225" t="str">
        <f>"0004604788"</f>
        <v>0004604788</v>
      </c>
      <c r="M225" t="str">
        <f>"Professional procurement services"</f>
        <v>Professional procurement services</v>
      </c>
      <c r="N225" t="str">
        <f>"Open tender"</f>
        <v>Open tender</v>
      </c>
      <c r="O225" t="str">
        <f>"11/000006268"</f>
        <v>11/000006268</v>
      </c>
      <c r="P225" t="str">
        <f>"SON867801"</f>
        <v>SON867801</v>
      </c>
      <c r="Q225" t="str">
        <f t="shared" si="92"/>
        <v>No</v>
      </c>
      <c r="R225" t="str">
        <f>""</f>
        <v/>
      </c>
      <c r="S225" t="str">
        <f t="shared" si="93"/>
        <v>No</v>
      </c>
      <c r="T225" t="str">
        <f>""</f>
        <v/>
      </c>
      <c r="U225" t="str">
        <f t="shared" si="94"/>
        <v>No</v>
      </c>
      <c r="V225" t="str">
        <f>""</f>
        <v/>
      </c>
      <c r="X225" t="str">
        <f>"Callida Consulting"</f>
        <v>Callida Consulting</v>
      </c>
      <c r="Y225" t="str">
        <f>"PO Box 4207"</f>
        <v>PO Box 4207</v>
      </c>
      <c r="Z225" t="str">
        <f>"KINGSTON"</f>
        <v>KINGSTON</v>
      </c>
      <c r="AA225" t="str">
        <f>"2604"</f>
        <v>2604</v>
      </c>
      <c r="AB225" t="str">
        <f t="shared" si="91"/>
        <v>Australia</v>
      </c>
      <c r="AC225" t="str">
        <f t="shared" si="90"/>
        <v>No</v>
      </c>
      <c r="AD225" t="str">
        <f>"40154007664"</f>
        <v>40154007664</v>
      </c>
      <c r="AE225" t="str">
        <f>"PROCUREMENT MANAGER"</f>
        <v>PROCUREMENT MANAGER</v>
      </c>
      <c r="AF225" t="str">
        <f t="shared" si="72"/>
        <v>(02) 6271 1000</v>
      </c>
      <c r="AG225" t="str">
        <f>""</f>
        <v/>
      </c>
      <c r="AH225" t="str">
        <f>""</f>
        <v/>
      </c>
      <c r="AI225" t="str">
        <f>"COMMUNICATIONS RESEARCH Bureau of Communications Research"</f>
        <v>COMMUNICATIONS RESEARCH Bureau of Communications Research</v>
      </c>
      <c r="AJ225" t="str">
        <f t="shared" si="95"/>
        <v>2603</v>
      </c>
    </row>
    <row r="226" spans="1:36" x14ac:dyDescent="0.25">
      <c r="A226" t="str">
        <f t="shared" si="82"/>
        <v>Department of Communications</v>
      </c>
      <c r="B226" t="str">
        <f>""</f>
        <v/>
      </c>
      <c r="C226" t="str">
        <f>"CN2819592"</f>
        <v>CN2819592</v>
      </c>
      <c r="D226" t="str">
        <f t="shared" si="96"/>
        <v>David Kenny</v>
      </c>
      <c r="E226" s="44">
        <v>42031.442361111112</v>
      </c>
      <c r="F226" t="s">
        <v>2508</v>
      </c>
      <c r="G226" t="str">
        <f t="shared" si="83"/>
        <v>published</v>
      </c>
      <c r="H226" s="45">
        <v>41939</v>
      </c>
      <c r="I226" s="45">
        <v>42034</v>
      </c>
      <c r="J226" s="46">
        <v>14168</v>
      </c>
      <c r="K226" t="s">
        <v>403</v>
      </c>
      <c r="L226" t="str">
        <f>"0004604788"</f>
        <v>0004604788</v>
      </c>
      <c r="M226" t="str">
        <f>"Professional procurement services"</f>
        <v>Professional procurement services</v>
      </c>
      <c r="N226" t="str">
        <f>"Open tender"</f>
        <v>Open tender</v>
      </c>
      <c r="O226" t="str">
        <f>"11/000006268"</f>
        <v>11/000006268</v>
      </c>
      <c r="P226" t="str">
        <f>"SON867801"</f>
        <v>SON867801</v>
      </c>
      <c r="Q226" t="str">
        <f t="shared" si="92"/>
        <v>No</v>
      </c>
      <c r="R226" t="str">
        <f>""</f>
        <v/>
      </c>
      <c r="S226" t="str">
        <f t="shared" si="93"/>
        <v>No</v>
      </c>
      <c r="T226" t="str">
        <f>""</f>
        <v/>
      </c>
      <c r="U226" t="str">
        <f t="shared" si="94"/>
        <v>No</v>
      </c>
      <c r="V226" t="str">
        <f>""</f>
        <v/>
      </c>
      <c r="X226" t="str">
        <f>"Callida Consulting"</f>
        <v>Callida Consulting</v>
      </c>
      <c r="Y226" t="str">
        <f>"PO Box 4207"</f>
        <v>PO Box 4207</v>
      </c>
      <c r="Z226" t="str">
        <f>"KINGSTON"</f>
        <v>KINGSTON</v>
      </c>
      <c r="AA226" t="str">
        <f>"2604"</f>
        <v>2604</v>
      </c>
      <c r="AB226" t="str">
        <f t="shared" si="91"/>
        <v>Australia</v>
      </c>
      <c r="AC226" t="str">
        <f t="shared" si="90"/>
        <v>No</v>
      </c>
      <c r="AD226" t="str">
        <f>"40154007664"</f>
        <v>40154007664</v>
      </c>
      <c r="AE226" t="str">
        <f>"PROCUREMENT MANAGER"</f>
        <v>PROCUREMENT MANAGER</v>
      </c>
      <c r="AF226" t="str">
        <f t="shared" si="72"/>
        <v>(02) 6271 1000</v>
      </c>
      <c r="AG226" t="str">
        <f>""</f>
        <v/>
      </c>
      <c r="AH226" t="str">
        <f>""</f>
        <v/>
      </c>
      <c r="AI226" t="str">
        <f>"COMMUNICATIONS RESEARCH Bureau of Communications Research"</f>
        <v>COMMUNICATIONS RESEARCH Bureau of Communications Research</v>
      </c>
      <c r="AJ226" t="str">
        <f t="shared" si="95"/>
        <v>2603</v>
      </c>
    </row>
    <row r="227" spans="1:36" x14ac:dyDescent="0.25">
      <c r="A227" t="str">
        <f t="shared" si="82"/>
        <v>Department of Communications</v>
      </c>
      <c r="B227" t="str">
        <f>""</f>
        <v/>
      </c>
      <c r="C227" t="str">
        <f>"CN2730151"</f>
        <v>CN2730151</v>
      </c>
      <c r="D227" t="str">
        <f t="shared" si="96"/>
        <v>David Kenny</v>
      </c>
      <c r="E227" s="44">
        <v>41981.447222222225</v>
      </c>
      <c r="F227" t="s">
        <v>2508</v>
      </c>
      <c r="G227" t="str">
        <f t="shared" si="83"/>
        <v>published</v>
      </c>
      <c r="H227" s="45">
        <v>41926</v>
      </c>
      <c r="I227" s="45">
        <v>41971</v>
      </c>
      <c r="J227" s="46">
        <v>46310</v>
      </c>
      <c r="K227" t="s">
        <v>1739</v>
      </c>
      <c r="L227" t="str">
        <f>"0004604789"</f>
        <v>0004604789</v>
      </c>
      <c r="M227" t="str">
        <f>"Information technology consultation services"</f>
        <v>Information technology consultation services</v>
      </c>
      <c r="N227" t="str">
        <f>"Open tender"</f>
        <v>Open tender</v>
      </c>
      <c r="O227" t="str">
        <f>"PRN25117"</f>
        <v>PRN25117</v>
      </c>
      <c r="P227" t="str">
        <f>"SON1135902"</f>
        <v>SON1135902</v>
      </c>
      <c r="Q227" t="str">
        <f t="shared" si="92"/>
        <v>No</v>
      </c>
      <c r="R227" t="str">
        <f>""</f>
        <v/>
      </c>
      <c r="S227" t="str">
        <f t="shared" si="93"/>
        <v>No</v>
      </c>
      <c r="T227" t="str">
        <f>""</f>
        <v/>
      </c>
      <c r="U227" t="str">
        <f t="shared" si="94"/>
        <v>No</v>
      </c>
      <c r="V227" t="str">
        <f>""</f>
        <v/>
      </c>
      <c r="X227" t="str">
        <f>"Third Horizon Consulting Pty Ltd"</f>
        <v>Third Horizon Consulting Pty Ltd</v>
      </c>
      <c r="Y227" t="str">
        <f>"Level 41 , 100 Miller Street"</f>
        <v>Level 41 , 100 Miller Street</v>
      </c>
      <c r="Z227" t="str">
        <f>"NORTH SYDN"</f>
        <v>NORTH SYDN</v>
      </c>
      <c r="AA227" t="str">
        <f>"2060"</f>
        <v>2060</v>
      </c>
      <c r="AB227" t="str">
        <f t="shared" si="91"/>
        <v>Australia</v>
      </c>
      <c r="AC227" t="str">
        <f t="shared" si="90"/>
        <v>No</v>
      </c>
      <c r="AD227" t="str">
        <f>"77149865113"</f>
        <v>77149865113</v>
      </c>
      <c r="AE227" t="str">
        <f>"ADMIN OFFICER"</f>
        <v>ADMIN OFFICER</v>
      </c>
      <c r="AF227" t="str">
        <f t="shared" si="72"/>
        <v>(02) 6271 1000</v>
      </c>
      <c r="AG227" t="str">
        <f>""</f>
        <v/>
      </c>
      <c r="AH227" t="str">
        <f>""</f>
        <v/>
      </c>
      <c r="AI227" t="str">
        <f>"CORPORATE TREASURY [OLD] Corporate Treasury"</f>
        <v>CORPORATE TREASURY [OLD] Corporate Treasury</v>
      </c>
      <c r="AJ227" t="str">
        <f t="shared" si="95"/>
        <v>2603</v>
      </c>
    </row>
    <row r="228" spans="1:36" x14ac:dyDescent="0.25">
      <c r="A228" t="str">
        <f t="shared" si="82"/>
        <v>Department of Communications</v>
      </c>
      <c r="B228" t="str">
        <f>""</f>
        <v/>
      </c>
      <c r="C228" t="str">
        <f>"CN2756802"</f>
        <v>CN2756802</v>
      </c>
      <c r="D228" t="str">
        <f t="shared" si="96"/>
        <v>David Kenny</v>
      </c>
      <c r="E228" s="44">
        <v>41990.523611111108</v>
      </c>
      <c r="F228" t="s">
        <v>2508</v>
      </c>
      <c r="G228" t="str">
        <f t="shared" si="83"/>
        <v>published</v>
      </c>
      <c r="H228" s="45">
        <v>41960</v>
      </c>
      <c r="I228" s="45">
        <v>42035</v>
      </c>
      <c r="J228" s="46">
        <v>409938.32</v>
      </c>
      <c r="K228" t="s">
        <v>1690</v>
      </c>
      <c r="L228" t="str">
        <f>"0004604792"</f>
        <v>0004604792</v>
      </c>
      <c r="M228" t="str">
        <f>"Notebook computers"</f>
        <v>Notebook computers</v>
      </c>
      <c r="N228" t="str">
        <f>"Open tender"</f>
        <v>Open tender</v>
      </c>
      <c r="O228" t="str">
        <f>"FIN10/AGI001"</f>
        <v>FIN10/AGI001</v>
      </c>
      <c r="P228" t="str">
        <f>"SON335550"</f>
        <v>SON335550</v>
      </c>
      <c r="Q228" t="str">
        <f t="shared" si="92"/>
        <v>No</v>
      </c>
      <c r="R228" t="str">
        <f>""</f>
        <v/>
      </c>
      <c r="S228" t="str">
        <f t="shared" si="93"/>
        <v>No</v>
      </c>
      <c r="T228" t="str">
        <f>""</f>
        <v/>
      </c>
      <c r="U228" t="str">
        <f t="shared" si="94"/>
        <v>No</v>
      </c>
      <c r="V228" t="str">
        <f>""</f>
        <v/>
      </c>
      <c r="X228" t="str">
        <f>"ETHANGROUP"</f>
        <v>ETHANGROUP</v>
      </c>
      <c r="Y228" t="str">
        <f>"Level 5, 13-15 Lyon Park Road"</f>
        <v>Level 5, 13-15 Lyon Park Road</v>
      </c>
      <c r="Z228" t="str">
        <f>"North Ryde"</f>
        <v>North Ryde</v>
      </c>
      <c r="AA228" t="str">
        <f>"2113"</f>
        <v>2113</v>
      </c>
      <c r="AB228" t="str">
        <f t="shared" si="91"/>
        <v>Australia</v>
      </c>
      <c r="AC228" t="str">
        <f t="shared" si="90"/>
        <v>No</v>
      </c>
      <c r="AD228" t="str">
        <f>"93099503456"</f>
        <v>93099503456</v>
      </c>
      <c r="AE228" t="str">
        <f>"ADMIN OFFICER"</f>
        <v>ADMIN OFFICER</v>
      </c>
      <c r="AF228" t="str">
        <f t="shared" si="72"/>
        <v>(02) 6271 1000</v>
      </c>
      <c r="AG228" t="str">
        <f>""</f>
        <v/>
      </c>
      <c r="AH228" t="str">
        <f>""</f>
        <v/>
      </c>
      <c r="AI228" t="str">
        <f>"CORPORATE TREASURY [OLD] Corporate Treasury"</f>
        <v>CORPORATE TREASURY [OLD] Corporate Treasury</v>
      </c>
      <c r="AJ228" t="str">
        <f t="shared" si="95"/>
        <v>2603</v>
      </c>
    </row>
    <row r="229" spans="1:36" x14ac:dyDescent="0.25">
      <c r="A229" t="str">
        <f t="shared" si="82"/>
        <v>Department of Communications</v>
      </c>
      <c r="B229" t="str">
        <f>""</f>
        <v/>
      </c>
      <c r="C229" t="str">
        <f>"CN3139732"</f>
        <v>CN3139732</v>
      </c>
      <c r="D229" t="str">
        <f t="shared" si="96"/>
        <v>David Kenny</v>
      </c>
      <c r="E229" s="44">
        <v>42164.625</v>
      </c>
      <c r="F229" t="s">
        <v>2508</v>
      </c>
      <c r="G229" t="str">
        <f t="shared" si="83"/>
        <v>published</v>
      </c>
      <c r="H229" s="45">
        <v>41963</v>
      </c>
      <c r="I229" s="45">
        <v>42144</v>
      </c>
      <c r="J229" s="46">
        <v>35000</v>
      </c>
      <c r="K229" t="s">
        <v>418</v>
      </c>
      <c r="L229" t="str">
        <f>"0004604793"</f>
        <v>0004604793</v>
      </c>
      <c r="M229" t="str">
        <f>"Economic analysis"</f>
        <v>Economic analysis</v>
      </c>
      <c r="N229" t="str">
        <f>"Limited tender"</f>
        <v>Limited tender</v>
      </c>
      <c r="O229" t="str">
        <f>"DCON/14/141"</f>
        <v>DCON/14/141</v>
      </c>
      <c r="Q229" t="str">
        <f t="shared" si="92"/>
        <v>No</v>
      </c>
      <c r="R229" t="str">
        <f>""</f>
        <v/>
      </c>
      <c r="S229" t="str">
        <f t="shared" si="93"/>
        <v>No</v>
      </c>
      <c r="T229" t="str">
        <f>""</f>
        <v/>
      </c>
      <c r="U229" t="str">
        <f t="shared" si="94"/>
        <v>No</v>
      </c>
      <c r="V229" t="str">
        <f>""</f>
        <v/>
      </c>
      <c r="X229" t="str">
        <f>"Dean Parham"</f>
        <v>Dean Parham</v>
      </c>
      <c r="Y229" t="str">
        <f>"9 Rumbelow Court"</f>
        <v>9 Rumbelow Court</v>
      </c>
      <c r="Z229" t="str">
        <f>"Nicholls"</f>
        <v>Nicholls</v>
      </c>
      <c r="AA229" t="str">
        <f>"2913"</f>
        <v>2913</v>
      </c>
      <c r="AB229" t="str">
        <f t="shared" si="91"/>
        <v>Australia</v>
      </c>
      <c r="AC229" t="str">
        <f t="shared" si="90"/>
        <v>No</v>
      </c>
      <c r="AD229" t="str">
        <f>"53903215943"</f>
        <v>53903215943</v>
      </c>
      <c r="AE229" t="str">
        <f>"PROCUREMENT MANAGER"</f>
        <v>PROCUREMENT MANAGER</v>
      </c>
      <c r="AF229" t="str">
        <f t="shared" si="72"/>
        <v>(02) 6271 1000</v>
      </c>
      <c r="AG229" t="str">
        <f>""</f>
        <v/>
      </c>
      <c r="AH229" t="str">
        <f>""</f>
        <v/>
      </c>
      <c r="AI229" t="str">
        <f>"COMMUNICATIONS RESEARCH Bureau of Communications Research"</f>
        <v>COMMUNICATIONS RESEARCH Bureau of Communications Research</v>
      </c>
      <c r="AJ229" t="str">
        <f t="shared" si="95"/>
        <v>2603</v>
      </c>
    </row>
    <row r="230" spans="1:36" x14ac:dyDescent="0.25">
      <c r="A230" t="str">
        <f t="shared" si="82"/>
        <v>Department of Communications</v>
      </c>
      <c r="B230" t="str">
        <f>""</f>
        <v/>
      </c>
      <c r="C230" t="str">
        <f>"CN2730141"</f>
        <v>CN2730141</v>
      </c>
      <c r="D230" t="str">
        <f t="shared" si="96"/>
        <v>David Kenny</v>
      </c>
      <c r="E230" s="44">
        <v>41981.447222222225</v>
      </c>
      <c r="F230" t="s">
        <v>2508</v>
      </c>
      <c r="G230" t="str">
        <f t="shared" si="83"/>
        <v>published</v>
      </c>
      <c r="H230" s="45">
        <v>41963</v>
      </c>
      <c r="I230" s="45">
        <v>42144</v>
      </c>
      <c r="J230" s="46">
        <v>62750</v>
      </c>
      <c r="K230" t="s">
        <v>418</v>
      </c>
      <c r="L230" t="str">
        <f>"0004604793"</f>
        <v>0004604793</v>
      </c>
      <c r="M230" t="str">
        <f>"Economic analysis"</f>
        <v>Economic analysis</v>
      </c>
      <c r="N230" t="str">
        <f>"Limited tender"</f>
        <v>Limited tender</v>
      </c>
      <c r="O230" t="str">
        <f>"DCON/14/141"</f>
        <v>DCON/14/141</v>
      </c>
      <c r="Q230" t="str">
        <f t="shared" si="92"/>
        <v>No</v>
      </c>
      <c r="R230" t="str">
        <f>""</f>
        <v/>
      </c>
      <c r="S230" t="str">
        <f t="shared" si="93"/>
        <v>No</v>
      </c>
      <c r="T230" t="str">
        <f>""</f>
        <v/>
      </c>
      <c r="U230" t="str">
        <f t="shared" si="94"/>
        <v>No</v>
      </c>
      <c r="V230" t="str">
        <f>""</f>
        <v/>
      </c>
      <c r="X230" t="str">
        <f>"Dean Parham"</f>
        <v>Dean Parham</v>
      </c>
      <c r="Y230" t="str">
        <f>"9 Rumbelow Court"</f>
        <v>9 Rumbelow Court</v>
      </c>
      <c r="Z230" t="str">
        <f>"Nicholls"</f>
        <v>Nicholls</v>
      </c>
      <c r="AA230" t="str">
        <f>"2913"</f>
        <v>2913</v>
      </c>
      <c r="AB230" t="str">
        <f t="shared" si="91"/>
        <v>Australia</v>
      </c>
      <c r="AC230" t="str">
        <f t="shared" si="90"/>
        <v>No</v>
      </c>
      <c r="AD230" t="str">
        <f>"53903215943"</f>
        <v>53903215943</v>
      </c>
      <c r="AE230" t="str">
        <f>"PROCUREMENT MANAGER"</f>
        <v>PROCUREMENT MANAGER</v>
      </c>
      <c r="AF230" t="str">
        <f t="shared" si="72"/>
        <v>(02) 6271 1000</v>
      </c>
      <c r="AG230" t="str">
        <f>""</f>
        <v/>
      </c>
      <c r="AH230" t="str">
        <f>""</f>
        <v/>
      </c>
      <c r="AI230" t="str">
        <f>"COMMUNICATIONS RESEARCH Bureau of Communications Research"</f>
        <v>COMMUNICATIONS RESEARCH Bureau of Communications Research</v>
      </c>
      <c r="AJ230" t="str">
        <f t="shared" si="95"/>
        <v>2603</v>
      </c>
    </row>
    <row r="231" spans="1:36" x14ac:dyDescent="0.25">
      <c r="A231" t="str">
        <f t="shared" si="82"/>
        <v>Department of Communications</v>
      </c>
      <c r="B231" t="str">
        <f>""</f>
        <v/>
      </c>
      <c r="C231" t="str">
        <f>"CN2730131"</f>
        <v>CN2730131</v>
      </c>
      <c r="D231" t="str">
        <f t="shared" si="96"/>
        <v>David Kenny</v>
      </c>
      <c r="E231" s="44">
        <v>41981.446527777778</v>
      </c>
      <c r="F231" t="s">
        <v>2508</v>
      </c>
      <c r="G231" t="str">
        <f t="shared" si="83"/>
        <v>published</v>
      </c>
      <c r="H231" s="45">
        <v>41964</v>
      </c>
      <c r="I231" s="45">
        <v>42144</v>
      </c>
      <c r="J231" s="46">
        <v>33000</v>
      </c>
      <c r="K231" t="s">
        <v>426</v>
      </c>
      <c r="L231" t="str">
        <f>"0004604794"</f>
        <v>0004604794</v>
      </c>
      <c r="M231" t="str">
        <f>"Market research"</f>
        <v>Market research</v>
      </c>
      <c r="N231" t="str">
        <f>"Limited tender"</f>
        <v>Limited tender</v>
      </c>
      <c r="O231" t="str">
        <f>""</f>
        <v/>
      </c>
      <c r="Q231" t="str">
        <f>"Yes"</f>
        <v>Yes</v>
      </c>
      <c r="R231" t="str">
        <f>"Intellectual property"</f>
        <v>Intellectual property</v>
      </c>
      <c r="S231" t="str">
        <f>"Yes"</f>
        <v>Yes</v>
      </c>
      <c r="T231" t="str">
        <f>"Other - COSTINGS"</f>
        <v>Other - COSTINGS</v>
      </c>
      <c r="U231" t="str">
        <f>"Yes"</f>
        <v>Yes</v>
      </c>
      <c r="V231" t="str">
        <f>"Need for independent research or assessment"</f>
        <v>Need for independent research or assessment</v>
      </c>
      <c r="X231" t="str">
        <f>"Essence Communications Australia Pt"</f>
        <v>Essence Communications Australia Pt</v>
      </c>
      <c r="Y231" t="str">
        <f>"14-16 The Avenue"</f>
        <v>14-16 The Avenue</v>
      </c>
      <c r="Z231" t="str">
        <f>"East Malvern"</f>
        <v>East Malvern</v>
      </c>
      <c r="AA231" t="str">
        <f>"3145"</f>
        <v>3145</v>
      </c>
      <c r="AB231" t="str">
        <f t="shared" si="91"/>
        <v>Australia</v>
      </c>
      <c r="AC231" t="str">
        <f t="shared" si="90"/>
        <v>No</v>
      </c>
      <c r="AD231" t="str">
        <f>"86179494569"</f>
        <v>86179494569</v>
      </c>
      <c r="AE231" t="str">
        <f>"PROCUREMENT MANAGER"</f>
        <v>PROCUREMENT MANAGER</v>
      </c>
      <c r="AF231" t="str">
        <f t="shared" si="72"/>
        <v>(02) 6271 1000</v>
      </c>
      <c r="AG231" t="str">
        <f>""</f>
        <v/>
      </c>
      <c r="AH231" t="str">
        <f>""</f>
        <v/>
      </c>
      <c r="AI231" t="str">
        <f>"COMMUNICATIONS RESEARCH Bureau of Communications Research"</f>
        <v>COMMUNICATIONS RESEARCH Bureau of Communications Research</v>
      </c>
      <c r="AJ231" t="str">
        <f t="shared" si="95"/>
        <v>2603</v>
      </c>
    </row>
    <row r="232" spans="1:36" x14ac:dyDescent="0.25">
      <c r="A232" t="str">
        <f t="shared" si="82"/>
        <v>Department of Communications</v>
      </c>
      <c r="B232" t="str">
        <f>""</f>
        <v/>
      </c>
      <c r="C232" t="str">
        <f>"CN2756792"</f>
        <v>CN2756792</v>
      </c>
      <c r="D232" t="str">
        <f t="shared" si="96"/>
        <v>David Kenny</v>
      </c>
      <c r="E232" s="44">
        <v>41990.522916666669</v>
      </c>
      <c r="F232" t="s">
        <v>2508</v>
      </c>
      <c r="G232" t="str">
        <f t="shared" si="83"/>
        <v>published</v>
      </c>
      <c r="H232" s="45">
        <v>41975</v>
      </c>
      <c r="I232" s="45">
        <v>42034</v>
      </c>
      <c r="J232" s="46">
        <v>84128</v>
      </c>
      <c r="K232" t="s">
        <v>1748</v>
      </c>
      <c r="L232" t="str">
        <f>"0004604795"</f>
        <v>0004604795</v>
      </c>
      <c r="M232" t="str">
        <f>"Information technology consultation services"</f>
        <v>Information technology consultation services</v>
      </c>
      <c r="N232" t="str">
        <f>"Open tender"</f>
        <v>Open tender</v>
      </c>
      <c r="O232" t="str">
        <f>"ACBPS127074"</f>
        <v>ACBPS127074</v>
      </c>
      <c r="P232" t="str">
        <f>"SON1837491"</f>
        <v>SON1837491</v>
      </c>
      <c r="Q232" t="str">
        <f>"No"</f>
        <v>No</v>
      </c>
      <c r="R232" t="str">
        <f>""</f>
        <v/>
      </c>
      <c r="S232" t="str">
        <f t="shared" ref="S232:S244" si="97">"No"</f>
        <v>No</v>
      </c>
      <c r="T232" t="str">
        <f>""</f>
        <v/>
      </c>
      <c r="U232" t="str">
        <f>"No"</f>
        <v>No</v>
      </c>
      <c r="V232" t="str">
        <f>""</f>
        <v/>
      </c>
      <c r="X232" t="str">
        <f>"Callida Consulting"</f>
        <v>Callida Consulting</v>
      </c>
      <c r="Y232" t="str">
        <f>"PO Box 4207"</f>
        <v>PO Box 4207</v>
      </c>
      <c r="Z232" t="str">
        <f>"KINGSTON"</f>
        <v>KINGSTON</v>
      </c>
      <c r="AA232" t="str">
        <f>"2604"</f>
        <v>2604</v>
      </c>
      <c r="AB232" t="str">
        <f t="shared" si="91"/>
        <v>Australia</v>
      </c>
      <c r="AC232" t="str">
        <f t="shared" si="90"/>
        <v>No</v>
      </c>
      <c r="AD232" t="str">
        <f>"40154007664"</f>
        <v>40154007664</v>
      </c>
      <c r="AE232" t="str">
        <f>"ADMIN OFFICER"</f>
        <v>ADMIN OFFICER</v>
      </c>
      <c r="AF232" t="str">
        <f t="shared" si="72"/>
        <v>(02) 6271 1000</v>
      </c>
      <c r="AG232" t="str">
        <f>""</f>
        <v/>
      </c>
      <c r="AH232" t="str">
        <f>""</f>
        <v/>
      </c>
      <c r="AI232" t="str">
        <f>"CORPORATE TREASURY [OLD] Corporate Treasury"</f>
        <v>CORPORATE TREASURY [OLD] Corporate Treasury</v>
      </c>
      <c r="AJ232" t="str">
        <f t="shared" si="95"/>
        <v>2603</v>
      </c>
    </row>
    <row r="233" spans="1:36" x14ac:dyDescent="0.25">
      <c r="A233" t="str">
        <f t="shared" si="82"/>
        <v>Department of Communications</v>
      </c>
      <c r="B233" t="str">
        <f>""</f>
        <v/>
      </c>
      <c r="C233" t="str">
        <f>"CN2756782"</f>
        <v>CN2756782</v>
      </c>
      <c r="D233" t="str">
        <f t="shared" si="96"/>
        <v>David Kenny</v>
      </c>
      <c r="E233" s="44">
        <v>41990.522916666669</v>
      </c>
      <c r="F233" t="s">
        <v>2508</v>
      </c>
      <c r="G233" t="str">
        <f t="shared" si="83"/>
        <v>published</v>
      </c>
      <c r="H233" s="45">
        <v>41957</v>
      </c>
      <c r="I233" s="45">
        <v>41992</v>
      </c>
      <c r="J233" s="46">
        <v>86625</v>
      </c>
      <c r="K233" t="s">
        <v>2229</v>
      </c>
      <c r="L233" t="str">
        <f>"0004604796"</f>
        <v>0004604796</v>
      </c>
      <c r="M233" t="str">
        <f>"Economic analysis"</f>
        <v>Economic analysis</v>
      </c>
      <c r="N233" t="str">
        <f>"Open tender"</f>
        <v>Open tender</v>
      </c>
      <c r="O233" t="str">
        <f>"DCON/12/133"</f>
        <v>DCON/12/133</v>
      </c>
      <c r="P233" t="str">
        <f>"SON1143842"</f>
        <v>SON1143842</v>
      </c>
      <c r="Q233" t="str">
        <f>"No"</f>
        <v>No</v>
      </c>
      <c r="R233" t="str">
        <f>""</f>
        <v/>
      </c>
      <c r="S233" t="str">
        <f t="shared" si="97"/>
        <v>No</v>
      </c>
      <c r="T233" t="str">
        <f>""</f>
        <v/>
      </c>
      <c r="U233" t="str">
        <f>"Yes"</f>
        <v>Yes</v>
      </c>
      <c r="V233" t="str">
        <f>"Skills currently unavailable within agency"</f>
        <v>Skills currently unavailable within agency</v>
      </c>
      <c r="X233" t="str">
        <f>"INTERNATIONAL ECONOMICS UNIT TRUST"</f>
        <v>INTERNATIONAL ECONOMICS UNIT TRUST</v>
      </c>
      <c r="Y233" t="str">
        <f>"PO Box 397"</f>
        <v>PO Box 397</v>
      </c>
      <c r="Z233" t="str">
        <f>"SYDNEY"</f>
        <v>SYDNEY</v>
      </c>
      <c r="AA233" t="str">
        <f>"1043"</f>
        <v>1043</v>
      </c>
      <c r="AB233" t="str">
        <f t="shared" si="91"/>
        <v>Australia</v>
      </c>
      <c r="AC233" t="str">
        <f t="shared" si="90"/>
        <v>No</v>
      </c>
      <c r="AD233" t="str">
        <f>"11705723812"</f>
        <v>11705723812</v>
      </c>
      <c r="AE233" t="str">
        <f>"ADMIN OFFICER"</f>
        <v>ADMIN OFFICER</v>
      </c>
      <c r="AF233" t="str">
        <f t="shared" ref="AF233:AF296" si="98">"(02) 6271 1000"</f>
        <v>(02) 6271 1000</v>
      </c>
      <c r="AG233" t="str">
        <f>""</f>
        <v/>
      </c>
      <c r="AH233" t="str">
        <f>""</f>
        <v/>
      </c>
      <c r="AI233" t="str">
        <f>"NPAR"</f>
        <v>NPAR</v>
      </c>
      <c r="AJ233" t="str">
        <f t="shared" si="95"/>
        <v>2603</v>
      </c>
    </row>
    <row r="234" spans="1:36" x14ac:dyDescent="0.25">
      <c r="A234" t="str">
        <f t="shared" si="82"/>
        <v>Department of Communications</v>
      </c>
      <c r="B234" t="str">
        <f>""</f>
        <v/>
      </c>
      <c r="C234" t="str">
        <f>"CN2885792"</f>
        <v>CN2885792</v>
      </c>
      <c r="D234" t="str">
        <f t="shared" si="96"/>
        <v>David Kenny</v>
      </c>
      <c r="E234" s="44">
        <v>42062.686111111114</v>
      </c>
      <c r="F234" t="s">
        <v>2508</v>
      </c>
      <c r="G234" t="str">
        <f t="shared" si="83"/>
        <v>published</v>
      </c>
      <c r="H234" s="45">
        <v>41957</v>
      </c>
      <c r="I234" s="45">
        <v>42062</v>
      </c>
      <c r="J234" s="46">
        <v>133375</v>
      </c>
      <c r="K234" t="s">
        <v>2229</v>
      </c>
      <c r="L234" t="str">
        <f>"0004604796"</f>
        <v>0004604796</v>
      </c>
      <c r="M234" t="str">
        <f>"Economic analysis"</f>
        <v>Economic analysis</v>
      </c>
      <c r="N234" t="str">
        <f>"Open tender"</f>
        <v>Open tender</v>
      </c>
      <c r="O234" t="str">
        <f>"DCON/12/133"</f>
        <v>DCON/12/133</v>
      </c>
      <c r="P234" t="str">
        <f>"SON1143842"</f>
        <v>SON1143842</v>
      </c>
      <c r="Q234" t="str">
        <f>"No"</f>
        <v>No</v>
      </c>
      <c r="R234" t="str">
        <f>""</f>
        <v/>
      </c>
      <c r="S234" t="str">
        <f t="shared" si="97"/>
        <v>No</v>
      </c>
      <c r="T234" t="str">
        <f>""</f>
        <v/>
      </c>
      <c r="U234" t="str">
        <f>"Yes"</f>
        <v>Yes</v>
      </c>
      <c r="V234" t="str">
        <f>"Skills currently unavailable within agency"</f>
        <v>Skills currently unavailable within agency</v>
      </c>
      <c r="X234" t="str">
        <f>"INTERNATIONAL ECONOMICS UNIT TRUST"</f>
        <v>INTERNATIONAL ECONOMICS UNIT TRUST</v>
      </c>
      <c r="Y234" t="str">
        <f>"PO Box 397"</f>
        <v>PO Box 397</v>
      </c>
      <c r="Z234" t="str">
        <f>"SYDNEY"</f>
        <v>SYDNEY</v>
      </c>
      <c r="AA234" t="str">
        <f>"1043"</f>
        <v>1043</v>
      </c>
      <c r="AB234" t="str">
        <f t="shared" si="91"/>
        <v>Australia</v>
      </c>
      <c r="AC234" t="str">
        <f t="shared" si="90"/>
        <v>No</v>
      </c>
      <c r="AD234" t="str">
        <f>"11705723812"</f>
        <v>11705723812</v>
      </c>
      <c r="AE234" t="str">
        <f>"ADMIN OFFICER"</f>
        <v>ADMIN OFFICER</v>
      </c>
      <c r="AF234" t="str">
        <f t="shared" si="98"/>
        <v>(02) 6271 1000</v>
      </c>
      <c r="AG234" t="str">
        <f>""</f>
        <v/>
      </c>
      <c r="AH234" t="str">
        <f>""</f>
        <v/>
      </c>
      <c r="AI234" t="str">
        <f>"NPAR"</f>
        <v>NPAR</v>
      </c>
      <c r="AJ234" t="str">
        <f t="shared" si="95"/>
        <v>2603</v>
      </c>
    </row>
    <row r="235" spans="1:36" x14ac:dyDescent="0.25">
      <c r="A235" t="str">
        <f t="shared" si="82"/>
        <v>Department of Communications</v>
      </c>
      <c r="B235" t="str">
        <f>""</f>
        <v/>
      </c>
      <c r="C235" t="str">
        <f>"CN2756772"</f>
        <v>CN2756772</v>
      </c>
      <c r="D235" t="str">
        <f t="shared" si="96"/>
        <v>David Kenny</v>
      </c>
      <c r="E235" s="44">
        <v>41990.522916666669</v>
      </c>
      <c r="F235" t="s">
        <v>2508</v>
      </c>
      <c r="G235" t="str">
        <f t="shared" si="83"/>
        <v>published</v>
      </c>
      <c r="H235" s="45">
        <v>41981</v>
      </c>
      <c r="I235" s="45">
        <v>42181</v>
      </c>
      <c r="J235" s="46">
        <v>122000</v>
      </c>
      <c r="K235" t="s">
        <v>438</v>
      </c>
      <c r="L235" t="str">
        <f>"0004604801"</f>
        <v>0004604801</v>
      </c>
      <c r="M235" t="str">
        <f>"Temporary personnel services"</f>
        <v>Temporary personnel services</v>
      </c>
      <c r="N235" t="str">
        <f>"Limited tender"</f>
        <v>Limited tender</v>
      </c>
      <c r="O235" t="str">
        <f>""</f>
        <v/>
      </c>
      <c r="Q235" t="str">
        <f>"Yes"</f>
        <v>Yes</v>
      </c>
      <c r="R235" t="str">
        <f>"Other - FEES"</f>
        <v>Other - FEES</v>
      </c>
      <c r="S235" t="str">
        <f t="shared" si="97"/>
        <v>No</v>
      </c>
      <c r="T235" t="str">
        <f>""</f>
        <v/>
      </c>
      <c r="U235" t="str">
        <f t="shared" ref="U235:U244" si="99">"No"</f>
        <v>No</v>
      </c>
      <c r="V235" t="str">
        <f>""</f>
        <v/>
      </c>
      <c r="X235" t="str">
        <f>"Megan Bonny"</f>
        <v>Megan Bonny</v>
      </c>
      <c r="Y235" t="str">
        <f>"44 Vasey Crescent"</f>
        <v>44 Vasey Crescent</v>
      </c>
      <c r="Z235" t="str">
        <f>"Campbell"</f>
        <v>Campbell</v>
      </c>
      <c r="AA235" t="str">
        <f>"2612"</f>
        <v>2612</v>
      </c>
      <c r="AB235" t="str">
        <f t="shared" si="91"/>
        <v>Australia</v>
      </c>
      <c r="AC235" t="str">
        <f t="shared" si="90"/>
        <v>No</v>
      </c>
      <c r="AD235" t="str">
        <f>"20440179430"</f>
        <v>20440179430</v>
      </c>
      <c r="AE235" t="str">
        <f>"PROCUREMENT MANAGER"</f>
        <v>PROCUREMENT MANAGER</v>
      </c>
      <c r="AF235" t="str">
        <f t="shared" si="98"/>
        <v>(02) 6271 1000</v>
      </c>
      <c r="AG235" t="str">
        <f>""</f>
        <v/>
      </c>
      <c r="AH235" t="str">
        <f>""</f>
        <v/>
      </c>
      <c r="AI235" t="str">
        <f>"COMMUNICATIONS RESEARCH Bureau of Communications Research"</f>
        <v>COMMUNICATIONS RESEARCH Bureau of Communications Research</v>
      </c>
      <c r="AJ235" t="str">
        <f t="shared" si="95"/>
        <v>2603</v>
      </c>
    </row>
    <row r="236" spans="1:36" x14ac:dyDescent="0.25">
      <c r="A236" t="str">
        <f t="shared" si="82"/>
        <v>Department of Communications</v>
      </c>
      <c r="B236" t="str">
        <f>""</f>
        <v/>
      </c>
      <c r="C236" t="str">
        <f>"CN2756762"</f>
        <v>CN2756762</v>
      </c>
      <c r="D236" t="str">
        <f t="shared" si="96"/>
        <v>David Kenny</v>
      </c>
      <c r="E236" s="44">
        <v>41990.522916666669</v>
      </c>
      <c r="F236" t="s">
        <v>2508</v>
      </c>
      <c r="G236" t="str">
        <f t="shared" si="83"/>
        <v>published</v>
      </c>
      <c r="H236" s="45">
        <v>41988</v>
      </c>
      <c r="I236" s="45">
        <v>42185</v>
      </c>
      <c r="J236" s="46">
        <v>27500</v>
      </c>
      <c r="K236" t="s">
        <v>1754</v>
      </c>
      <c r="L236" t="str">
        <f>"0004604804"</f>
        <v>0004604804</v>
      </c>
      <c r="M236" t="str">
        <f>"Information technology consultation services"</f>
        <v>Information technology consultation services</v>
      </c>
      <c r="N236" t="str">
        <f>"Open tender"</f>
        <v>Open tender</v>
      </c>
      <c r="O236" t="str">
        <f>"DCON/10/96"</f>
        <v>DCON/10/96</v>
      </c>
      <c r="P236" t="str">
        <f>"SON368749"</f>
        <v>SON368749</v>
      </c>
      <c r="Q236" t="str">
        <f t="shared" ref="Q236:Q267" si="100">"No"</f>
        <v>No</v>
      </c>
      <c r="R236" t="str">
        <f>""</f>
        <v/>
      </c>
      <c r="S236" t="str">
        <f t="shared" si="97"/>
        <v>No</v>
      </c>
      <c r="T236" t="str">
        <f>""</f>
        <v/>
      </c>
      <c r="U236" t="str">
        <f t="shared" si="99"/>
        <v>No</v>
      </c>
      <c r="V236" t="str">
        <f>""</f>
        <v/>
      </c>
      <c r="X236" t="str">
        <f>"Squiz Australia Pty Ltd"</f>
        <v>Squiz Australia Pty Ltd</v>
      </c>
      <c r="Y236" t="str">
        <f>"Unit 3, 19 Napier Close"</f>
        <v>Unit 3, 19 Napier Close</v>
      </c>
      <c r="Z236" t="str">
        <f>"Deakin"</f>
        <v>Deakin</v>
      </c>
      <c r="AA236" t="str">
        <f>"2600"</f>
        <v>2600</v>
      </c>
      <c r="AB236" t="str">
        <f t="shared" si="91"/>
        <v>Australia</v>
      </c>
      <c r="AC236" t="str">
        <f t="shared" si="90"/>
        <v>No</v>
      </c>
      <c r="AD236" t="str">
        <f>"53131581247"</f>
        <v>53131581247</v>
      </c>
      <c r="AE236" t="str">
        <f t="shared" ref="AE236:AE243" si="101">"ADMIN OFFICER"</f>
        <v>ADMIN OFFICER</v>
      </c>
      <c r="AF236" t="str">
        <f t="shared" si="98"/>
        <v>(02) 6271 1000</v>
      </c>
      <c r="AG236" t="str">
        <f>""</f>
        <v/>
      </c>
      <c r="AH236" t="str">
        <f>""</f>
        <v/>
      </c>
      <c r="AI236" t="str">
        <f t="shared" ref="AI236:AI243" si="102">"CORPORATE TREASURY [OLD] Corporate Treasury"</f>
        <v>CORPORATE TREASURY [OLD] Corporate Treasury</v>
      </c>
      <c r="AJ236" t="str">
        <f t="shared" si="95"/>
        <v>2603</v>
      </c>
    </row>
    <row r="237" spans="1:36" x14ac:dyDescent="0.25">
      <c r="A237" t="str">
        <f t="shared" si="82"/>
        <v>Department of Communications</v>
      </c>
      <c r="B237" t="str">
        <f>""</f>
        <v/>
      </c>
      <c r="C237" t="str">
        <f>"CN2800722"</f>
        <v>CN2800722</v>
      </c>
      <c r="D237" t="str">
        <f t="shared" si="96"/>
        <v>David Kenny</v>
      </c>
      <c r="E237" s="44">
        <v>42019.469444444447</v>
      </c>
      <c r="F237" t="s">
        <v>2508</v>
      </c>
      <c r="G237" t="str">
        <f t="shared" si="83"/>
        <v>published</v>
      </c>
      <c r="H237" s="45">
        <v>41984</v>
      </c>
      <c r="I237" s="45">
        <v>42094</v>
      </c>
      <c r="J237" s="46">
        <v>31108</v>
      </c>
      <c r="K237" t="s">
        <v>1756</v>
      </c>
      <c r="L237" t="str">
        <f>"0004604807"</f>
        <v>0004604807</v>
      </c>
      <c r="M237" t="str">
        <f>"Management advisory services"</f>
        <v>Management advisory services</v>
      </c>
      <c r="N237" t="str">
        <f>"Limited tender"</f>
        <v>Limited tender</v>
      </c>
      <c r="O237" t="str">
        <f>""</f>
        <v/>
      </c>
      <c r="Q237" t="str">
        <f t="shared" si="100"/>
        <v>No</v>
      </c>
      <c r="R237" t="str">
        <f>""</f>
        <v/>
      </c>
      <c r="S237" t="str">
        <f t="shared" si="97"/>
        <v>No</v>
      </c>
      <c r="T237" t="str">
        <f>""</f>
        <v/>
      </c>
      <c r="U237" t="str">
        <f t="shared" si="99"/>
        <v>No</v>
      </c>
      <c r="V237" t="str">
        <f>""</f>
        <v/>
      </c>
      <c r="X237" t="str">
        <f>"NEF Consulting Services"</f>
        <v>NEF Consulting Services</v>
      </c>
      <c r="Y237" t="str">
        <f>"PO Box 260"</f>
        <v>PO Box 260</v>
      </c>
      <c r="Z237" t="str">
        <f>"Dickson"</f>
        <v>Dickson</v>
      </c>
      <c r="AA237" t="str">
        <f>"2602"</f>
        <v>2602</v>
      </c>
      <c r="AB237" t="str">
        <f t="shared" si="91"/>
        <v>Australia</v>
      </c>
      <c r="AC237" t="str">
        <f t="shared" si="90"/>
        <v>No</v>
      </c>
      <c r="AD237" t="str">
        <f>"17125808188"</f>
        <v>17125808188</v>
      </c>
      <c r="AE237" t="str">
        <f t="shared" si="101"/>
        <v>ADMIN OFFICER</v>
      </c>
      <c r="AF237" t="str">
        <f t="shared" si="98"/>
        <v>(02) 6271 1000</v>
      </c>
      <c r="AG237" t="str">
        <f>""</f>
        <v/>
      </c>
      <c r="AH237" t="str">
        <f>""</f>
        <v/>
      </c>
      <c r="AI237" t="str">
        <f t="shared" si="102"/>
        <v>CORPORATE TREASURY [OLD] Corporate Treasury</v>
      </c>
      <c r="AJ237" t="str">
        <f t="shared" si="95"/>
        <v>2603</v>
      </c>
    </row>
    <row r="238" spans="1:36" x14ac:dyDescent="0.25">
      <c r="A238" t="str">
        <f t="shared" si="82"/>
        <v>Department of Communications</v>
      </c>
      <c r="B238" t="str">
        <f>""</f>
        <v/>
      </c>
      <c r="C238" t="str">
        <f>"CN2756752"</f>
        <v>CN2756752</v>
      </c>
      <c r="D238" t="str">
        <f t="shared" si="96"/>
        <v>David Kenny</v>
      </c>
      <c r="E238" s="44">
        <v>41990.522222222222</v>
      </c>
      <c r="F238" t="s">
        <v>2508</v>
      </c>
      <c r="G238" t="str">
        <f t="shared" si="83"/>
        <v>published</v>
      </c>
      <c r="H238" s="45">
        <v>41977</v>
      </c>
      <c r="I238" s="45">
        <v>42094</v>
      </c>
      <c r="J238" s="46">
        <v>143687</v>
      </c>
      <c r="K238" t="s">
        <v>1760</v>
      </c>
      <c r="L238" t="str">
        <f>"0004604808"</f>
        <v>0004604808</v>
      </c>
      <c r="M238" t="str">
        <f>"Information technology consultation services"</f>
        <v>Information technology consultation services</v>
      </c>
      <c r="N238" t="str">
        <f>"Open tender"</f>
        <v>Open tender</v>
      </c>
      <c r="O238" t="str">
        <f>"20000194"</f>
        <v>20000194</v>
      </c>
      <c r="P238" t="str">
        <f>"SON466625"</f>
        <v>SON466625</v>
      </c>
      <c r="Q238" t="str">
        <f t="shared" si="100"/>
        <v>No</v>
      </c>
      <c r="R238" t="str">
        <f>""</f>
        <v/>
      </c>
      <c r="S238" t="str">
        <f t="shared" si="97"/>
        <v>No</v>
      </c>
      <c r="T238" t="str">
        <f>""</f>
        <v/>
      </c>
      <c r="U238" t="str">
        <f t="shared" si="99"/>
        <v>No</v>
      </c>
      <c r="V238" t="str">
        <f>""</f>
        <v/>
      </c>
      <c r="X238" t="str">
        <f>"The Citadel Group Limited"</f>
        <v>The Citadel Group Limited</v>
      </c>
      <c r="Y238" t="str">
        <f>"PO Box 784"</f>
        <v>PO Box 784</v>
      </c>
      <c r="Z238" t="str">
        <f>"Fyshwick"</f>
        <v>Fyshwick</v>
      </c>
      <c r="AA238" t="str">
        <f>"2609"</f>
        <v>2609</v>
      </c>
      <c r="AB238" t="str">
        <f t="shared" si="91"/>
        <v>Australia</v>
      </c>
      <c r="AC238" t="str">
        <f t="shared" si="90"/>
        <v>No</v>
      </c>
      <c r="AD238" t="str">
        <f>"79127151026"</f>
        <v>79127151026</v>
      </c>
      <c r="AE238" t="str">
        <f t="shared" si="101"/>
        <v>ADMIN OFFICER</v>
      </c>
      <c r="AF238" t="str">
        <f t="shared" si="98"/>
        <v>(02) 6271 1000</v>
      </c>
      <c r="AG238" t="str">
        <f>""</f>
        <v/>
      </c>
      <c r="AH238" t="str">
        <f>""</f>
        <v/>
      </c>
      <c r="AI238" t="str">
        <f t="shared" si="102"/>
        <v>CORPORATE TREASURY [OLD] Corporate Treasury</v>
      </c>
      <c r="AJ238" t="str">
        <f t="shared" si="95"/>
        <v>2603</v>
      </c>
    </row>
    <row r="239" spans="1:36" x14ac:dyDescent="0.25">
      <c r="A239" t="str">
        <f t="shared" si="82"/>
        <v>Department of Communications</v>
      </c>
      <c r="B239" t="str">
        <f>""</f>
        <v/>
      </c>
      <c r="C239" t="str">
        <f>"CN3139722"</f>
        <v>CN3139722</v>
      </c>
      <c r="D239" t="str">
        <f t="shared" si="96"/>
        <v>David Kenny</v>
      </c>
      <c r="E239" s="44">
        <v>42164.624305555553</v>
      </c>
      <c r="F239" t="s">
        <v>2508</v>
      </c>
      <c r="G239" t="str">
        <f t="shared" si="83"/>
        <v>published</v>
      </c>
      <c r="H239" s="45">
        <v>41977</v>
      </c>
      <c r="I239" s="45">
        <v>42185</v>
      </c>
      <c r="J239" s="46">
        <v>39674.199999999997</v>
      </c>
      <c r="K239" t="s">
        <v>1760</v>
      </c>
      <c r="L239" t="str">
        <f>"0004604808"</f>
        <v>0004604808</v>
      </c>
      <c r="M239" t="str">
        <f>"Information technology consultation services"</f>
        <v>Information technology consultation services</v>
      </c>
      <c r="N239" t="str">
        <f>"Open tender"</f>
        <v>Open tender</v>
      </c>
      <c r="O239" t="str">
        <f>"20000194"</f>
        <v>20000194</v>
      </c>
      <c r="P239" t="str">
        <f>"SON466625"</f>
        <v>SON466625</v>
      </c>
      <c r="Q239" t="str">
        <f t="shared" si="100"/>
        <v>No</v>
      </c>
      <c r="R239" t="str">
        <f>""</f>
        <v/>
      </c>
      <c r="S239" t="str">
        <f t="shared" si="97"/>
        <v>No</v>
      </c>
      <c r="T239" t="str">
        <f>""</f>
        <v/>
      </c>
      <c r="U239" t="str">
        <f t="shared" si="99"/>
        <v>No</v>
      </c>
      <c r="V239" t="str">
        <f>""</f>
        <v/>
      </c>
      <c r="X239" t="str">
        <f>"The Citadel Group Limited"</f>
        <v>The Citadel Group Limited</v>
      </c>
      <c r="Y239" t="str">
        <f>"PO Box 784"</f>
        <v>PO Box 784</v>
      </c>
      <c r="Z239" t="str">
        <f>"Fyshwick"</f>
        <v>Fyshwick</v>
      </c>
      <c r="AA239" t="str">
        <f>"2609"</f>
        <v>2609</v>
      </c>
      <c r="AB239" t="str">
        <f t="shared" si="91"/>
        <v>Australia</v>
      </c>
      <c r="AC239" t="str">
        <f t="shared" si="90"/>
        <v>No</v>
      </c>
      <c r="AD239" t="str">
        <f>"79127151026"</f>
        <v>79127151026</v>
      </c>
      <c r="AE239" t="str">
        <f t="shared" si="101"/>
        <v>ADMIN OFFICER</v>
      </c>
      <c r="AF239" t="str">
        <f t="shared" si="98"/>
        <v>(02) 6271 1000</v>
      </c>
      <c r="AG239" t="str">
        <f>""</f>
        <v/>
      </c>
      <c r="AH239" t="str">
        <f>""</f>
        <v/>
      </c>
      <c r="AI239" t="str">
        <f t="shared" si="102"/>
        <v>CORPORATE TREASURY [OLD] Corporate Treasury</v>
      </c>
      <c r="AJ239" t="str">
        <f t="shared" si="95"/>
        <v>2603</v>
      </c>
    </row>
    <row r="240" spans="1:36" x14ac:dyDescent="0.25">
      <c r="A240" t="str">
        <f t="shared" si="82"/>
        <v>Department of Communications</v>
      </c>
      <c r="B240" t="str">
        <f>""</f>
        <v/>
      </c>
      <c r="C240" t="str">
        <f>"CN2800712"</f>
        <v>CN2800712</v>
      </c>
      <c r="D240" t="str">
        <f t="shared" si="96"/>
        <v>David Kenny</v>
      </c>
      <c r="E240" s="44">
        <v>42019.469444444447</v>
      </c>
      <c r="F240" t="s">
        <v>2508</v>
      </c>
      <c r="G240" t="str">
        <f t="shared" si="83"/>
        <v>published</v>
      </c>
      <c r="H240" s="45">
        <v>42013</v>
      </c>
      <c r="I240" s="45">
        <v>42080</v>
      </c>
      <c r="J240" s="46">
        <v>216860.22</v>
      </c>
      <c r="K240" t="s">
        <v>1763</v>
      </c>
      <c r="L240" t="str">
        <f>"0004604810"</f>
        <v>0004604810</v>
      </c>
      <c r="M240" t="str">
        <f>"Information technology consultation services"</f>
        <v>Information technology consultation services</v>
      </c>
      <c r="N240" t="str">
        <f>"Open tender"</f>
        <v>Open tender</v>
      </c>
      <c r="O240" t="str">
        <f>"DCON/10/96"</f>
        <v>DCON/10/96</v>
      </c>
      <c r="P240" t="str">
        <f>"SON368749"</f>
        <v>SON368749</v>
      </c>
      <c r="Q240" t="str">
        <f t="shared" si="100"/>
        <v>No</v>
      </c>
      <c r="R240" t="str">
        <f>""</f>
        <v/>
      </c>
      <c r="S240" t="str">
        <f t="shared" si="97"/>
        <v>No</v>
      </c>
      <c r="T240" t="str">
        <f>""</f>
        <v/>
      </c>
      <c r="U240" t="str">
        <f t="shared" si="99"/>
        <v>No</v>
      </c>
      <c r="V240" t="str">
        <f>""</f>
        <v/>
      </c>
      <c r="X240" t="str">
        <f>"Squiz Australia Pty Ltd"</f>
        <v>Squiz Australia Pty Ltd</v>
      </c>
      <c r="Y240" t="str">
        <f>"Unit 3, 19 Napier Close"</f>
        <v>Unit 3, 19 Napier Close</v>
      </c>
      <c r="Z240" t="str">
        <f>"Deakin"</f>
        <v>Deakin</v>
      </c>
      <c r="AA240" t="str">
        <f>"2600"</f>
        <v>2600</v>
      </c>
      <c r="AB240" t="str">
        <f t="shared" si="91"/>
        <v>Australia</v>
      </c>
      <c r="AC240" t="str">
        <f t="shared" si="90"/>
        <v>No</v>
      </c>
      <c r="AD240" t="str">
        <f>"53131581247"</f>
        <v>53131581247</v>
      </c>
      <c r="AE240" t="str">
        <f t="shared" si="101"/>
        <v>ADMIN OFFICER</v>
      </c>
      <c r="AF240" t="str">
        <f t="shared" si="98"/>
        <v>(02) 6271 1000</v>
      </c>
      <c r="AG240" t="str">
        <f>""</f>
        <v/>
      </c>
      <c r="AH240" t="str">
        <f>""</f>
        <v/>
      </c>
      <c r="AI240" t="str">
        <f t="shared" si="102"/>
        <v>CORPORATE TREASURY [OLD] Corporate Treasury</v>
      </c>
      <c r="AJ240" t="str">
        <f t="shared" si="95"/>
        <v>2603</v>
      </c>
    </row>
    <row r="241" spans="1:36" x14ac:dyDescent="0.25">
      <c r="A241" t="str">
        <f t="shared" si="82"/>
        <v>Department of Communications</v>
      </c>
      <c r="B241" t="str">
        <f>""</f>
        <v/>
      </c>
      <c r="C241" t="str">
        <f>"CN3129522"</f>
        <v>CN3129522</v>
      </c>
      <c r="D241" t="str">
        <f>"Leesa O'connor"</f>
        <v>Leesa O'connor</v>
      </c>
      <c r="E241" s="44">
        <v>42160.526388888888</v>
      </c>
      <c r="F241" t="s">
        <v>2508</v>
      </c>
      <c r="G241" t="str">
        <f t="shared" si="83"/>
        <v>published</v>
      </c>
      <c r="H241" s="45">
        <v>42013</v>
      </c>
      <c r="I241" s="45">
        <v>42185</v>
      </c>
      <c r="J241" s="46">
        <v>440851.81</v>
      </c>
      <c r="K241" t="s">
        <v>1763</v>
      </c>
      <c r="L241" t="str">
        <f>"0004604810"</f>
        <v>0004604810</v>
      </c>
      <c r="M241" t="str">
        <f>"Information technology consultation services"</f>
        <v>Information technology consultation services</v>
      </c>
      <c r="N241" t="str">
        <f>"Open tender"</f>
        <v>Open tender</v>
      </c>
      <c r="O241" t="str">
        <f>"DCON/10/96"</f>
        <v>DCON/10/96</v>
      </c>
      <c r="P241" t="str">
        <f>"SON368749"</f>
        <v>SON368749</v>
      </c>
      <c r="Q241" t="str">
        <f t="shared" si="100"/>
        <v>No</v>
      </c>
      <c r="R241" t="str">
        <f>""</f>
        <v/>
      </c>
      <c r="S241" t="str">
        <f t="shared" si="97"/>
        <v>No</v>
      </c>
      <c r="T241" t="str">
        <f>""</f>
        <v/>
      </c>
      <c r="U241" t="str">
        <f t="shared" si="99"/>
        <v>No</v>
      </c>
      <c r="V241" t="str">
        <f>""</f>
        <v/>
      </c>
      <c r="X241" t="str">
        <f>"Squiz Australia Pty Ltd"</f>
        <v>Squiz Australia Pty Ltd</v>
      </c>
      <c r="Y241" t="str">
        <f>"Unit 3, 19 Napier Close"</f>
        <v>Unit 3, 19 Napier Close</v>
      </c>
      <c r="Z241" t="str">
        <f>"Deakin"</f>
        <v>Deakin</v>
      </c>
      <c r="AA241" t="str">
        <f>"2600"</f>
        <v>2600</v>
      </c>
      <c r="AB241" t="str">
        <f t="shared" si="91"/>
        <v>Australia</v>
      </c>
      <c r="AC241" t="str">
        <f t="shared" si="90"/>
        <v>No</v>
      </c>
      <c r="AD241" t="str">
        <f>"53131581247"</f>
        <v>53131581247</v>
      </c>
      <c r="AE241" t="str">
        <f t="shared" si="101"/>
        <v>ADMIN OFFICER</v>
      </c>
      <c r="AF241" t="str">
        <f t="shared" si="98"/>
        <v>(02) 6271 1000</v>
      </c>
      <c r="AG241" t="str">
        <f>""</f>
        <v/>
      </c>
      <c r="AH241" t="str">
        <f>""</f>
        <v/>
      </c>
      <c r="AI241" t="str">
        <f t="shared" si="102"/>
        <v>CORPORATE TREASURY [OLD] Corporate Treasury</v>
      </c>
      <c r="AJ241" t="str">
        <f t="shared" si="95"/>
        <v>2603</v>
      </c>
    </row>
    <row r="242" spans="1:36" x14ac:dyDescent="0.25">
      <c r="A242" t="str">
        <f t="shared" si="82"/>
        <v>Department of Communications</v>
      </c>
      <c r="B242" t="str">
        <f>""</f>
        <v/>
      </c>
      <c r="C242" t="str">
        <f>"CN2800702"</f>
        <v>CN2800702</v>
      </c>
      <c r="D242" t="str">
        <f>"David Kenny"</f>
        <v>David Kenny</v>
      </c>
      <c r="E242" s="44">
        <v>42019.469444444447</v>
      </c>
      <c r="F242" t="s">
        <v>2508</v>
      </c>
      <c r="G242" t="str">
        <f t="shared" si="83"/>
        <v>published</v>
      </c>
      <c r="H242" s="45">
        <v>41984</v>
      </c>
      <c r="I242" s="45">
        <v>42094</v>
      </c>
      <c r="J242" s="46">
        <v>135000</v>
      </c>
      <c r="K242" t="s">
        <v>1765</v>
      </c>
      <c r="L242" t="str">
        <f>"0004604811"</f>
        <v>0004604811</v>
      </c>
      <c r="M242" t="str">
        <f>"Building construction and support and maintenance and repair services"</f>
        <v>Building construction and support and maintenance and repair services</v>
      </c>
      <c r="N242" t="str">
        <f>"Limited tender"</f>
        <v>Limited tender</v>
      </c>
      <c r="O242" t="str">
        <f>""</f>
        <v/>
      </c>
      <c r="Q242" t="str">
        <f t="shared" si="100"/>
        <v>No</v>
      </c>
      <c r="R242" t="str">
        <f>""</f>
        <v/>
      </c>
      <c r="S242" t="str">
        <f t="shared" si="97"/>
        <v>No</v>
      </c>
      <c r="T242" t="str">
        <f>""</f>
        <v/>
      </c>
      <c r="U242" t="str">
        <f t="shared" si="99"/>
        <v>No</v>
      </c>
      <c r="V242" t="str">
        <f>""</f>
        <v/>
      </c>
      <c r="X242" t="str">
        <f>"Affinity Construction Management Pt"</f>
        <v>Affinity Construction Management Pt</v>
      </c>
      <c r="Y242" t="str">
        <f>"P O Box 753"</f>
        <v>P O Box 753</v>
      </c>
      <c r="Z242" t="str">
        <f>"Fyshwick"</f>
        <v>Fyshwick</v>
      </c>
      <c r="AA242" t="str">
        <f>"2609"</f>
        <v>2609</v>
      </c>
      <c r="AB242" t="str">
        <f t="shared" si="91"/>
        <v>Australia</v>
      </c>
      <c r="AC242" t="str">
        <f t="shared" si="90"/>
        <v>No</v>
      </c>
      <c r="AD242" t="str">
        <f>"63103395786"</f>
        <v>63103395786</v>
      </c>
      <c r="AE242" t="str">
        <f t="shared" si="101"/>
        <v>ADMIN OFFICER</v>
      </c>
      <c r="AF242" t="str">
        <f t="shared" si="98"/>
        <v>(02) 6271 1000</v>
      </c>
      <c r="AG242" t="str">
        <f>""</f>
        <v/>
      </c>
      <c r="AH242" t="str">
        <f>""</f>
        <v/>
      </c>
      <c r="AI242" t="str">
        <f t="shared" si="102"/>
        <v>CORPORATE TREASURY [OLD] Corporate Treasury</v>
      </c>
      <c r="AJ242" t="str">
        <f t="shared" si="95"/>
        <v>2603</v>
      </c>
    </row>
    <row r="243" spans="1:36" x14ac:dyDescent="0.25">
      <c r="A243" t="str">
        <f t="shared" si="82"/>
        <v>Department of Communications</v>
      </c>
      <c r="B243" t="str">
        <f>""</f>
        <v/>
      </c>
      <c r="C243" t="str">
        <f>"CN2800692"</f>
        <v>CN2800692</v>
      </c>
      <c r="D243" t="str">
        <f>"David Kenny"</f>
        <v>David Kenny</v>
      </c>
      <c r="E243" s="44">
        <v>42019.469444444447</v>
      </c>
      <c r="F243" t="s">
        <v>2508</v>
      </c>
      <c r="G243" t="str">
        <f t="shared" si="83"/>
        <v>published</v>
      </c>
      <c r="H243" s="45">
        <v>41981</v>
      </c>
      <c r="I243" s="45">
        <v>42124</v>
      </c>
      <c r="J243" s="46">
        <v>98230</v>
      </c>
      <c r="K243" t="s">
        <v>1767</v>
      </c>
      <c r="L243" t="str">
        <f>"0004604813"</f>
        <v>0004604813</v>
      </c>
      <c r="M243" t="str">
        <f>"Computer Equipment and Accessories"</f>
        <v>Computer Equipment and Accessories</v>
      </c>
      <c r="N243" t="str">
        <f>"Open tender"</f>
        <v>Open tender</v>
      </c>
      <c r="O243" t="str">
        <f>"DCON/09/67"</f>
        <v>DCON/09/67</v>
      </c>
      <c r="P243" t="str">
        <f>"SON269193"</f>
        <v>SON269193</v>
      </c>
      <c r="Q243" t="str">
        <f t="shared" si="100"/>
        <v>No</v>
      </c>
      <c r="R243" t="str">
        <f>""</f>
        <v/>
      </c>
      <c r="S243" t="str">
        <f t="shared" si="97"/>
        <v>No</v>
      </c>
      <c r="T243" t="str">
        <f>""</f>
        <v/>
      </c>
      <c r="U243" t="str">
        <f t="shared" si="99"/>
        <v>No</v>
      </c>
      <c r="V243" t="str">
        <f>""</f>
        <v/>
      </c>
      <c r="X243" t="str">
        <f>"ASG Group Limited"</f>
        <v>ASG Group Limited</v>
      </c>
      <c r="Y243" t="str">
        <f>"Level 1, 267 Georges Terrace"</f>
        <v>Level 1, 267 Georges Terrace</v>
      </c>
      <c r="Z243" t="str">
        <f>"Perth"</f>
        <v>Perth</v>
      </c>
      <c r="AA243" t="str">
        <f>"6000"</f>
        <v>6000</v>
      </c>
      <c r="AB243" t="str">
        <f t="shared" si="91"/>
        <v>Australia</v>
      </c>
      <c r="AC243" t="str">
        <f t="shared" si="90"/>
        <v>No</v>
      </c>
      <c r="AD243" t="str">
        <f>"57070045117"</f>
        <v>57070045117</v>
      </c>
      <c r="AE243" t="str">
        <f t="shared" si="101"/>
        <v>ADMIN OFFICER</v>
      </c>
      <c r="AF243" t="str">
        <f t="shared" si="98"/>
        <v>(02) 6271 1000</v>
      </c>
      <c r="AG243" t="str">
        <f>""</f>
        <v/>
      </c>
      <c r="AH243" t="str">
        <f>""</f>
        <v/>
      </c>
      <c r="AI243" t="str">
        <f t="shared" si="102"/>
        <v>CORPORATE TREASURY [OLD] Corporate Treasury</v>
      </c>
      <c r="AJ243" t="str">
        <f t="shared" si="95"/>
        <v>2603</v>
      </c>
    </row>
    <row r="244" spans="1:36" x14ac:dyDescent="0.25">
      <c r="A244" t="str">
        <f t="shared" si="82"/>
        <v>Department of Communications</v>
      </c>
      <c r="B244" t="str">
        <f>""</f>
        <v/>
      </c>
      <c r="C244" t="str">
        <f>"CN2800682"</f>
        <v>CN2800682</v>
      </c>
      <c r="D244" t="str">
        <f>"David Kenny"</f>
        <v>David Kenny</v>
      </c>
      <c r="E244" s="44">
        <v>42019.469444444447</v>
      </c>
      <c r="F244" t="s">
        <v>2508</v>
      </c>
      <c r="G244" t="str">
        <f t="shared" si="83"/>
        <v>published</v>
      </c>
      <c r="H244" s="45">
        <v>41995</v>
      </c>
      <c r="I244" s="45">
        <v>42079</v>
      </c>
      <c r="J244" s="46">
        <v>22522.5</v>
      </c>
      <c r="K244" t="s">
        <v>495</v>
      </c>
      <c r="L244" t="str">
        <f>"0004604814"</f>
        <v>0004604814</v>
      </c>
      <c r="M244" t="str">
        <f>"Printed publications"</f>
        <v>Printed publications</v>
      </c>
      <c r="N244" t="str">
        <f>"Limited tender"</f>
        <v>Limited tender</v>
      </c>
      <c r="O244" t="str">
        <f>""</f>
        <v/>
      </c>
      <c r="Q244" t="str">
        <f t="shared" si="100"/>
        <v>No</v>
      </c>
      <c r="R244" t="str">
        <f>""</f>
        <v/>
      </c>
      <c r="S244" t="str">
        <f t="shared" si="97"/>
        <v>No</v>
      </c>
      <c r="T244" t="str">
        <f>""</f>
        <v/>
      </c>
      <c r="U244" t="str">
        <f t="shared" si="99"/>
        <v>No</v>
      </c>
      <c r="V244" t="str">
        <f>""</f>
        <v/>
      </c>
      <c r="X244" t="str">
        <f>"AC NIELSEN AUSTRALIA PTY LTD"</f>
        <v>AC NIELSEN AUSTRALIA PTY LTD</v>
      </c>
      <c r="Y244" t="str">
        <f>"PO BOX 130"</f>
        <v>PO BOX 130</v>
      </c>
      <c r="Z244" t="str">
        <f>"NORTH RYDE"</f>
        <v>NORTH RYDE</v>
      </c>
      <c r="AA244" t="str">
        <f>"2113"</f>
        <v>2113</v>
      </c>
      <c r="AB244" t="str">
        <f t="shared" si="91"/>
        <v>Australia</v>
      </c>
      <c r="AC244" t="str">
        <f t="shared" si="90"/>
        <v>No</v>
      </c>
      <c r="AD244" t="str">
        <f>"35008417874"</f>
        <v>35008417874</v>
      </c>
      <c r="AE244" t="str">
        <f>"PROCUREMENT MANAGER"</f>
        <v>PROCUREMENT MANAGER</v>
      </c>
      <c r="AF244" t="str">
        <f t="shared" si="98"/>
        <v>(02) 6271 1000</v>
      </c>
      <c r="AG244" t="str">
        <f>""</f>
        <v/>
      </c>
      <c r="AH244" t="str">
        <f>""</f>
        <v/>
      </c>
      <c r="AI244" t="str">
        <f>"COMMUNICATIONS RESEARCH Bureau of Communications Research"</f>
        <v>COMMUNICATIONS RESEARCH Bureau of Communications Research</v>
      </c>
      <c r="AJ244" t="str">
        <f t="shared" si="95"/>
        <v>2603</v>
      </c>
    </row>
    <row r="245" spans="1:36" x14ac:dyDescent="0.25">
      <c r="A245" t="str">
        <f t="shared" si="82"/>
        <v>Department of Communications</v>
      </c>
      <c r="B245" t="str">
        <f>""</f>
        <v/>
      </c>
      <c r="C245" t="str">
        <f>"CN2842292"</f>
        <v>CN2842292</v>
      </c>
      <c r="D245" t="str">
        <f>"David Kenny"</f>
        <v>David Kenny</v>
      </c>
      <c r="E245" s="44">
        <v>42044.582638888889</v>
      </c>
      <c r="F245" t="s">
        <v>2508</v>
      </c>
      <c r="G245" t="str">
        <f t="shared" si="83"/>
        <v>published</v>
      </c>
      <c r="H245" s="45">
        <v>41996</v>
      </c>
      <c r="I245" s="45">
        <v>42096</v>
      </c>
      <c r="J245" s="46">
        <v>127587</v>
      </c>
      <c r="K245" t="s">
        <v>443</v>
      </c>
      <c r="L245" t="str">
        <f>"0004604815"</f>
        <v>0004604815</v>
      </c>
      <c r="M245" t="str">
        <f>"Economics"</f>
        <v>Economics</v>
      </c>
      <c r="N245" t="str">
        <f>"Open tender"</f>
        <v>Open tender</v>
      </c>
      <c r="O245" t="str">
        <f>"DCON/12/133"</f>
        <v>DCON/12/133</v>
      </c>
      <c r="P245" t="str">
        <f>"SON1143842"</f>
        <v>SON1143842</v>
      </c>
      <c r="Q245" t="str">
        <f t="shared" si="100"/>
        <v>No</v>
      </c>
      <c r="R245" t="str">
        <f>""</f>
        <v/>
      </c>
      <c r="S245" t="str">
        <f>"Yes"</f>
        <v>Yes</v>
      </c>
      <c r="T245" t="str">
        <f>"Other - CONFIDENTIAL MARKET DATA"</f>
        <v>Other - CONFIDENTIAL MARKET DATA</v>
      </c>
      <c r="U245" t="str">
        <f>"Yes"</f>
        <v>Yes</v>
      </c>
      <c r="V245" t="str">
        <f>"Need for independent research or assessment"</f>
        <v>Need for independent research or assessment</v>
      </c>
      <c r="X245" t="str">
        <f>"INTERNATIONAL ECONOMICS UNIT TRUST"</f>
        <v>INTERNATIONAL ECONOMICS UNIT TRUST</v>
      </c>
      <c r="Y245" t="str">
        <f>"PO Box 397"</f>
        <v>PO Box 397</v>
      </c>
      <c r="Z245" t="str">
        <f>"SYDNEY"</f>
        <v>SYDNEY</v>
      </c>
      <c r="AA245" t="str">
        <f>"1043"</f>
        <v>1043</v>
      </c>
      <c r="AB245" t="str">
        <f t="shared" si="91"/>
        <v>Australia</v>
      </c>
      <c r="AC245" t="str">
        <f t="shared" si="90"/>
        <v>No</v>
      </c>
      <c r="AD245" t="str">
        <f>"11705723812"</f>
        <v>11705723812</v>
      </c>
      <c r="AE245" t="str">
        <f>"PROCUREMENT MANAGER"</f>
        <v>PROCUREMENT MANAGER</v>
      </c>
      <c r="AF245" t="str">
        <f t="shared" si="98"/>
        <v>(02) 6271 1000</v>
      </c>
      <c r="AG245" t="str">
        <f>""</f>
        <v/>
      </c>
      <c r="AH245" t="str">
        <f>""</f>
        <v/>
      </c>
      <c r="AI245" t="str">
        <f>"COMMUNICATIONS RESEARCH Bureau of Communications Research"</f>
        <v>COMMUNICATIONS RESEARCH Bureau of Communications Research</v>
      </c>
      <c r="AJ245" t="str">
        <f t="shared" si="95"/>
        <v>2603</v>
      </c>
    </row>
    <row r="246" spans="1:36" x14ac:dyDescent="0.25">
      <c r="A246" t="str">
        <f t="shared" si="82"/>
        <v>Department of Communications</v>
      </c>
      <c r="B246" t="str">
        <f>""</f>
        <v/>
      </c>
      <c r="C246" t="str">
        <f>"CN2800672"</f>
        <v>CN2800672</v>
      </c>
      <c r="D246" t="str">
        <f>"David Kenny"</f>
        <v>David Kenny</v>
      </c>
      <c r="E246" s="44">
        <v>42019.469444444447</v>
      </c>
      <c r="F246" t="s">
        <v>2508</v>
      </c>
      <c r="G246" t="str">
        <f t="shared" si="83"/>
        <v>published</v>
      </c>
      <c r="H246" s="45">
        <v>41996</v>
      </c>
      <c r="I246" s="45">
        <v>42023</v>
      </c>
      <c r="J246" s="46">
        <v>23000</v>
      </c>
      <c r="K246" t="s">
        <v>1769</v>
      </c>
      <c r="L246" t="str">
        <f>"0004604816"</f>
        <v>0004604816</v>
      </c>
      <c r="M246" t="str">
        <f>"News and publicity services"</f>
        <v>News and publicity services</v>
      </c>
      <c r="N246" t="str">
        <f>"Open tender"</f>
        <v>Open tender</v>
      </c>
      <c r="O246" t="str">
        <f>"PMC2008 P0019"</f>
        <v>PMC2008 P0019</v>
      </c>
      <c r="P246" t="str">
        <f>"SON183611"</f>
        <v>SON183611</v>
      </c>
      <c r="Q246" t="str">
        <f t="shared" si="100"/>
        <v>No</v>
      </c>
      <c r="R246" t="str">
        <f>""</f>
        <v/>
      </c>
      <c r="S246" t="str">
        <f t="shared" ref="S246:S290" si="103">"No"</f>
        <v>No</v>
      </c>
      <c r="T246" t="str">
        <f>""</f>
        <v/>
      </c>
      <c r="U246" t="str">
        <f t="shared" ref="U246:U261" si="104">"No"</f>
        <v>No</v>
      </c>
      <c r="V246" t="str">
        <f>""</f>
        <v/>
      </c>
      <c r="X246" t="str">
        <f>"MEDIA MONITORS"</f>
        <v>MEDIA MONITORS</v>
      </c>
      <c r="Y246" t="str">
        <f>"PO BOX 2110"</f>
        <v>PO BOX 2110</v>
      </c>
      <c r="Z246" t="str">
        <f>"STRAWBERRY HIL"</f>
        <v>STRAWBERRY HIL</v>
      </c>
      <c r="AA246" t="str">
        <f>"2012"</f>
        <v>2012</v>
      </c>
      <c r="AB246" t="str">
        <f t="shared" si="91"/>
        <v>Australia</v>
      </c>
      <c r="AC246" t="str">
        <f t="shared" si="90"/>
        <v>No</v>
      </c>
      <c r="AD246" t="str">
        <f>"11002533851"</f>
        <v>11002533851</v>
      </c>
      <c r="AE246" t="str">
        <f>"ADMIN OFFICER"</f>
        <v>ADMIN OFFICER</v>
      </c>
      <c r="AF246" t="str">
        <f t="shared" si="98"/>
        <v>(02) 6271 1000</v>
      </c>
      <c r="AG246" t="str">
        <f>""</f>
        <v/>
      </c>
      <c r="AH246" t="str">
        <f>""</f>
        <v/>
      </c>
      <c r="AI246" t="str">
        <f>"CORPORATE TREASURY [OLD] Corporate Treasury"</f>
        <v>CORPORATE TREASURY [OLD] Corporate Treasury</v>
      </c>
      <c r="AJ246" t="str">
        <f t="shared" si="95"/>
        <v>2603</v>
      </c>
    </row>
    <row r="247" spans="1:36" x14ac:dyDescent="0.25">
      <c r="A247" t="str">
        <f t="shared" si="82"/>
        <v>Department of Communications</v>
      </c>
      <c r="B247" t="str">
        <f>""</f>
        <v/>
      </c>
      <c r="C247" t="str">
        <f>"CN3015842"</f>
        <v>CN3015842</v>
      </c>
      <c r="D247" t="str">
        <f>"Leesa O'connor"</f>
        <v>Leesa O'connor</v>
      </c>
      <c r="E247" s="44">
        <v>42122.407638888886</v>
      </c>
      <c r="F247" t="s">
        <v>2508</v>
      </c>
      <c r="G247" t="str">
        <f t="shared" si="83"/>
        <v>published</v>
      </c>
      <c r="H247" s="45">
        <v>41989</v>
      </c>
      <c r="I247" s="45">
        <v>42185</v>
      </c>
      <c r="J247" s="46">
        <v>11916.71</v>
      </c>
      <c r="K247" t="s">
        <v>2422</v>
      </c>
      <c r="L247" t="str">
        <f>"0004604817"</f>
        <v>0004604817</v>
      </c>
      <c r="M247" t="str">
        <f>"Temporary personnel services"</f>
        <v>Temporary personnel services</v>
      </c>
      <c r="N247" t="str">
        <f>"Open tender"</f>
        <v>Open tender</v>
      </c>
      <c r="O247" t="str">
        <f>"DCON/12/244"</f>
        <v>DCON/12/244</v>
      </c>
      <c r="P247" t="str">
        <f>"SON1180562"</f>
        <v>SON1180562</v>
      </c>
      <c r="Q247" t="str">
        <f t="shared" si="100"/>
        <v>No</v>
      </c>
      <c r="R247" t="str">
        <f>""</f>
        <v/>
      </c>
      <c r="S247" t="str">
        <f t="shared" si="103"/>
        <v>No</v>
      </c>
      <c r="T247" t="str">
        <f>""</f>
        <v/>
      </c>
      <c r="U247" t="str">
        <f t="shared" si="104"/>
        <v>No</v>
      </c>
      <c r="V247" t="str">
        <f>""</f>
        <v/>
      </c>
      <c r="X247" t="str">
        <f>"HAYS PERSONNEL SERVICES (AUST) P/L"</f>
        <v>HAYS PERSONNEL SERVICES (AUST) P/L</v>
      </c>
      <c r="Y247" t="str">
        <f>"GPO BOX 3868"</f>
        <v>GPO BOX 3868</v>
      </c>
      <c r="Z247" t="str">
        <f>"SYDNEY"</f>
        <v>SYDNEY</v>
      </c>
      <c r="AA247" t="str">
        <f>"2001"</f>
        <v>2001</v>
      </c>
      <c r="AB247" t="str">
        <f t="shared" si="91"/>
        <v>Australia</v>
      </c>
      <c r="AC247" t="str">
        <f t="shared" si="90"/>
        <v>No</v>
      </c>
      <c r="AD247" t="str">
        <f>"47001407281"</f>
        <v>47001407281</v>
      </c>
      <c r="AE247" t="str">
        <f>"PROCUREMENT MANAGER"</f>
        <v>PROCUREMENT MANAGER</v>
      </c>
      <c r="AF247" t="str">
        <f t="shared" si="98"/>
        <v>(02) 6271 1000</v>
      </c>
      <c r="AG247" t="str">
        <f>""</f>
        <v/>
      </c>
      <c r="AH247" t="str">
        <f>""</f>
        <v/>
      </c>
      <c r="AI247" t="str">
        <f>"STRATEGY Strategy Division"</f>
        <v>STRATEGY Strategy Division</v>
      </c>
      <c r="AJ247" t="str">
        <f t="shared" si="95"/>
        <v>2603</v>
      </c>
    </row>
    <row r="248" spans="1:36" x14ac:dyDescent="0.25">
      <c r="A248" t="str">
        <f t="shared" si="82"/>
        <v>Department of Communications</v>
      </c>
      <c r="B248" t="str">
        <f>""</f>
        <v/>
      </c>
      <c r="C248" t="str">
        <f>"CN2800662"</f>
        <v>CN2800662</v>
      </c>
      <c r="D248" t="str">
        <f>"David Kenny"</f>
        <v>David Kenny</v>
      </c>
      <c r="E248" s="44">
        <v>42019.469444444447</v>
      </c>
      <c r="F248" t="s">
        <v>2508</v>
      </c>
      <c r="G248" t="str">
        <f t="shared" si="83"/>
        <v>published</v>
      </c>
      <c r="H248" s="45">
        <v>42009</v>
      </c>
      <c r="I248" s="45">
        <v>42094</v>
      </c>
      <c r="J248" s="46">
        <v>75000</v>
      </c>
      <c r="K248" t="s">
        <v>1774</v>
      </c>
      <c r="L248" t="str">
        <f>"0004604818"</f>
        <v>0004604818</v>
      </c>
      <c r="M248" t="str">
        <f>"Accounting services"</f>
        <v>Accounting services</v>
      </c>
      <c r="N248" t="str">
        <f>"Limited tender"</f>
        <v>Limited tender</v>
      </c>
      <c r="O248" t="str">
        <f>""</f>
        <v/>
      </c>
      <c r="Q248" t="str">
        <f t="shared" si="100"/>
        <v>No</v>
      </c>
      <c r="R248" t="str">
        <f>""</f>
        <v/>
      </c>
      <c r="S248" t="str">
        <f t="shared" si="103"/>
        <v>No</v>
      </c>
      <c r="T248" t="str">
        <f>""</f>
        <v/>
      </c>
      <c r="U248" t="str">
        <f t="shared" si="104"/>
        <v>No</v>
      </c>
      <c r="V248" t="str">
        <f>""</f>
        <v/>
      </c>
      <c r="X248" t="str">
        <f>"S&amp;B Projects Pty Ltd"</f>
        <v>S&amp;B Projects Pty Ltd</v>
      </c>
      <c r="Y248" t="str">
        <f>"12 Dobbin Circuit"</f>
        <v>12 Dobbin Circuit</v>
      </c>
      <c r="Z248" t="str">
        <f>"Nicholls"</f>
        <v>Nicholls</v>
      </c>
      <c r="AA248" t="str">
        <f>"2913"</f>
        <v>2913</v>
      </c>
      <c r="AB248" t="str">
        <f t="shared" si="91"/>
        <v>Australia</v>
      </c>
      <c r="AC248" t="str">
        <f t="shared" si="90"/>
        <v>No</v>
      </c>
      <c r="AD248" t="str">
        <f>"83132815886"</f>
        <v>83132815886</v>
      </c>
      <c r="AE248" t="str">
        <f t="shared" ref="AE248:AE255" si="105">"ADMIN OFFICER"</f>
        <v>ADMIN OFFICER</v>
      </c>
      <c r="AF248" t="str">
        <f t="shared" si="98"/>
        <v>(02) 6271 1000</v>
      </c>
      <c r="AG248" t="str">
        <f>""</f>
        <v/>
      </c>
      <c r="AH248" t="str">
        <f>""</f>
        <v/>
      </c>
      <c r="AI248" t="str">
        <f t="shared" ref="AI248:AI255" si="106">"CORPORATE TREASURY [OLD] Corporate Treasury"</f>
        <v>CORPORATE TREASURY [OLD] Corporate Treasury</v>
      </c>
      <c r="AJ248" t="str">
        <f t="shared" si="95"/>
        <v>2603</v>
      </c>
    </row>
    <row r="249" spans="1:36" x14ac:dyDescent="0.25">
      <c r="A249" t="str">
        <f t="shared" si="82"/>
        <v>Department of Communications</v>
      </c>
      <c r="B249" t="str">
        <f>""</f>
        <v/>
      </c>
      <c r="C249" t="str">
        <f>"CN2947582"</f>
        <v>CN2947582</v>
      </c>
      <c r="D249" t="str">
        <f>"Leesa O'connor"</f>
        <v>Leesa O'connor</v>
      </c>
      <c r="E249" s="44">
        <v>42090.461111111108</v>
      </c>
      <c r="F249" t="s">
        <v>2508</v>
      </c>
      <c r="G249" t="str">
        <f t="shared" si="83"/>
        <v>published</v>
      </c>
      <c r="H249" s="45">
        <v>42009</v>
      </c>
      <c r="I249" s="45">
        <v>42124</v>
      </c>
      <c r="J249" s="46">
        <v>40000</v>
      </c>
      <c r="K249" t="s">
        <v>1774</v>
      </c>
      <c r="L249" t="str">
        <f>"0004604818"</f>
        <v>0004604818</v>
      </c>
      <c r="M249" t="str">
        <f>"Accounting services"</f>
        <v>Accounting services</v>
      </c>
      <c r="N249" t="str">
        <f>"Limited tender"</f>
        <v>Limited tender</v>
      </c>
      <c r="O249" t="str">
        <f>""</f>
        <v/>
      </c>
      <c r="Q249" t="str">
        <f t="shared" si="100"/>
        <v>No</v>
      </c>
      <c r="R249" t="str">
        <f>""</f>
        <v/>
      </c>
      <c r="S249" t="str">
        <f t="shared" si="103"/>
        <v>No</v>
      </c>
      <c r="T249" t="str">
        <f>""</f>
        <v/>
      </c>
      <c r="U249" t="str">
        <f t="shared" si="104"/>
        <v>No</v>
      </c>
      <c r="V249" t="str">
        <f>""</f>
        <v/>
      </c>
      <c r="X249" t="str">
        <f>"S&amp;B Projects Pty Ltd"</f>
        <v>S&amp;B Projects Pty Ltd</v>
      </c>
      <c r="Y249" t="str">
        <f>"12 Dobbin Circuit"</f>
        <v>12 Dobbin Circuit</v>
      </c>
      <c r="Z249" t="str">
        <f>"Nicholls"</f>
        <v>Nicholls</v>
      </c>
      <c r="AA249" t="str">
        <f>"2913"</f>
        <v>2913</v>
      </c>
      <c r="AB249" t="str">
        <f t="shared" si="91"/>
        <v>Australia</v>
      </c>
      <c r="AC249" t="str">
        <f t="shared" si="90"/>
        <v>No</v>
      </c>
      <c r="AD249" t="str">
        <f>"83132815886"</f>
        <v>83132815886</v>
      </c>
      <c r="AE249" t="str">
        <f t="shared" si="105"/>
        <v>ADMIN OFFICER</v>
      </c>
      <c r="AF249" t="str">
        <f t="shared" si="98"/>
        <v>(02) 6271 1000</v>
      </c>
      <c r="AG249" t="str">
        <f>""</f>
        <v/>
      </c>
      <c r="AH249" t="str">
        <f>""</f>
        <v/>
      </c>
      <c r="AI249" t="str">
        <f t="shared" si="106"/>
        <v>CORPORATE TREASURY [OLD] Corporate Treasury</v>
      </c>
      <c r="AJ249" t="str">
        <f t="shared" si="95"/>
        <v>2603</v>
      </c>
    </row>
    <row r="250" spans="1:36" x14ac:dyDescent="0.25">
      <c r="A250" t="str">
        <f t="shared" si="82"/>
        <v>Department of Communications</v>
      </c>
      <c r="B250" t="str">
        <f>""</f>
        <v/>
      </c>
      <c r="C250" t="str">
        <f>"CN3015832"</f>
        <v>CN3015832</v>
      </c>
      <c r="D250" t="str">
        <f>"Leesa O'connor"</f>
        <v>Leesa O'connor</v>
      </c>
      <c r="E250" s="44">
        <v>42122.407638888886</v>
      </c>
      <c r="F250" t="s">
        <v>2508</v>
      </c>
      <c r="G250" t="str">
        <f t="shared" si="83"/>
        <v>published</v>
      </c>
      <c r="H250" s="45">
        <v>42009</v>
      </c>
      <c r="I250" s="45">
        <v>42216</v>
      </c>
      <c r="J250" s="46">
        <v>85800</v>
      </c>
      <c r="K250" t="s">
        <v>1774</v>
      </c>
      <c r="L250" t="str">
        <f>"0004604818"</f>
        <v>0004604818</v>
      </c>
      <c r="M250" t="str">
        <f>"Accounting services"</f>
        <v>Accounting services</v>
      </c>
      <c r="N250" t="str">
        <f>"Limited tender"</f>
        <v>Limited tender</v>
      </c>
      <c r="O250" t="str">
        <f>""</f>
        <v/>
      </c>
      <c r="Q250" t="str">
        <f t="shared" si="100"/>
        <v>No</v>
      </c>
      <c r="R250" t="str">
        <f>""</f>
        <v/>
      </c>
      <c r="S250" t="str">
        <f t="shared" si="103"/>
        <v>No</v>
      </c>
      <c r="T250" t="str">
        <f>""</f>
        <v/>
      </c>
      <c r="U250" t="str">
        <f t="shared" si="104"/>
        <v>No</v>
      </c>
      <c r="V250" t="str">
        <f>""</f>
        <v/>
      </c>
      <c r="X250" t="str">
        <f>"S&amp;B Projects Pty Ltd"</f>
        <v>S&amp;B Projects Pty Ltd</v>
      </c>
      <c r="Y250" t="str">
        <f>"12 Dobbin Circuit"</f>
        <v>12 Dobbin Circuit</v>
      </c>
      <c r="Z250" t="str">
        <f>"Nicholls"</f>
        <v>Nicholls</v>
      </c>
      <c r="AA250" t="str">
        <f>"2913"</f>
        <v>2913</v>
      </c>
      <c r="AB250" t="str">
        <f t="shared" si="91"/>
        <v>Australia</v>
      </c>
      <c r="AC250" t="str">
        <f t="shared" si="90"/>
        <v>No</v>
      </c>
      <c r="AD250" t="str">
        <f>"83132815886"</f>
        <v>83132815886</v>
      </c>
      <c r="AE250" t="str">
        <f t="shared" si="105"/>
        <v>ADMIN OFFICER</v>
      </c>
      <c r="AF250" t="str">
        <f t="shared" si="98"/>
        <v>(02) 6271 1000</v>
      </c>
      <c r="AG250" t="str">
        <f>""</f>
        <v/>
      </c>
      <c r="AH250" t="str">
        <f>""</f>
        <v/>
      </c>
      <c r="AI250" t="str">
        <f t="shared" si="106"/>
        <v>CORPORATE TREASURY [OLD] Corporate Treasury</v>
      </c>
      <c r="AJ250" t="str">
        <f t="shared" si="95"/>
        <v>2603</v>
      </c>
    </row>
    <row r="251" spans="1:36" x14ac:dyDescent="0.25">
      <c r="A251" t="str">
        <f t="shared" si="82"/>
        <v>Department of Communications</v>
      </c>
      <c r="B251" t="str">
        <f>""</f>
        <v/>
      </c>
      <c r="C251" t="str">
        <f>"CN2800652"</f>
        <v>CN2800652</v>
      </c>
      <c r="D251" t="str">
        <f t="shared" ref="D251:D282" si="107">"David Kenny"</f>
        <v>David Kenny</v>
      </c>
      <c r="E251" s="44">
        <v>42019.46875</v>
      </c>
      <c r="F251" t="s">
        <v>2508</v>
      </c>
      <c r="G251" t="str">
        <f t="shared" si="83"/>
        <v>published</v>
      </c>
      <c r="H251" s="45">
        <v>41991</v>
      </c>
      <c r="I251" s="45">
        <v>42155</v>
      </c>
      <c r="J251" s="46">
        <v>25100</v>
      </c>
      <c r="K251" t="s">
        <v>1776</v>
      </c>
      <c r="L251" t="str">
        <f>"0004604820"</f>
        <v>0004604820</v>
      </c>
      <c r="M251" t="str">
        <f>"Information technology consultation services"</f>
        <v>Information technology consultation services</v>
      </c>
      <c r="N251" t="str">
        <f>"Open tender"</f>
        <v>Open tender</v>
      </c>
      <c r="O251" t="str">
        <f>"DCON/10/96"</f>
        <v>DCON/10/96</v>
      </c>
      <c r="P251" t="str">
        <f>"SON368749"</f>
        <v>SON368749</v>
      </c>
      <c r="Q251" t="str">
        <f t="shared" si="100"/>
        <v>No</v>
      </c>
      <c r="R251" t="str">
        <f>""</f>
        <v/>
      </c>
      <c r="S251" t="str">
        <f t="shared" si="103"/>
        <v>No</v>
      </c>
      <c r="T251" t="str">
        <f>""</f>
        <v/>
      </c>
      <c r="U251" t="str">
        <f t="shared" si="104"/>
        <v>No</v>
      </c>
      <c r="V251" t="str">
        <f>""</f>
        <v/>
      </c>
      <c r="X251" t="str">
        <f>"Visual Jazz Pty Ltd"</f>
        <v>Visual Jazz Pty Ltd</v>
      </c>
      <c r="Y251" t="str">
        <f>"Suite 6, 8 National Circuit"</f>
        <v>Suite 6, 8 National Circuit</v>
      </c>
      <c r="Z251" t="str">
        <f>"Barton"</f>
        <v>Barton</v>
      </c>
      <c r="AA251" t="str">
        <f>"2600"</f>
        <v>2600</v>
      </c>
      <c r="AB251" t="str">
        <f t="shared" si="91"/>
        <v>Australia</v>
      </c>
      <c r="AC251" t="str">
        <f t="shared" si="90"/>
        <v>No</v>
      </c>
      <c r="AD251" t="str">
        <f>"51126978041"</f>
        <v>51126978041</v>
      </c>
      <c r="AE251" t="str">
        <f t="shared" si="105"/>
        <v>ADMIN OFFICER</v>
      </c>
      <c r="AF251" t="str">
        <f t="shared" si="98"/>
        <v>(02) 6271 1000</v>
      </c>
      <c r="AG251" t="str">
        <f>""</f>
        <v/>
      </c>
      <c r="AH251" t="str">
        <f>""</f>
        <v/>
      </c>
      <c r="AI251" t="str">
        <f t="shared" si="106"/>
        <v>CORPORATE TREASURY [OLD] Corporate Treasury</v>
      </c>
      <c r="AJ251" t="str">
        <f t="shared" si="95"/>
        <v>2603</v>
      </c>
    </row>
    <row r="252" spans="1:36" x14ac:dyDescent="0.25">
      <c r="A252" t="str">
        <f t="shared" si="82"/>
        <v>Department of Communications</v>
      </c>
      <c r="B252" t="str">
        <f>""</f>
        <v/>
      </c>
      <c r="C252" t="str">
        <f>"CN2800642"</f>
        <v>CN2800642</v>
      </c>
      <c r="D252" t="str">
        <f t="shared" si="107"/>
        <v>David Kenny</v>
      </c>
      <c r="E252" s="44">
        <v>42019.46875</v>
      </c>
      <c r="F252" t="s">
        <v>2508</v>
      </c>
      <c r="G252" t="str">
        <f t="shared" si="83"/>
        <v>published</v>
      </c>
      <c r="H252" s="45">
        <v>42004</v>
      </c>
      <c r="I252" s="45">
        <v>42185</v>
      </c>
      <c r="J252" s="46">
        <v>14000</v>
      </c>
      <c r="K252" t="s">
        <v>1777</v>
      </c>
      <c r="L252" t="str">
        <f>"0004604821"</f>
        <v>0004604821</v>
      </c>
      <c r="M252" t="str">
        <f>"Professional associations"</f>
        <v>Professional associations</v>
      </c>
      <c r="N252" t="str">
        <f>"Limited tender"</f>
        <v>Limited tender</v>
      </c>
      <c r="O252" t="str">
        <f>""</f>
        <v/>
      </c>
      <c r="Q252" t="str">
        <f t="shared" si="100"/>
        <v>No</v>
      </c>
      <c r="R252" t="str">
        <f>""</f>
        <v/>
      </c>
      <c r="S252" t="str">
        <f t="shared" si="103"/>
        <v>No</v>
      </c>
      <c r="T252" t="str">
        <f>""</f>
        <v/>
      </c>
      <c r="U252" t="str">
        <f t="shared" si="104"/>
        <v>No</v>
      </c>
      <c r="V252" t="str">
        <f>""</f>
        <v/>
      </c>
      <c r="X252" t="str">
        <f>"Corporate Executive Board"</f>
        <v>Corporate Executive Board</v>
      </c>
      <c r="Y252" t="str">
        <f>"1919 N. Lynn Street"</f>
        <v>1919 N. Lynn Street</v>
      </c>
      <c r="Z252" t="str">
        <f>"Arlington"</f>
        <v>Arlington</v>
      </c>
      <c r="AA252" t="str">
        <f>""</f>
        <v/>
      </c>
      <c r="AB252" t="str">
        <f>"United States"</f>
        <v>United States</v>
      </c>
      <c r="AC252" t="str">
        <f>"Yes"</f>
        <v>Yes</v>
      </c>
      <c r="AD252" t="str">
        <f>""</f>
        <v/>
      </c>
      <c r="AE252" t="str">
        <f t="shared" si="105"/>
        <v>ADMIN OFFICER</v>
      </c>
      <c r="AF252" t="str">
        <f t="shared" si="98"/>
        <v>(02) 6271 1000</v>
      </c>
      <c r="AG252" t="str">
        <f>""</f>
        <v/>
      </c>
      <c r="AH252" t="str">
        <f>""</f>
        <v/>
      </c>
      <c r="AI252" t="str">
        <f t="shared" si="106"/>
        <v>CORPORATE TREASURY [OLD] Corporate Treasury</v>
      </c>
      <c r="AJ252" t="str">
        <f t="shared" si="95"/>
        <v>2603</v>
      </c>
    </row>
    <row r="253" spans="1:36" x14ac:dyDescent="0.25">
      <c r="A253" t="str">
        <f t="shared" si="82"/>
        <v>Department of Communications</v>
      </c>
      <c r="B253" t="str">
        <f>""</f>
        <v/>
      </c>
      <c r="C253" t="str">
        <f>"CN2800632"</f>
        <v>CN2800632</v>
      </c>
      <c r="D253" t="str">
        <f t="shared" si="107"/>
        <v>David Kenny</v>
      </c>
      <c r="E253" s="44">
        <v>42019.46875</v>
      </c>
      <c r="F253" t="s">
        <v>2508</v>
      </c>
      <c r="G253" t="str">
        <f t="shared" si="83"/>
        <v>published</v>
      </c>
      <c r="H253" s="45">
        <v>42011</v>
      </c>
      <c r="I253" s="45">
        <v>42063</v>
      </c>
      <c r="J253" s="46">
        <v>18018</v>
      </c>
      <c r="K253" t="s">
        <v>1781</v>
      </c>
      <c r="L253" t="str">
        <f>"0004604822"</f>
        <v>0004604822</v>
      </c>
      <c r="M253" t="str">
        <f>"Computer servers"</f>
        <v>Computer servers</v>
      </c>
      <c r="N253" t="str">
        <f>"Limited tender"</f>
        <v>Limited tender</v>
      </c>
      <c r="O253" t="str">
        <f>""</f>
        <v/>
      </c>
      <c r="Q253" t="str">
        <f t="shared" si="100"/>
        <v>No</v>
      </c>
      <c r="R253" t="str">
        <f>""</f>
        <v/>
      </c>
      <c r="S253" t="str">
        <f t="shared" si="103"/>
        <v>No</v>
      </c>
      <c r="T253" t="str">
        <f>""</f>
        <v/>
      </c>
      <c r="U253" t="str">
        <f t="shared" si="104"/>
        <v>No</v>
      </c>
      <c r="V253" t="str">
        <f>""</f>
        <v/>
      </c>
      <c r="X253" t="str">
        <f>"Stutch Data Services Pty Ltd"</f>
        <v>Stutch Data Services Pty Ltd</v>
      </c>
      <c r="Y253" t="str">
        <f>"PO Box 698"</f>
        <v>PO Box 698</v>
      </c>
      <c r="Z253" t="str">
        <f>"Revesby"</f>
        <v>Revesby</v>
      </c>
      <c r="AA253" t="str">
        <f>"2212"</f>
        <v>2212</v>
      </c>
      <c r="AB253" t="str">
        <f t="shared" ref="AB253:AB283" si="108">"Australia"</f>
        <v>Australia</v>
      </c>
      <c r="AC253" t="str">
        <f t="shared" ref="AC253:AC283" si="109">"No"</f>
        <v>No</v>
      </c>
      <c r="AD253" t="str">
        <f>"99092849397"</f>
        <v>99092849397</v>
      </c>
      <c r="AE253" t="str">
        <f t="shared" si="105"/>
        <v>ADMIN OFFICER</v>
      </c>
      <c r="AF253" t="str">
        <f t="shared" si="98"/>
        <v>(02) 6271 1000</v>
      </c>
      <c r="AG253" t="str">
        <f>""</f>
        <v/>
      </c>
      <c r="AH253" t="str">
        <f>""</f>
        <v/>
      </c>
      <c r="AI253" t="str">
        <f t="shared" si="106"/>
        <v>CORPORATE TREASURY [OLD] Corporate Treasury</v>
      </c>
      <c r="AJ253" t="str">
        <f t="shared" si="95"/>
        <v>2603</v>
      </c>
    </row>
    <row r="254" spans="1:36" x14ac:dyDescent="0.25">
      <c r="A254" t="str">
        <f t="shared" si="82"/>
        <v>Department of Communications</v>
      </c>
      <c r="B254" t="str">
        <f>""</f>
        <v/>
      </c>
      <c r="C254" t="str">
        <f>"CN2800622"</f>
        <v>CN2800622</v>
      </c>
      <c r="D254" t="str">
        <f t="shared" si="107"/>
        <v>David Kenny</v>
      </c>
      <c r="E254" s="44">
        <v>42019.46875</v>
      </c>
      <c r="F254" t="s">
        <v>2508</v>
      </c>
      <c r="G254" t="str">
        <f t="shared" si="83"/>
        <v>published</v>
      </c>
      <c r="H254" s="45">
        <v>42016</v>
      </c>
      <c r="I254" s="45">
        <v>42074</v>
      </c>
      <c r="J254" s="46">
        <v>175000</v>
      </c>
      <c r="K254" t="s">
        <v>1798</v>
      </c>
      <c r="L254" t="str">
        <f>"0004604823"</f>
        <v>0004604823</v>
      </c>
      <c r="M254" t="str">
        <f>"Building construction and support and maintenance and repair services"</f>
        <v>Building construction and support and maintenance and repair services</v>
      </c>
      <c r="N254" t="str">
        <f>"Open tender"</f>
        <v>Open tender</v>
      </c>
      <c r="O254" t="str">
        <f>"NA1000"</f>
        <v>NA1000</v>
      </c>
      <c r="Q254" t="str">
        <f t="shared" si="100"/>
        <v>No</v>
      </c>
      <c r="R254" t="str">
        <f>""</f>
        <v/>
      </c>
      <c r="S254" t="str">
        <f t="shared" si="103"/>
        <v>No</v>
      </c>
      <c r="T254" t="str">
        <f>""</f>
        <v/>
      </c>
      <c r="U254" t="str">
        <f t="shared" si="104"/>
        <v>No</v>
      </c>
      <c r="V254" t="str">
        <f>""</f>
        <v/>
      </c>
      <c r="X254" t="str">
        <f>"Affinity Construction Management Pt"</f>
        <v>Affinity Construction Management Pt</v>
      </c>
      <c r="Y254" t="str">
        <f>"P O Box 753"</f>
        <v>P O Box 753</v>
      </c>
      <c r="Z254" t="str">
        <f>"Fyshwick"</f>
        <v>Fyshwick</v>
      </c>
      <c r="AA254" t="str">
        <f>"2609"</f>
        <v>2609</v>
      </c>
      <c r="AB254" t="str">
        <f t="shared" si="108"/>
        <v>Australia</v>
      </c>
      <c r="AC254" t="str">
        <f t="shared" si="109"/>
        <v>No</v>
      </c>
      <c r="AD254" t="str">
        <f>"63103395786"</f>
        <v>63103395786</v>
      </c>
      <c r="AE254" t="str">
        <f t="shared" si="105"/>
        <v>ADMIN OFFICER</v>
      </c>
      <c r="AF254" t="str">
        <f t="shared" si="98"/>
        <v>(02) 6271 1000</v>
      </c>
      <c r="AG254" t="str">
        <f>""</f>
        <v/>
      </c>
      <c r="AH254" t="str">
        <f>""</f>
        <v/>
      </c>
      <c r="AI254" t="str">
        <f t="shared" si="106"/>
        <v>CORPORATE TREASURY [OLD] Corporate Treasury</v>
      </c>
      <c r="AJ254" t="str">
        <f>"2000"</f>
        <v>2000</v>
      </c>
    </row>
    <row r="255" spans="1:36" x14ac:dyDescent="0.25">
      <c r="A255" t="str">
        <f t="shared" si="82"/>
        <v>Department of Communications</v>
      </c>
      <c r="B255" t="str">
        <f>""</f>
        <v/>
      </c>
      <c r="C255" t="str">
        <f>"CN2800612"</f>
        <v>CN2800612</v>
      </c>
      <c r="D255" t="str">
        <f t="shared" si="107"/>
        <v>David Kenny</v>
      </c>
      <c r="E255" s="44">
        <v>42019.46875</v>
      </c>
      <c r="F255" t="s">
        <v>2508</v>
      </c>
      <c r="G255" t="str">
        <f t="shared" si="83"/>
        <v>published</v>
      </c>
      <c r="H255" s="45">
        <v>42016</v>
      </c>
      <c r="I255" s="45">
        <v>42062</v>
      </c>
      <c r="J255" s="46">
        <v>33594</v>
      </c>
      <c r="K255" t="s">
        <v>1784</v>
      </c>
      <c r="L255" t="str">
        <f>"0004604824"</f>
        <v>0004604824</v>
      </c>
      <c r="M255" t="str">
        <f>"Building construction and support and maintenance and repair services"</f>
        <v>Building construction and support and maintenance and repair services</v>
      </c>
      <c r="N255" t="str">
        <f>"Open tender"</f>
        <v>Open tender</v>
      </c>
      <c r="O255" t="str">
        <f>"ATM 581"</f>
        <v>ATM 581</v>
      </c>
      <c r="Q255" t="str">
        <f t="shared" si="100"/>
        <v>No</v>
      </c>
      <c r="R255" t="str">
        <f>""</f>
        <v/>
      </c>
      <c r="S255" t="str">
        <f t="shared" si="103"/>
        <v>No</v>
      </c>
      <c r="T255" t="str">
        <f>""</f>
        <v/>
      </c>
      <c r="U255" t="str">
        <f t="shared" si="104"/>
        <v>No</v>
      </c>
      <c r="V255" t="str">
        <f>""</f>
        <v/>
      </c>
      <c r="X255" t="str">
        <f>"NEF Consulting Services"</f>
        <v>NEF Consulting Services</v>
      </c>
      <c r="Y255" t="str">
        <f>"PO Box 260"</f>
        <v>PO Box 260</v>
      </c>
      <c r="Z255" t="str">
        <f>"Dickson"</f>
        <v>Dickson</v>
      </c>
      <c r="AA255" t="str">
        <f>"2602"</f>
        <v>2602</v>
      </c>
      <c r="AB255" t="str">
        <f t="shared" si="108"/>
        <v>Australia</v>
      </c>
      <c r="AC255" t="str">
        <f t="shared" si="109"/>
        <v>No</v>
      </c>
      <c r="AD255" t="str">
        <f>"17125808188"</f>
        <v>17125808188</v>
      </c>
      <c r="AE255" t="str">
        <f t="shared" si="105"/>
        <v>ADMIN OFFICER</v>
      </c>
      <c r="AF255" t="str">
        <f t="shared" si="98"/>
        <v>(02) 6271 1000</v>
      </c>
      <c r="AG255" t="str">
        <f>""</f>
        <v/>
      </c>
      <c r="AH255" t="str">
        <f>""</f>
        <v/>
      </c>
      <c r="AI255" t="str">
        <f t="shared" si="106"/>
        <v>CORPORATE TREASURY [OLD] Corporate Treasury</v>
      </c>
      <c r="AJ255" t="str">
        <f t="shared" ref="AJ255:AJ264" si="110">"2603"</f>
        <v>2603</v>
      </c>
    </row>
    <row r="256" spans="1:36" x14ac:dyDescent="0.25">
      <c r="A256" t="str">
        <f t="shared" si="82"/>
        <v>Department of Communications</v>
      </c>
      <c r="B256" t="str">
        <f>""</f>
        <v/>
      </c>
      <c r="C256" t="str">
        <f>"CN2800602"</f>
        <v>CN2800602</v>
      </c>
      <c r="D256" t="str">
        <f t="shared" si="107"/>
        <v>David Kenny</v>
      </c>
      <c r="E256" s="44">
        <v>42019.46875</v>
      </c>
      <c r="F256" t="s">
        <v>2508</v>
      </c>
      <c r="G256" t="str">
        <f t="shared" si="83"/>
        <v>published</v>
      </c>
      <c r="H256" s="45">
        <v>42016</v>
      </c>
      <c r="I256" s="45">
        <v>42041</v>
      </c>
      <c r="J256" s="46">
        <v>26000</v>
      </c>
      <c r="K256" t="s">
        <v>337</v>
      </c>
      <c r="L256" t="str">
        <f>"0004604826"</f>
        <v>0004604826</v>
      </c>
      <c r="M256" t="str">
        <f>"Advertising"</f>
        <v>Advertising</v>
      </c>
      <c r="N256" t="str">
        <f>"Open tender"</f>
        <v>Open tender</v>
      </c>
      <c r="O256" t="str">
        <f>"FIN13BPAM1826-RFT"</f>
        <v>FIN13BPAM1826-RFT</v>
      </c>
      <c r="P256" t="str">
        <f>"SON2186301"</f>
        <v>SON2186301</v>
      </c>
      <c r="Q256" t="str">
        <f t="shared" si="100"/>
        <v>No</v>
      </c>
      <c r="R256" t="str">
        <f>""</f>
        <v/>
      </c>
      <c r="S256" t="str">
        <f t="shared" si="103"/>
        <v>No</v>
      </c>
      <c r="T256" t="str">
        <f>""</f>
        <v/>
      </c>
      <c r="U256" t="str">
        <f t="shared" si="104"/>
        <v>No</v>
      </c>
      <c r="V256" t="str">
        <f>""</f>
        <v/>
      </c>
      <c r="X256" t="str">
        <f>"Mitchell and Partners Pty Ltd"</f>
        <v>Mitchell and Partners Pty Ltd</v>
      </c>
      <c r="Y256" t="str">
        <f>"105 York Street"</f>
        <v>105 York Street</v>
      </c>
      <c r="Z256" t="str">
        <f>"South Melbourne"</f>
        <v>South Melbourne</v>
      </c>
      <c r="AA256" t="str">
        <f>"3205"</f>
        <v>3205</v>
      </c>
      <c r="AB256" t="str">
        <f t="shared" si="108"/>
        <v>Australia</v>
      </c>
      <c r="AC256" t="str">
        <f t="shared" si="109"/>
        <v>No</v>
      </c>
      <c r="AD256" t="str">
        <f>"44123609629"</f>
        <v>44123609629</v>
      </c>
      <c r="AE256" t="str">
        <f>"PROCUREMENT MANAGER"</f>
        <v>PROCUREMENT MANAGER</v>
      </c>
      <c r="AF256" t="str">
        <f t="shared" si="98"/>
        <v>(02) 6271 1000</v>
      </c>
      <c r="AG256" t="str">
        <f>""</f>
        <v/>
      </c>
      <c r="AH256" t="str">
        <f>""</f>
        <v/>
      </c>
      <c r="AI256" t="str">
        <f>"CONSUMER &amp; CONTENT Consumer and Content Division"</f>
        <v>CONSUMER &amp; CONTENT Consumer and Content Division</v>
      </c>
      <c r="AJ256" t="str">
        <f t="shared" si="110"/>
        <v>2603</v>
      </c>
    </row>
    <row r="257" spans="1:36" x14ac:dyDescent="0.25">
      <c r="A257" t="str">
        <f t="shared" si="82"/>
        <v>Department of Communications</v>
      </c>
      <c r="B257" t="str">
        <f>""</f>
        <v/>
      </c>
      <c r="C257" t="str">
        <f>"CN2800592"</f>
        <v>CN2800592</v>
      </c>
      <c r="D257" t="str">
        <f t="shared" si="107"/>
        <v>David Kenny</v>
      </c>
      <c r="E257" s="44">
        <v>42019.46875</v>
      </c>
      <c r="F257" t="s">
        <v>2508</v>
      </c>
      <c r="G257" t="str">
        <f t="shared" si="83"/>
        <v>published</v>
      </c>
      <c r="H257" s="45">
        <v>42020</v>
      </c>
      <c r="I257" s="45">
        <v>42034</v>
      </c>
      <c r="J257" s="46">
        <v>46001.78</v>
      </c>
      <c r="K257" t="s">
        <v>1489</v>
      </c>
      <c r="L257" t="str">
        <f>"0004604827"</f>
        <v>0004604827</v>
      </c>
      <c r="M257" t="str">
        <f>"Software"</f>
        <v>Software</v>
      </c>
      <c r="N257" t="str">
        <f>"Limited tender"</f>
        <v>Limited tender</v>
      </c>
      <c r="O257" t="str">
        <f>""</f>
        <v/>
      </c>
      <c r="Q257" t="str">
        <f t="shared" si="100"/>
        <v>No</v>
      </c>
      <c r="R257" t="str">
        <f>""</f>
        <v/>
      </c>
      <c r="S257" t="str">
        <f t="shared" si="103"/>
        <v>No</v>
      </c>
      <c r="T257" t="str">
        <f>""</f>
        <v/>
      </c>
      <c r="U257" t="str">
        <f t="shared" si="104"/>
        <v>No</v>
      </c>
      <c r="V257" t="str">
        <f>""</f>
        <v/>
      </c>
      <c r="X257" t="str">
        <f>"HEWLETT PACKARD AUST LTD"</f>
        <v>HEWLETT PACKARD AUST LTD</v>
      </c>
      <c r="Y257" t="str">
        <f>"PO BOX 221"</f>
        <v>PO BOX 221</v>
      </c>
      <c r="Z257" t="str">
        <f>"BLACKBURN"</f>
        <v>BLACKBURN</v>
      </c>
      <c r="AA257" t="str">
        <f>"3130"</f>
        <v>3130</v>
      </c>
      <c r="AB257" t="str">
        <f t="shared" si="108"/>
        <v>Australia</v>
      </c>
      <c r="AC257" t="str">
        <f t="shared" si="109"/>
        <v>No</v>
      </c>
      <c r="AD257" t="str">
        <f>"74004394763"</f>
        <v>74004394763</v>
      </c>
      <c r="AE257" t="str">
        <f>"ADMIN OFFICER"</f>
        <v>ADMIN OFFICER</v>
      </c>
      <c r="AF257" t="str">
        <f t="shared" si="98"/>
        <v>(02) 6271 1000</v>
      </c>
      <c r="AG257" t="str">
        <f>""</f>
        <v/>
      </c>
      <c r="AH257" t="str">
        <f>""</f>
        <v/>
      </c>
      <c r="AI257" t="str">
        <f>"CORPORATE TREASURY [OLD] Corporate Treasury"</f>
        <v>CORPORATE TREASURY [OLD] Corporate Treasury</v>
      </c>
      <c r="AJ257" t="str">
        <f t="shared" si="110"/>
        <v>2603</v>
      </c>
    </row>
    <row r="258" spans="1:36" x14ac:dyDescent="0.25">
      <c r="A258" t="str">
        <f t="shared" si="82"/>
        <v>Department of Communications</v>
      </c>
      <c r="B258" t="str">
        <f>""</f>
        <v/>
      </c>
      <c r="C258" t="str">
        <f>"CN2800582"</f>
        <v>CN2800582</v>
      </c>
      <c r="D258" t="str">
        <f t="shared" si="107"/>
        <v>David Kenny</v>
      </c>
      <c r="E258" s="44">
        <v>42019.46875</v>
      </c>
      <c r="F258" t="s">
        <v>2508</v>
      </c>
      <c r="G258" t="str">
        <f t="shared" si="83"/>
        <v>published</v>
      </c>
      <c r="H258" s="45">
        <v>42016</v>
      </c>
      <c r="I258" s="45">
        <v>42155</v>
      </c>
      <c r="J258" s="46">
        <v>126500</v>
      </c>
      <c r="K258" t="s">
        <v>1767</v>
      </c>
      <c r="L258" t="str">
        <f>"0004604828"</f>
        <v>0004604828</v>
      </c>
      <c r="M258" t="str">
        <f>"Computer Equipment and Accessories"</f>
        <v>Computer Equipment and Accessories</v>
      </c>
      <c r="N258" t="str">
        <f>"Open tender"</f>
        <v>Open tender</v>
      </c>
      <c r="O258" t="str">
        <f>"DCON/09/67"</f>
        <v>DCON/09/67</v>
      </c>
      <c r="P258" t="str">
        <f>"SON269193"</f>
        <v>SON269193</v>
      </c>
      <c r="Q258" t="str">
        <f t="shared" si="100"/>
        <v>No</v>
      </c>
      <c r="R258" t="str">
        <f>""</f>
        <v/>
      </c>
      <c r="S258" t="str">
        <f t="shared" si="103"/>
        <v>No</v>
      </c>
      <c r="T258" t="str">
        <f>""</f>
        <v/>
      </c>
      <c r="U258" t="str">
        <f t="shared" si="104"/>
        <v>No</v>
      </c>
      <c r="V258" t="str">
        <f>""</f>
        <v/>
      </c>
      <c r="X258" t="str">
        <f>"ASG Group Limited"</f>
        <v>ASG Group Limited</v>
      </c>
      <c r="Y258" t="str">
        <f>"Level 1, 267 Georges Terrace"</f>
        <v>Level 1, 267 Georges Terrace</v>
      </c>
      <c r="Z258" t="str">
        <f>"Perth"</f>
        <v>Perth</v>
      </c>
      <c r="AA258" t="str">
        <f>"6000"</f>
        <v>6000</v>
      </c>
      <c r="AB258" t="str">
        <f t="shared" si="108"/>
        <v>Australia</v>
      </c>
      <c r="AC258" t="str">
        <f t="shared" si="109"/>
        <v>No</v>
      </c>
      <c r="AD258" t="str">
        <f>"57070045117"</f>
        <v>57070045117</v>
      </c>
      <c r="AE258" t="str">
        <f>"ADMIN OFFICER"</f>
        <v>ADMIN OFFICER</v>
      </c>
      <c r="AF258" t="str">
        <f t="shared" si="98"/>
        <v>(02) 6271 1000</v>
      </c>
      <c r="AG258" t="str">
        <f>""</f>
        <v/>
      </c>
      <c r="AH258" t="str">
        <f>""</f>
        <v/>
      </c>
      <c r="AI258" t="str">
        <f>"CORPORATE TREASURY [OLD] Corporate Treasury"</f>
        <v>CORPORATE TREASURY [OLD] Corporate Treasury</v>
      </c>
      <c r="AJ258" t="str">
        <f t="shared" si="110"/>
        <v>2603</v>
      </c>
    </row>
    <row r="259" spans="1:36" x14ac:dyDescent="0.25">
      <c r="A259" t="str">
        <f t="shared" si="82"/>
        <v>Department of Communications</v>
      </c>
      <c r="B259" t="str">
        <f>""</f>
        <v/>
      </c>
      <c r="C259" t="str">
        <f>"CN2885782"</f>
        <v>CN2885782</v>
      </c>
      <c r="D259" t="str">
        <f t="shared" si="107"/>
        <v>David Kenny</v>
      </c>
      <c r="E259" s="44">
        <v>42062.685416666667</v>
      </c>
      <c r="F259" t="s">
        <v>2508</v>
      </c>
      <c r="G259" t="str">
        <f t="shared" si="83"/>
        <v>published</v>
      </c>
      <c r="H259" s="45">
        <v>42019</v>
      </c>
      <c r="I259" s="45">
        <v>42052</v>
      </c>
      <c r="J259" s="46">
        <v>10000</v>
      </c>
      <c r="K259" t="s">
        <v>1317</v>
      </c>
      <c r="L259" t="str">
        <f>"0004604829"</f>
        <v>0004604829</v>
      </c>
      <c r="M259" t="str">
        <f>"Personnel recruitment"</f>
        <v>Personnel recruitment</v>
      </c>
      <c r="N259" t="str">
        <f>"Open tender"</f>
        <v>Open tender</v>
      </c>
      <c r="O259" t="str">
        <f>"DCON/12/244"</f>
        <v>DCON/12/244</v>
      </c>
      <c r="P259" t="str">
        <f>"SON1180562"</f>
        <v>SON1180562</v>
      </c>
      <c r="Q259" t="str">
        <f t="shared" si="100"/>
        <v>No</v>
      </c>
      <c r="R259" t="str">
        <f>""</f>
        <v/>
      </c>
      <c r="S259" t="str">
        <f t="shared" si="103"/>
        <v>No</v>
      </c>
      <c r="T259" t="str">
        <f>""</f>
        <v/>
      </c>
      <c r="U259" t="str">
        <f t="shared" si="104"/>
        <v>No</v>
      </c>
      <c r="V259" t="str">
        <f>""</f>
        <v/>
      </c>
      <c r="X259" t="str">
        <f>"ADECCO"</f>
        <v>ADECCO</v>
      </c>
      <c r="Y259" t="str">
        <f>"GPO BOX 4328PP"</f>
        <v>GPO BOX 4328PP</v>
      </c>
      <c r="Z259" t="str">
        <f>"MELBOURNE"</f>
        <v>MELBOURNE</v>
      </c>
      <c r="AA259" t="str">
        <f>"3001"</f>
        <v>3001</v>
      </c>
      <c r="AB259" t="str">
        <f t="shared" si="108"/>
        <v>Australia</v>
      </c>
      <c r="AC259" t="str">
        <f t="shared" si="109"/>
        <v>No</v>
      </c>
      <c r="AD259" t="str">
        <f>"91006253336"</f>
        <v>91006253336</v>
      </c>
      <c r="AE259" t="str">
        <f>"PROCUREMENT MANAGER"</f>
        <v>PROCUREMENT MANAGER</v>
      </c>
      <c r="AF259" t="str">
        <f t="shared" si="98"/>
        <v>(02) 6271 1000</v>
      </c>
      <c r="AG259" t="str">
        <f>""</f>
        <v/>
      </c>
      <c r="AH259" t="str">
        <f>""</f>
        <v/>
      </c>
      <c r="AI259" t="str">
        <f>"GENERAL COUNSEL Office of the General Counsel"</f>
        <v>GENERAL COUNSEL Office of the General Counsel</v>
      </c>
      <c r="AJ259" t="str">
        <f t="shared" si="110"/>
        <v>2603</v>
      </c>
    </row>
    <row r="260" spans="1:36" x14ac:dyDescent="0.25">
      <c r="A260" t="str">
        <f t="shared" ref="A260:A323" si="111">"Department of Communications"</f>
        <v>Department of Communications</v>
      </c>
      <c r="B260" t="str">
        <f>""</f>
        <v/>
      </c>
      <c r="C260" t="str">
        <f>"CN2819582"</f>
        <v>CN2819582</v>
      </c>
      <c r="D260" t="str">
        <f t="shared" si="107"/>
        <v>David Kenny</v>
      </c>
      <c r="E260" s="44">
        <v>42031.442361111112</v>
      </c>
      <c r="F260" t="s">
        <v>2508</v>
      </c>
      <c r="G260" t="str">
        <f t="shared" ref="G260:G323" si="112">"published"</f>
        <v>published</v>
      </c>
      <c r="H260" s="45">
        <v>42023</v>
      </c>
      <c r="I260" s="45">
        <v>42124</v>
      </c>
      <c r="J260" s="46">
        <v>163350</v>
      </c>
      <c r="K260" t="s">
        <v>1792</v>
      </c>
      <c r="L260" t="str">
        <f>"0004604830"</f>
        <v>0004604830</v>
      </c>
      <c r="M260" t="str">
        <f>"Telephony equipment"</f>
        <v>Telephony equipment</v>
      </c>
      <c r="N260" t="str">
        <f>"Open tender"</f>
        <v>Open tender</v>
      </c>
      <c r="O260" t="str">
        <f>"DCON/09/67"</f>
        <v>DCON/09/67</v>
      </c>
      <c r="P260" t="str">
        <f>"SON269193"</f>
        <v>SON269193</v>
      </c>
      <c r="Q260" t="str">
        <f t="shared" si="100"/>
        <v>No</v>
      </c>
      <c r="R260" t="str">
        <f>""</f>
        <v/>
      </c>
      <c r="S260" t="str">
        <f t="shared" si="103"/>
        <v>No</v>
      </c>
      <c r="T260" t="str">
        <f>""</f>
        <v/>
      </c>
      <c r="U260" t="str">
        <f t="shared" si="104"/>
        <v>No</v>
      </c>
      <c r="V260" t="str">
        <f>""</f>
        <v/>
      </c>
      <c r="X260" t="str">
        <f>"ASG Group Limited"</f>
        <v>ASG Group Limited</v>
      </c>
      <c r="Y260" t="str">
        <f>"Level 1, 267 Georges Terrace"</f>
        <v>Level 1, 267 Georges Terrace</v>
      </c>
      <c r="Z260" t="str">
        <f>"Perth"</f>
        <v>Perth</v>
      </c>
      <c r="AA260" t="str">
        <f>"6000"</f>
        <v>6000</v>
      </c>
      <c r="AB260" t="str">
        <f t="shared" si="108"/>
        <v>Australia</v>
      </c>
      <c r="AC260" t="str">
        <f t="shared" si="109"/>
        <v>No</v>
      </c>
      <c r="AD260" t="str">
        <f>"57070045117"</f>
        <v>57070045117</v>
      </c>
      <c r="AE260" t="str">
        <f>"ADMIN OFFICER"</f>
        <v>ADMIN OFFICER</v>
      </c>
      <c r="AF260" t="str">
        <f t="shared" si="98"/>
        <v>(02) 6271 1000</v>
      </c>
      <c r="AG260" t="str">
        <f>""</f>
        <v/>
      </c>
      <c r="AH260" t="str">
        <f>""</f>
        <v/>
      </c>
      <c r="AI260" t="str">
        <f>"CORPORATE TREASURY [OLD] Corporate Treasury"</f>
        <v>CORPORATE TREASURY [OLD] Corporate Treasury</v>
      </c>
      <c r="AJ260" t="str">
        <f t="shared" si="110"/>
        <v>2603</v>
      </c>
    </row>
    <row r="261" spans="1:36" x14ac:dyDescent="0.25">
      <c r="A261" t="str">
        <f t="shared" si="111"/>
        <v>Department of Communications</v>
      </c>
      <c r="B261" t="str">
        <f>""</f>
        <v/>
      </c>
      <c r="C261" t="str">
        <f>"CN3165042"</f>
        <v>CN3165042</v>
      </c>
      <c r="D261" t="str">
        <f t="shared" si="107"/>
        <v>David Kenny</v>
      </c>
      <c r="E261" s="44">
        <v>42172.488194444442</v>
      </c>
      <c r="F261" t="s">
        <v>2508</v>
      </c>
      <c r="G261" t="str">
        <f t="shared" si="112"/>
        <v>published</v>
      </c>
      <c r="H261" s="45">
        <v>42023</v>
      </c>
      <c r="I261" s="45">
        <v>42124</v>
      </c>
      <c r="J261" s="46">
        <v>36374.800000000003</v>
      </c>
      <c r="K261" t="s">
        <v>1792</v>
      </c>
      <c r="L261" t="str">
        <f>"0004604830"</f>
        <v>0004604830</v>
      </c>
      <c r="M261" t="str">
        <f>"Telephony equipment"</f>
        <v>Telephony equipment</v>
      </c>
      <c r="N261" t="str">
        <f>"Open tender"</f>
        <v>Open tender</v>
      </c>
      <c r="O261" t="str">
        <f>"DCON/09/67"</f>
        <v>DCON/09/67</v>
      </c>
      <c r="P261" t="str">
        <f>"SON269193"</f>
        <v>SON269193</v>
      </c>
      <c r="Q261" t="str">
        <f t="shared" si="100"/>
        <v>No</v>
      </c>
      <c r="R261" t="str">
        <f>""</f>
        <v/>
      </c>
      <c r="S261" t="str">
        <f t="shared" si="103"/>
        <v>No</v>
      </c>
      <c r="T261" t="str">
        <f>""</f>
        <v/>
      </c>
      <c r="U261" t="str">
        <f t="shared" si="104"/>
        <v>No</v>
      </c>
      <c r="V261" t="str">
        <f>""</f>
        <v/>
      </c>
      <c r="X261" t="str">
        <f>"ASG Group Limited"</f>
        <v>ASG Group Limited</v>
      </c>
      <c r="Y261" t="str">
        <f>"Level 1, 267 Georges Terrace"</f>
        <v>Level 1, 267 Georges Terrace</v>
      </c>
      <c r="Z261" t="str">
        <f>"Perth"</f>
        <v>Perth</v>
      </c>
      <c r="AA261" t="str">
        <f>"6000"</f>
        <v>6000</v>
      </c>
      <c r="AB261" t="str">
        <f t="shared" si="108"/>
        <v>Australia</v>
      </c>
      <c r="AC261" t="str">
        <f t="shared" si="109"/>
        <v>No</v>
      </c>
      <c r="AD261" t="str">
        <f>"57070045117"</f>
        <v>57070045117</v>
      </c>
      <c r="AE261" t="str">
        <f>"ADMIN OFFICER"</f>
        <v>ADMIN OFFICER</v>
      </c>
      <c r="AF261" t="str">
        <f t="shared" si="98"/>
        <v>(02) 6271 1000</v>
      </c>
      <c r="AG261" t="str">
        <f>""</f>
        <v/>
      </c>
      <c r="AH261" t="str">
        <f>""</f>
        <v/>
      </c>
      <c r="AI261" t="str">
        <f>"CORPORATE TREASURY [OLD] Corporate Treasury"</f>
        <v>CORPORATE TREASURY [OLD] Corporate Treasury</v>
      </c>
      <c r="AJ261" t="str">
        <f t="shared" si="110"/>
        <v>2603</v>
      </c>
    </row>
    <row r="262" spans="1:36" x14ac:dyDescent="0.25">
      <c r="A262" t="str">
        <f t="shared" si="111"/>
        <v>Department of Communications</v>
      </c>
      <c r="B262" t="str">
        <f>""</f>
        <v/>
      </c>
      <c r="C262" t="str">
        <f>"CN2819572"</f>
        <v>CN2819572</v>
      </c>
      <c r="D262" t="str">
        <f t="shared" si="107"/>
        <v>David Kenny</v>
      </c>
      <c r="E262" s="44">
        <v>42031.442361111112</v>
      </c>
      <c r="F262" t="s">
        <v>2508</v>
      </c>
      <c r="G262" t="str">
        <f t="shared" si="112"/>
        <v>published</v>
      </c>
      <c r="H262" s="45">
        <v>42012</v>
      </c>
      <c r="I262" s="45">
        <v>42048</v>
      </c>
      <c r="J262" s="46">
        <v>36850</v>
      </c>
      <c r="K262" t="s">
        <v>446</v>
      </c>
      <c r="L262" t="str">
        <f>"0004604833"</f>
        <v>0004604833</v>
      </c>
      <c r="M262" t="str">
        <f>"Economic analysis"</f>
        <v>Economic analysis</v>
      </c>
      <c r="N262" t="str">
        <f>"Open tender"</f>
        <v>Open tender</v>
      </c>
      <c r="O262" t="str">
        <f>"DCON/12/133"</f>
        <v>DCON/12/133</v>
      </c>
      <c r="P262" t="str">
        <f>"SON1143842"</f>
        <v>SON1143842</v>
      </c>
      <c r="Q262" t="str">
        <f t="shared" si="100"/>
        <v>No</v>
      </c>
      <c r="R262" t="str">
        <f>""</f>
        <v/>
      </c>
      <c r="S262" t="str">
        <f t="shared" si="103"/>
        <v>No</v>
      </c>
      <c r="T262" t="str">
        <f>""</f>
        <v/>
      </c>
      <c r="U262" t="str">
        <f>"Yes"</f>
        <v>Yes</v>
      </c>
      <c r="V262" t="str">
        <f>"Need for independent research or assessment"</f>
        <v>Need for independent research or assessment</v>
      </c>
      <c r="X262" t="str">
        <f>"INTERNATIONAL ECONOMICS UNIT TRUST"</f>
        <v>INTERNATIONAL ECONOMICS UNIT TRUST</v>
      </c>
      <c r="Y262" t="str">
        <f>"PO Box 397"</f>
        <v>PO Box 397</v>
      </c>
      <c r="Z262" t="str">
        <f>"SYDNEY"</f>
        <v>SYDNEY</v>
      </c>
      <c r="AA262" t="str">
        <f>"1043"</f>
        <v>1043</v>
      </c>
      <c r="AB262" t="str">
        <f t="shared" si="108"/>
        <v>Australia</v>
      </c>
      <c r="AC262" t="str">
        <f t="shared" si="109"/>
        <v>No</v>
      </c>
      <c r="AD262" t="str">
        <f>"11705723812"</f>
        <v>11705723812</v>
      </c>
      <c r="AE262" t="str">
        <f>"PROCUREMENT MANAGER"</f>
        <v>PROCUREMENT MANAGER</v>
      </c>
      <c r="AF262" t="str">
        <f t="shared" si="98"/>
        <v>(02) 6271 1000</v>
      </c>
      <c r="AG262" t="str">
        <f>""</f>
        <v/>
      </c>
      <c r="AH262" t="str">
        <f>""</f>
        <v/>
      </c>
      <c r="AI262" t="str">
        <f>"COMMUNICATIONS RESEARCH Bureau of Communications Research"</f>
        <v>COMMUNICATIONS RESEARCH Bureau of Communications Research</v>
      </c>
      <c r="AJ262" t="str">
        <f t="shared" si="110"/>
        <v>2603</v>
      </c>
    </row>
    <row r="263" spans="1:36" x14ac:dyDescent="0.25">
      <c r="A263" t="str">
        <f t="shared" si="111"/>
        <v>Department of Communications</v>
      </c>
      <c r="B263" t="str">
        <f>""</f>
        <v/>
      </c>
      <c r="C263" t="str">
        <f>"CN2836542"</f>
        <v>CN2836542</v>
      </c>
      <c r="D263" t="str">
        <f t="shared" si="107"/>
        <v>David Kenny</v>
      </c>
      <c r="E263" s="44">
        <v>42039.681944444441</v>
      </c>
      <c r="F263" t="s">
        <v>2508</v>
      </c>
      <c r="G263" t="str">
        <f t="shared" si="112"/>
        <v>published</v>
      </c>
      <c r="H263" s="45">
        <v>42026</v>
      </c>
      <c r="I263" s="45">
        <v>42094</v>
      </c>
      <c r="J263" s="46">
        <v>19083.22</v>
      </c>
      <c r="K263" t="s">
        <v>1794</v>
      </c>
      <c r="L263" t="str">
        <f>"0004604834"</f>
        <v>0004604834</v>
      </c>
      <c r="M263" t="str">
        <f>"Data Voice or Multimedia Network Equipment or Platforms and Accessories"</f>
        <v>Data Voice or Multimedia Network Equipment or Platforms and Accessories</v>
      </c>
      <c r="N263" t="str">
        <f>"Limited tender"</f>
        <v>Limited tender</v>
      </c>
      <c r="O263" t="str">
        <f>"DCON/14/1"</f>
        <v>DCON/14/1</v>
      </c>
      <c r="Q263" t="str">
        <f t="shared" si="100"/>
        <v>No</v>
      </c>
      <c r="R263" t="str">
        <f>""</f>
        <v/>
      </c>
      <c r="S263" t="str">
        <f t="shared" si="103"/>
        <v>No</v>
      </c>
      <c r="T263" t="str">
        <f>""</f>
        <v/>
      </c>
      <c r="U263" t="str">
        <f t="shared" ref="U263:U275" si="113">"No"</f>
        <v>No</v>
      </c>
      <c r="V263" t="str">
        <f>""</f>
        <v/>
      </c>
      <c r="X263" t="str">
        <f>"MACQUARIE TELECOM"</f>
        <v>MACQUARIE TELECOM</v>
      </c>
      <c r="Y263" t="str">
        <f>"2 Market St"</f>
        <v>2 Market St</v>
      </c>
      <c r="Z263" t="str">
        <f>"SYDNEY"</f>
        <v>SYDNEY</v>
      </c>
      <c r="AA263" t="str">
        <f>"2000"</f>
        <v>2000</v>
      </c>
      <c r="AB263" t="str">
        <f t="shared" si="108"/>
        <v>Australia</v>
      </c>
      <c r="AC263" t="str">
        <f t="shared" si="109"/>
        <v>No</v>
      </c>
      <c r="AD263" t="str">
        <f>"21082930916"</f>
        <v>21082930916</v>
      </c>
      <c r="AE263" t="str">
        <f>"ADMIN OFFICER"</f>
        <v>ADMIN OFFICER</v>
      </c>
      <c r="AF263" t="str">
        <f t="shared" si="98"/>
        <v>(02) 6271 1000</v>
      </c>
      <c r="AG263" t="str">
        <f>""</f>
        <v/>
      </c>
      <c r="AH263" t="str">
        <f>""</f>
        <v/>
      </c>
      <c r="AI263" t="str">
        <f>"CORPORATE TREASURY [OLD] Corporate Treasury"</f>
        <v>CORPORATE TREASURY [OLD] Corporate Treasury</v>
      </c>
      <c r="AJ263" t="str">
        <f t="shared" si="110"/>
        <v>2603</v>
      </c>
    </row>
    <row r="264" spans="1:36" x14ac:dyDescent="0.25">
      <c r="A264" t="str">
        <f t="shared" si="111"/>
        <v>Department of Communications</v>
      </c>
      <c r="B264" t="str">
        <f>""</f>
        <v/>
      </c>
      <c r="C264" t="str">
        <f>"CN2819562"</f>
        <v>CN2819562</v>
      </c>
      <c r="D264" t="str">
        <f t="shared" si="107"/>
        <v>David Kenny</v>
      </c>
      <c r="E264" s="44">
        <v>42031.442361111112</v>
      </c>
      <c r="F264" t="s">
        <v>2508</v>
      </c>
      <c r="G264" t="str">
        <f t="shared" si="112"/>
        <v>published</v>
      </c>
      <c r="H264" s="45">
        <v>41960</v>
      </c>
      <c r="I264" s="45">
        <v>42035</v>
      </c>
      <c r="J264" s="46">
        <v>26820</v>
      </c>
      <c r="K264" t="s">
        <v>1796</v>
      </c>
      <c r="L264" t="str">
        <f>"0004604835"</f>
        <v>0004604835</v>
      </c>
      <c r="M264" t="str">
        <f>"Office and desk accessories"</f>
        <v>Office and desk accessories</v>
      </c>
      <c r="N264" t="str">
        <f>"Limited tender"</f>
        <v>Limited tender</v>
      </c>
      <c r="O264" t="str">
        <f>""</f>
        <v/>
      </c>
      <c r="Q264" t="str">
        <f t="shared" si="100"/>
        <v>No</v>
      </c>
      <c r="R264" t="str">
        <f>""</f>
        <v/>
      </c>
      <c r="S264" t="str">
        <f t="shared" si="103"/>
        <v>No</v>
      </c>
      <c r="T264" t="str">
        <f>""</f>
        <v/>
      </c>
      <c r="U264" t="str">
        <f t="shared" si="113"/>
        <v>No</v>
      </c>
      <c r="V264" t="str">
        <f>""</f>
        <v/>
      </c>
      <c r="X264" t="str">
        <f>"Schiavello (ACT) Pty Ltd"</f>
        <v>Schiavello (ACT) Pty Ltd</v>
      </c>
      <c r="Y264" t="str">
        <f>"PO Box 427"</f>
        <v>PO Box 427</v>
      </c>
      <c r="Z264" t="str">
        <f>"FYSHWICK"</f>
        <v>FYSHWICK</v>
      </c>
      <c r="AA264" t="str">
        <f>"2609"</f>
        <v>2609</v>
      </c>
      <c r="AB264" t="str">
        <f t="shared" si="108"/>
        <v>Australia</v>
      </c>
      <c r="AC264" t="str">
        <f t="shared" si="109"/>
        <v>No</v>
      </c>
      <c r="AD264" t="str">
        <f>"83008635532"</f>
        <v>83008635532</v>
      </c>
      <c r="AE264" t="str">
        <f>"ADMIN OFFICER"</f>
        <v>ADMIN OFFICER</v>
      </c>
      <c r="AF264" t="str">
        <f t="shared" si="98"/>
        <v>(02) 6271 1000</v>
      </c>
      <c r="AG264" t="str">
        <f>""</f>
        <v/>
      </c>
      <c r="AH264" t="str">
        <f>""</f>
        <v/>
      </c>
      <c r="AI264" t="str">
        <f>"CORPORATE TREASURY [OLD] Corporate Treasury"</f>
        <v>CORPORATE TREASURY [OLD] Corporate Treasury</v>
      </c>
      <c r="AJ264" t="str">
        <f t="shared" si="110"/>
        <v>2603</v>
      </c>
    </row>
    <row r="265" spans="1:36" x14ac:dyDescent="0.25">
      <c r="A265" t="str">
        <f t="shared" si="111"/>
        <v>Department of Communications</v>
      </c>
      <c r="B265" t="str">
        <f>""</f>
        <v/>
      </c>
      <c r="C265" t="str">
        <f>"CN2819552"</f>
        <v>CN2819552</v>
      </c>
      <c r="D265" t="str">
        <f t="shared" si="107"/>
        <v>David Kenny</v>
      </c>
      <c r="E265" s="44">
        <v>42031.442361111112</v>
      </c>
      <c r="F265" t="s">
        <v>2508</v>
      </c>
      <c r="G265" t="str">
        <f t="shared" si="112"/>
        <v>published</v>
      </c>
      <c r="H265" s="45">
        <v>42023</v>
      </c>
      <c r="I265" s="45">
        <v>42177</v>
      </c>
      <c r="J265" s="46">
        <v>35000</v>
      </c>
      <c r="K265" t="s">
        <v>1798</v>
      </c>
      <c r="L265" t="str">
        <f>"0004604836"</f>
        <v>0004604836</v>
      </c>
      <c r="M265" t="str">
        <f>"Building support services"</f>
        <v>Building support services</v>
      </c>
      <c r="N265" t="str">
        <f>"Open tender"</f>
        <v>Open tender</v>
      </c>
      <c r="O265" t="str">
        <f>"NA1000"</f>
        <v>NA1000</v>
      </c>
      <c r="Q265" t="str">
        <f t="shared" si="100"/>
        <v>No</v>
      </c>
      <c r="R265" t="str">
        <f>""</f>
        <v/>
      </c>
      <c r="S265" t="str">
        <f t="shared" si="103"/>
        <v>No</v>
      </c>
      <c r="T265" t="str">
        <f>""</f>
        <v/>
      </c>
      <c r="U265" t="str">
        <f t="shared" si="113"/>
        <v>No</v>
      </c>
      <c r="V265" t="str">
        <f>""</f>
        <v/>
      </c>
      <c r="X265" t="str">
        <f>"NEF Consulting Services"</f>
        <v>NEF Consulting Services</v>
      </c>
      <c r="Y265" t="str">
        <f>"PO Box 260"</f>
        <v>PO Box 260</v>
      </c>
      <c r="Z265" t="str">
        <f>"Dickson"</f>
        <v>Dickson</v>
      </c>
      <c r="AA265" t="str">
        <f>"2602"</f>
        <v>2602</v>
      </c>
      <c r="AB265" t="str">
        <f t="shared" si="108"/>
        <v>Australia</v>
      </c>
      <c r="AC265" t="str">
        <f t="shared" si="109"/>
        <v>No</v>
      </c>
      <c r="AD265" t="str">
        <f>"17125808188"</f>
        <v>17125808188</v>
      </c>
      <c r="AE265" t="str">
        <f>"ADMIN OFFICER"</f>
        <v>ADMIN OFFICER</v>
      </c>
      <c r="AF265" t="str">
        <f t="shared" si="98"/>
        <v>(02) 6271 1000</v>
      </c>
      <c r="AG265" t="str">
        <f>""</f>
        <v/>
      </c>
      <c r="AH265" t="str">
        <f>""</f>
        <v/>
      </c>
      <c r="AI265" t="str">
        <f>"CORPORATE TREASURY [OLD] Corporate Treasury"</f>
        <v>CORPORATE TREASURY [OLD] Corporate Treasury</v>
      </c>
      <c r="AJ265" t="str">
        <f>"2000"</f>
        <v>2000</v>
      </c>
    </row>
    <row r="266" spans="1:36" x14ac:dyDescent="0.25">
      <c r="A266" t="str">
        <f t="shared" si="111"/>
        <v>Department of Communications</v>
      </c>
      <c r="B266" t="str">
        <f>""</f>
        <v/>
      </c>
      <c r="C266" t="str">
        <f>"CN2819542"</f>
        <v>CN2819542</v>
      </c>
      <c r="D266" t="str">
        <f t="shared" si="107"/>
        <v>David Kenny</v>
      </c>
      <c r="E266" s="44">
        <v>42031.442361111112</v>
      </c>
      <c r="F266" t="s">
        <v>2508</v>
      </c>
      <c r="G266" t="str">
        <f t="shared" si="112"/>
        <v>published</v>
      </c>
      <c r="H266" s="45">
        <v>42033</v>
      </c>
      <c r="I266" s="45">
        <v>42034</v>
      </c>
      <c r="J266" s="46">
        <v>24649.79</v>
      </c>
      <c r="K266" t="s">
        <v>451</v>
      </c>
      <c r="L266" t="str">
        <f>"0004604837"</f>
        <v>0004604837</v>
      </c>
      <c r="M266" t="str">
        <f>"Education and Training Services"</f>
        <v>Education and Training Services</v>
      </c>
      <c r="N266" t="str">
        <f>"Limited tender"</f>
        <v>Limited tender</v>
      </c>
      <c r="O266" t="str">
        <f>""</f>
        <v/>
      </c>
      <c r="Q266" t="str">
        <f t="shared" si="100"/>
        <v>No</v>
      </c>
      <c r="R266" t="str">
        <f>""</f>
        <v/>
      </c>
      <c r="S266" t="str">
        <f t="shared" si="103"/>
        <v>No</v>
      </c>
      <c r="T266" t="str">
        <f>""</f>
        <v/>
      </c>
      <c r="U266" t="str">
        <f t="shared" si="113"/>
        <v>No</v>
      </c>
      <c r="V266" t="str">
        <f>""</f>
        <v/>
      </c>
      <c r="X266" t="str">
        <f>"AUSTRALIAN NATIONAL UNIVERSITY"</f>
        <v>AUSTRALIAN NATIONAL UNIVERSITY</v>
      </c>
      <c r="Y266" t="str">
        <f>"BUILDING 10c"</f>
        <v>BUILDING 10c</v>
      </c>
      <c r="Z266" t="str">
        <f>"CANBERRA"</f>
        <v>CANBERRA</v>
      </c>
      <c r="AA266" t="str">
        <f>"0200"</f>
        <v>0200</v>
      </c>
      <c r="AB266" t="str">
        <f t="shared" si="108"/>
        <v>Australia</v>
      </c>
      <c r="AC266" t="str">
        <f t="shared" si="109"/>
        <v>No</v>
      </c>
      <c r="AD266" t="str">
        <f>"52234063906"</f>
        <v>52234063906</v>
      </c>
      <c r="AE266" t="str">
        <f>"PROCUREMENT MANAGER"</f>
        <v>PROCUREMENT MANAGER</v>
      </c>
      <c r="AF266" t="str">
        <f t="shared" si="98"/>
        <v>(02) 6271 1000</v>
      </c>
      <c r="AG266" t="str">
        <f>""</f>
        <v/>
      </c>
      <c r="AH266" t="str">
        <f>""</f>
        <v/>
      </c>
      <c r="AI266" t="str">
        <f>"COMMUNICATIONS RESEARCH Bureau of Communications Research"</f>
        <v>COMMUNICATIONS RESEARCH Bureau of Communications Research</v>
      </c>
      <c r="AJ266" t="str">
        <f t="shared" ref="AJ266:AJ297" si="114">"2603"</f>
        <v>2603</v>
      </c>
    </row>
    <row r="267" spans="1:36" x14ac:dyDescent="0.25">
      <c r="A267" t="str">
        <f t="shared" si="111"/>
        <v>Department of Communications</v>
      </c>
      <c r="B267" t="str">
        <f>""</f>
        <v/>
      </c>
      <c r="C267" t="str">
        <f>"CN2819532"</f>
        <v>CN2819532</v>
      </c>
      <c r="D267" t="str">
        <f t="shared" si="107"/>
        <v>David Kenny</v>
      </c>
      <c r="E267" s="44">
        <v>42031.441666666666</v>
      </c>
      <c r="F267" t="s">
        <v>2508</v>
      </c>
      <c r="G267" t="str">
        <f t="shared" si="112"/>
        <v>published</v>
      </c>
      <c r="H267" s="45">
        <v>42025</v>
      </c>
      <c r="I267" s="45">
        <v>42062</v>
      </c>
      <c r="J267" s="46">
        <v>23100</v>
      </c>
      <c r="K267" t="s">
        <v>1800</v>
      </c>
      <c r="L267" t="str">
        <f>"0004604839"</f>
        <v>0004604839</v>
      </c>
      <c r="M267" t="str">
        <f>"Human resources services"</f>
        <v>Human resources services</v>
      </c>
      <c r="N267" t="str">
        <f>"Limited tender"</f>
        <v>Limited tender</v>
      </c>
      <c r="O267" t="str">
        <f>""</f>
        <v/>
      </c>
      <c r="Q267" t="str">
        <f t="shared" si="100"/>
        <v>No</v>
      </c>
      <c r="R267" t="str">
        <f>""</f>
        <v/>
      </c>
      <c r="S267" t="str">
        <f t="shared" si="103"/>
        <v>No</v>
      </c>
      <c r="T267" t="str">
        <f>""</f>
        <v/>
      </c>
      <c r="U267" t="str">
        <f t="shared" si="113"/>
        <v>No</v>
      </c>
      <c r="V267" t="str">
        <f>""</f>
        <v/>
      </c>
      <c r="X267" t="str">
        <f>"Hudson Global Resources (Aust) P/L"</f>
        <v>Hudson Global Resources (Aust) P/L</v>
      </c>
      <c r="Y267" t="str">
        <f>"GPO Box 3951"</f>
        <v>GPO Box 3951</v>
      </c>
      <c r="Z267" t="str">
        <f>"Sydney"</f>
        <v>Sydney</v>
      </c>
      <c r="AA267" t="str">
        <f>"2001"</f>
        <v>2001</v>
      </c>
      <c r="AB267" t="str">
        <f t="shared" si="108"/>
        <v>Australia</v>
      </c>
      <c r="AC267" t="str">
        <f t="shared" si="109"/>
        <v>No</v>
      </c>
      <c r="AD267" t="str">
        <f>"21002888762"</f>
        <v>21002888762</v>
      </c>
      <c r="AE267" t="str">
        <f>"ADMIN OFFICER"</f>
        <v>ADMIN OFFICER</v>
      </c>
      <c r="AF267" t="str">
        <f t="shared" si="98"/>
        <v>(02) 6271 1000</v>
      </c>
      <c r="AG267" t="str">
        <f>""</f>
        <v/>
      </c>
      <c r="AH267" t="str">
        <f>""</f>
        <v/>
      </c>
      <c r="AI267" t="str">
        <f>"CORPORATE TREASURY [OLD] Corporate Treasury"</f>
        <v>CORPORATE TREASURY [OLD] Corporate Treasury</v>
      </c>
      <c r="AJ267" t="str">
        <f t="shared" si="114"/>
        <v>2603</v>
      </c>
    </row>
    <row r="268" spans="1:36" x14ac:dyDescent="0.25">
      <c r="A268" t="str">
        <f t="shared" si="111"/>
        <v>Department of Communications</v>
      </c>
      <c r="B268" t="str">
        <f>""</f>
        <v/>
      </c>
      <c r="C268" t="str">
        <f>"CN2836532"</f>
        <v>CN2836532</v>
      </c>
      <c r="D268" t="str">
        <f t="shared" si="107"/>
        <v>David Kenny</v>
      </c>
      <c r="E268" s="44">
        <v>42039.681944444441</v>
      </c>
      <c r="F268" t="s">
        <v>2508</v>
      </c>
      <c r="G268" t="str">
        <f t="shared" si="112"/>
        <v>published</v>
      </c>
      <c r="H268" s="45">
        <v>42076</v>
      </c>
      <c r="I268" s="45">
        <v>42185</v>
      </c>
      <c r="J268" s="46">
        <v>12950</v>
      </c>
      <c r="K268" t="s">
        <v>454</v>
      </c>
      <c r="L268" t="str">
        <f>"0004604841"</f>
        <v>0004604841</v>
      </c>
      <c r="M268" t="str">
        <f>"Education and Training Services"</f>
        <v>Education and Training Services</v>
      </c>
      <c r="N268" t="str">
        <f>"Limited tender"</f>
        <v>Limited tender</v>
      </c>
      <c r="O268" t="str">
        <f>""</f>
        <v/>
      </c>
      <c r="Q268" t="str">
        <f t="shared" ref="Q268:Q299" si="115">"No"</f>
        <v>No</v>
      </c>
      <c r="R268" t="str">
        <f>""</f>
        <v/>
      </c>
      <c r="S268" t="str">
        <f t="shared" si="103"/>
        <v>No</v>
      </c>
      <c r="T268" t="str">
        <f>""</f>
        <v/>
      </c>
      <c r="U268" t="str">
        <f t="shared" si="113"/>
        <v>No</v>
      </c>
      <c r="V268" t="str">
        <f>""</f>
        <v/>
      </c>
      <c r="X268" t="str">
        <f>"Australian Public"</f>
        <v>Australian Public</v>
      </c>
      <c r="Y268" t="str">
        <f>"16 Furzer Street"</f>
        <v>16 Furzer Street</v>
      </c>
      <c r="Z268" t="str">
        <f>"Phillip"</f>
        <v>Phillip</v>
      </c>
      <c r="AA268" t="str">
        <f>"2606"</f>
        <v>2606</v>
      </c>
      <c r="AB268" t="str">
        <f t="shared" si="108"/>
        <v>Australia</v>
      </c>
      <c r="AC268" t="str">
        <f t="shared" si="109"/>
        <v>No</v>
      </c>
      <c r="AD268" t="str">
        <f>"99470863260"</f>
        <v>99470863260</v>
      </c>
      <c r="AE268" t="str">
        <f>"PROCUREMENT MANAGER"</f>
        <v>PROCUREMENT MANAGER</v>
      </c>
      <c r="AF268" t="str">
        <f t="shared" si="98"/>
        <v>(02) 6271 1000</v>
      </c>
      <c r="AG268" t="str">
        <f>""</f>
        <v/>
      </c>
      <c r="AH268" t="str">
        <f>""</f>
        <v/>
      </c>
      <c r="AI268" t="str">
        <f>"COMMUNICATIONS RESEARCH Bureau of Communications Research"</f>
        <v>COMMUNICATIONS RESEARCH Bureau of Communications Research</v>
      </c>
      <c r="AJ268" t="str">
        <f t="shared" si="114"/>
        <v>2603</v>
      </c>
    </row>
    <row r="269" spans="1:36" x14ac:dyDescent="0.25">
      <c r="A269" t="str">
        <f t="shared" si="111"/>
        <v>Department of Communications</v>
      </c>
      <c r="B269" t="str">
        <f>""</f>
        <v/>
      </c>
      <c r="C269" t="str">
        <f>"CN2836522"</f>
        <v>CN2836522</v>
      </c>
      <c r="D269" t="str">
        <f t="shared" si="107"/>
        <v>David Kenny</v>
      </c>
      <c r="E269" s="44">
        <v>42039.681250000001</v>
      </c>
      <c r="F269" t="s">
        <v>2508</v>
      </c>
      <c r="G269" t="str">
        <f t="shared" si="112"/>
        <v>published</v>
      </c>
      <c r="H269" s="45">
        <v>42031</v>
      </c>
      <c r="I269" s="45">
        <v>42185</v>
      </c>
      <c r="J269" s="46">
        <v>70000</v>
      </c>
      <c r="K269" t="s">
        <v>456</v>
      </c>
      <c r="L269" t="str">
        <f>"0004604842"</f>
        <v>0004604842</v>
      </c>
      <c r="M269" t="str">
        <f>"Temporary personnel services"</f>
        <v>Temporary personnel services</v>
      </c>
      <c r="N269" t="str">
        <f>"Open tender"</f>
        <v>Open tender</v>
      </c>
      <c r="O269" t="str">
        <f>"DCON/12/244"</f>
        <v>DCON/12/244</v>
      </c>
      <c r="P269" t="str">
        <f>"SON1180562"</f>
        <v>SON1180562</v>
      </c>
      <c r="Q269" t="str">
        <f t="shared" si="115"/>
        <v>No</v>
      </c>
      <c r="R269" t="str">
        <f>""</f>
        <v/>
      </c>
      <c r="S269" t="str">
        <f t="shared" si="103"/>
        <v>No</v>
      </c>
      <c r="T269" t="str">
        <f>""</f>
        <v/>
      </c>
      <c r="U269" t="str">
        <f t="shared" si="113"/>
        <v>No</v>
      </c>
      <c r="V269" t="str">
        <f>""</f>
        <v/>
      </c>
      <c r="X269" t="str">
        <f>"McArthur (NSW) Pty Ltd"</f>
        <v>McArthur (NSW) Pty Ltd</v>
      </c>
      <c r="Y269" t="str">
        <f>"PO Box 1400"</f>
        <v>PO Box 1400</v>
      </c>
      <c r="Z269" t="str">
        <f>"Brisbane"</f>
        <v>Brisbane</v>
      </c>
      <c r="AA269" t="str">
        <f>"4001"</f>
        <v>4001</v>
      </c>
      <c r="AB269" t="str">
        <f t="shared" si="108"/>
        <v>Australia</v>
      </c>
      <c r="AC269" t="str">
        <f t="shared" si="109"/>
        <v>No</v>
      </c>
      <c r="AD269" t="str">
        <f>"26078078298"</f>
        <v>26078078298</v>
      </c>
      <c r="AE269" t="str">
        <f>"PROCUREMENT MANAGER"</f>
        <v>PROCUREMENT MANAGER</v>
      </c>
      <c r="AF269" t="str">
        <f t="shared" si="98"/>
        <v>(02) 6271 1000</v>
      </c>
      <c r="AG269" t="str">
        <f>""</f>
        <v/>
      </c>
      <c r="AH269" t="str">
        <f>""</f>
        <v/>
      </c>
      <c r="AI269" t="str">
        <f>"COMMUNICATIONS RESEARCH Bureau of Communications Research"</f>
        <v>COMMUNICATIONS RESEARCH Bureau of Communications Research</v>
      </c>
      <c r="AJ269" t="str">
        <f t="shared" si="114"/>
        <v>2603</v>
      </c>
    </row>
    <row r="270" spans="1:36" x14ac:dyDescent="0.25">
      <c r="A270" t="str">
        <f t="shared" si="111"/>
        <v>Department of Communications</v>
      </c>
      <c r="B270" t="str">
        <f>""</f>
        <v/>
      </c>
      <c r="C270" t="str">
        <f>"CN2836512"</f>
        <v>CN2836512</v>
      </c>
      <c r="D270" t="str">
        <f t="shared" si="107"/>
        <v>David Kenny</v>
      </c>
      <c r="E270" s="44">
        <v>42039.681250000001</v>
      </c>
      <c r="F270" t="s">
        <v>2508</v>
      </c>
      <c r="G270" t="str">
        <f t="shared" si="112"/>
        <v>published</v>
      </c>
      <c r="H270" s="45">
        <v>42035</v>
      </c>
      <c r="I270" s="45">
        <v>42916</v>
      </c>
      <c r="J270" s="46">
        <v>136125</v>
      </c>
      <c r="K270" t="s">
        <v>1801</v>
      </c>
      <c r="L270" t="str">
        <f>"0004604843"</f>
        <v>0004604843</v>
      </c>
      <c r="M270" t="str">
        <f>"Software"</f>
        <v>Software</v>
      </c>
      <c r="N270" t="str">
        <f>"Open tender"</f>
        <v>Open tender</v>
      </c>
      <c r="O270" t="str">
        <f>"DCON/15/007"</f>
        <v>DCON/15/007</v>
      </c>
      <c r="Q270" t="str">
        <f t="shared" si="115"/>
        <v>No</v>
      </c>
      <c r="R270" t="str">
        <f>""</f>
        <v/>
      </c>
      <c r="S270" t="str">
        <f t="shared" si="103"/>
        <v>No</v>
      </c>
      <c r="T270" t="str">
        <f>""</f>
        <v/>
      </c>
      <c r="U270" t="str">
        <f t="shared" si="113"/>
        <v>No</v>
      </c>
      <c r="V270" t="str">
        <f>""</f>
        <v/>
      </c>
      <c r="X270" t="str">
        <f>"Webqem"</f>
        <v>Webqem</v>
      </c>
      <c r="Y270" t="str">
        <f>"PO Box 533"</f>
        <v>PO Box 533</v>
      </c>
      <c r="Z270" t="str">
        <f>"Mosman"</f>
        <v>Mosman</v>
      </c>
      <c r="AA270" t="str">
        <f>"2088"</f>
        <v>2088</v>
      </c>
      <c r="AB270" t="str">
        <f t="shared" si="108"/>
        <v>Australia</v>
      </c>
      <c r="AC270" t="str">
        <f t="shared" si="109"/>
        <v>No</v>
      </c>
      <c r="AD270" t="str">
        <f>"57088712485"</f>
        <v>57088712485</v>
      </c>
      <c r="AE270" t="str">
        <f>"ADMIN OFFICER"</f>
        <v>ADMIN OFFICER</v>
      </c>
      <c r="AF270" t="str">
        <f t="shared" si="98"/>
        <v>(02) 6271 1000</v>
      </c>
      <c r="AG270" t="str">
        <f>""</f>
        <v/>
      </c>
      <c r="AH270" t="str">
        <f>""</f>
        <v/>
      </c>
      <c r="AI270" t="str">
        <f>"CORPORATE TREASURY [OLD] Corporate Treasury"</f>
        <v>CORPORATE TREASURY [OLD] Corporate Treasury</v>
      </c>
      <c r="AJ270" t="str">
        <f t="shared" si="114"/>
        <v>2603</v>
      </c>
    </row>
    <row r="271" spans="1:36" x14ac:dyDescent="0.25">
      <c r="A271" t="str">
        <f t="shared" si="111"/>
        <v>Department of Communications</v>
      </c>
      <c r="B271" t="str">
        <f>""</f>
        <v/>
      </c>
      <c r="C271" t="str">
        <f>"CN2836502"</f>
        <v>CN2836502</v>
      </c>
      <c r="D271" t="str">
        <f t="shared" si="107"/>
        <v>David Kenny</v>
      </c>
      <c r="E271" s="44">
        <v>42039.681250000001</v>
      </c>
      <c r="F271" t="s">
        <v>2508</v>
      </c>
      <c r="G271" t="str">
        <f t="shared" si="112"/>
        <v>published</v>
      </c>
      <c r="H271" s="45">
        <v>42033</v>
      </c>
      <c r="I271" s="45">
        <v>42124</v>
      </c>
      <c r="J271" s="46">
        <v>12056.88</v>
      </c>
      <c r="K271" t="s">
        <v>1803</v>
      </c>
      <c r="L271" t="str">
        <f>"0004604844"</f>
        <v>0004604844</v>
      </c>
      <c r="M271" t="str">
        <f>"Education and Training Services"</f>
        <v>Education and Training Services</v>
      </c>
      <c r="N271" t="str">
        <f t="shared" ref="N271:N277" si="116">"Limited tender"</f>
        <v>Limited tender</v>
      </c>
      <c r="O271" t="str">
        <f>""</f>
        <v/>
      </c>
      <c r="Q271" t="str">
        <f t="shared" si="115"/>
        <v>No</v>
      </c>
      <c r="R271" t="str">
        <f>""</f>
        <v/>
      </c>
      <c r="S271" t="str">
        <f t="shared" si="103"/>
        <v>No</v>
      </c>
      <c r="T271" t="str">
        <f>""</f>
        <v/>
      </c>
      <c r="U271" t="str">
        <f t="shared" si="113"/>
        <v>No</v>
      </c>
      <c r="V271" t="str">
        <f>""</f>
        <v/>
      </c>
      <c r="X271" t="str">
        <f>"AUSTRALIAN UNIVERSITY"</f>
        <v>AUSTRALIAN UNIVERSITY</v>
      </c>
      <c r="Y271" t="str">
        <f>"General Bank Finance &amp; Business"</f>
        <v>General Bank Finance &amp; Business</v>
      </c>
      <c r="Z271" t="str">
        <f>"CANBERRA"</f>
        <v>CANBERRA</v>
      </c>
      <c r="AA271" t="str">
        <f>"0200"</f>
        <v>0200</v>
      </c>
      <c r="AB271" t="str">
        <f t="shared" si="108"/>
        <v>Australia</v>
      </c>
      <c r="AC271" t="str">
        <f t="shared" si="109"/>
        <v>No</v>
      </c>
      <c r="AD271" t="str">
        <f>"52234063906"</f>
        <v>52234063906</v>
      </c>
      <c r="AE271" t="str">
        <f>"ADMIN OFFICER"</f>
        <v>ADMIN OFFICER</v>
      </c>
      <c r="AF271" t="str">
        <f t="shared" si="98"/>
        <v>(02) 6271 1000</v>
      </c>
      <c r="AG271" t="str">
        <f>""</f>
        <v/>
      </c>
      <c r="AH271" t="str">
        <f>""</f>
        <v/>
      </c>
      <c r="AI271" t="str">
        <f>"CORPORATE TREASURY [OLD] Corporate Treasury"</f>
        <v>CORPORATE TREASURY [OLD] Corporate Treasury</v>
      </c>
      <c r="AJ271" t="str">
        <f t="shared" si="114"/>
        <v>2603</v>
      </c>
    </row>
    <row r="272" spans="1:36" x14ac:dyDescent="0.25">
      <c r="A272" t="str">
        <f t="shared" si="111"/>
        <v>Department of Communications</v>
      </c>
      <c r="B272" t="str">
        <f>""</f>
        <v/>
      </c>
      <c r="C272" t="str">
        <f>"CN2836492"</f>
        <v>CN2836492</v>
      </c>
      <c r="D272" t="str">
        <f t="shared" si="107"/>
        <v>David Kenny</v>
      </c>
      <c r="E272" s="44">
        <v>42039.681250000001</v>
      </c>
      <c r="F272" t="s">
        <v>2508</v>
      </c>
      <c r="G272" t="str">
        <f t="shared" si="112"/>
        <v>published</v>
      </c>
      <c r="H272" s="45">
        <v>42033</v>
      </c>
      <c r="I272" s="45">
        <v>42155</v>
      </c>
      <c r="J272" s="46">
        <v>20220</v>
      </c>
      <c r="K272" t="s">
        <v>1806</v>
      </c>
      <c r="L272" t="str">
        <f>"0004604845"</f>
        <v>0004604845</v>
      </c>
      <c r="M272" t="str">
        <f>"Education and Training Services"</f>
        <v>Education and Training Services</v>
      </c>
      <c r="N272" t="str">
        <f t="shared" si="116"/>
        <v>Limited tender</v>
      </c>
      <c r="O272" t="str">
        <f>""</f>
        <v/>
      </c>
      <c r="Q272" t="str">
        <f t="shared" si="115"/>
        <v>No</v>
      </c>
      <c r="R272" t="str">
        <f>""</f>
        <v/>
      </c>
      <c r="S272" t="str">
        <f t="shared" si="103"/>
        <v>No</v>
      </c>
      <c r="T272" t="str">
        <f>""</f>
        <v/>
      </c>
      <c r="U272" t="str">
        <f t="shared" si="113"/>
        <v>No</v>
      </c>
      <c r="V272" t="str">
        <f>""</f>
        <v/>
      </c>
      <c r="X272" t="str">
        <f>"People &amp; Strategy (ACT) Pty Ltd"</f>
        <v>People &amp; Strategy (ACT) Pty Ltd</v>
      </c>
      <c r="Y272" t="str">
        <f>"PO Box 4135"</f>
        <v>PO Box 4135</v>
      </c>
      <c r="Z272" t="str">
        <f>"Kingston"</f>
        <v>Kingston</v>
      </c>
      <c r="AA272" t="str">
        <f>"2604"</f>
        <v>2604</v>
      </c>
      <c r="AB272" t="str">
        <f t="shared" si="108"/>
        <v>Australia</v>
      </c>
      <c r="AC272" t="str">
        <f t="shared" si="109"/>
        <v>No</v>
      </c>
      <c r="AD272" t="str">
        <f>"74758894644"</f>
        <v>74758894644</v>
      </c>
      <c r="AE272" t="str">
        <f>"ADMIN OFFICER"</f>
        <v>ADMIN OFFICER</v>
      </c>
      <c r="AF272" t="str">
        <f t="shared" si="98"/>
        <v>(02) 6271 1000</v>
      </c>
      <c r="AG272" t="str">
        <f>""</f>
        <v/>
      </c>
      <c r="AH272" t="str">
        <f>""</f>
        <v/>
      </c>
      <c r="AI272" t="str">
        <f>"CORPORATE TREASURY [OLD] Corporate Treasury"</f>
        <v>CORPORATE TREASURY [OLD] Corporate Treasury</v>
      </c>
      <c r="AJ272" t="str">
        <f t="shared" si="114"/>
        <v>2603</v>
      </c>
    </row>
    <row r="273" spans="1:36" x14ac:dyDescent="0.25">
      <c r="A273" t="str">
        <f t="shared" si="111"/>
        <v>Department of Communications</v>
      </c>
      <c r="B273" t="str">
        <f>""</f>
        <v/>
      </c>
      <c r="C273" t="str">
        <f>"CN2842282"</f>
        <v>CN2842282</v>
      </c>
      <c r="D273" t="str">
        <f t="shared" si="107"/>
        <v>David Kenny</v>
      </c>
      <c r="E273" s="44">
        <v>42044.582638888889</v>
      </c>
      <c r="F273" t="s">
        <v>2508</v>
      </c>
      <c r="G273" t="str">
        <f t="shared" si="112"/>
        <v>published</v>
      </c>
      <c r="H273" s="45">
        <v>42006</v>
      </c>
      <c r="I273" s="45">
        <v>42185</v>
      </c>
      <c r="J273" s="46">
        <v>116160</v>
      </c>
      <c r="K273" t="s">
        <v>1808</v>
      </c>
      <c r="L273" t="str">
        <f>"0004604846"</f>
        <v>0004604846</v>
      </c>
      <c r="M273" t="str">
        <f>"Software maintenance and support"</f>
        <v>Software maintenance and support</v>
      </c>
      <c r="N273" t="str">
        <f t="shared" si="116"/>
        <v>Limited tender</v>
      </c>
      <c r="O273" t="str">
        <f>""</f>
        <v/>
      </c>
      <c r="Q273" t="str">
        <f t="shared" si="115"/>
        <v>No</v>
      </c>
      <c r="R273" t="str">
        <f>""</f>
        <v/>
      </c>
      <c r="S273" t="str">
        <f t="shared" si="103"/>
        <v>No</v>
      </c>
      <c r="T273" t="str">
        <f>""</f>
        <v/>
      </c>
      <c r="U273" t="str">
        <f t="shared" si="113"/>
        <v>No</v>
      </c>
      <c r="V273" t="str">
        <f>""</f>
        <v/>
      </c>
      <c r="X273" t="str">
        <f>"RANDOM COMPUTING SERVICES PTY LTD"</f>
        <v>RANDOM COMPUTING SERVICES PTY LTD</v>
      </c>
      <c r="Y273" t="str">
        <f>"PO BOX 177"</f>
        <v>PO BOX 177</v>
      </c>
      <c r="Z273" t="str">
        <f>"CIVIC SQUARE"</f>
        <v>CIVIC SQUARE</v>
      </c>
      <c r="AA273" t="str">
        <f>"2608"</f>
        <v>2608</v>
      </c>
      <c r="AB273" t="str">
        <f t="shared" si="108"/>
        <v>Australia</v>
      </c>
      <c r="AC273" t="str">
        <f t="shared" si="109"/>
        <v>No</v>
      </c>
      <c r="AD273" t="str">
        <f>"24053858852"</f>
        <v>24053858852</v>
      </c>
      <c r="AE273" t="str">
        <f>"ADMIN OFFICER"</f>
        <v>ADMIN OFFICER</v>
      </c>
      <c r="AF273" t="str">
        <f t="shared" si="98"/>
        <v>(02) 6271 1000</v>
      </c>
      <c r="AG273" t="str">
        <f>""</f>
        <v/>
      </c>
      <c r="AH273" t="str">
        <f>""</f>
        <v/>
      </c>
      <c r="AI273" t="str">
        <f>"CORPORATE TREASURY [OLD] Corporate Treasury"</f>
        <v>CORPORATE TREASURY [OLD] Corporate Treasury</v>
      </c>
      <c r="AJ273" t="str">
        <f t="shared" si="114"/>
        <v>2603</v>
      </c>
    </row>
    <row r="274" spans="1:36" x14ac:dyDescent="0.25">
      <c r="A274" t="str">
        <f t="shared" si="111"/>
        <v>Department of Communications</v>
      </c>
      <c r="B274" t="str">
        <f>""</f>
        <v/>
      </c>
      <c r="C274" t="str">
        <f>"CN2842272"</f>
        <v>CN2842272</v>
      </c>
      <c r="D274" t="str">
        <f t="shared" si="107"/>
        <v>David Kenny</v>
      </c>
      <c r="E274" s="44">
        <v>42044.582638888889</v>
      </c>
      <c r="F274" t="s">
        <v>2508</v>
      </c>
      <c r="G274" t="str">
        <f t="shared" si="112"/>
        <v>published</v>
      </c>
      <c r="H274" s="45">
        <v>42032</v>
      </c>
      <c r="I274" s="45">
        <v>42069</v>
      </c>
      <c r="J274" s="46">
        <v>11550</v>
      </c>
      <c r="K274" t="s">
        <v>2108</v>
      </c>
      <c r="L274" t="str">
        <f>"0004604847"</f>
        <v>0004604847</v>
      </c>
      <c r="M274" t="str">
        <f>"Professional procurement services"</f>
        <v>Professional procurement services</v>
      </c>
      <c r="N274" t="str">
        <f t="shared" si="116"/>
        <v>Limited tender</v>
      </c>
      <c r="O274" t="str">
        <f>""</f>
        <v/>
      </c>
      <c r="Q274" t="str">
        <f t="shared" si="115"/>
        <v>No</v>
      </c>
      <c r="R274" t="str">
        <f>""</f>
        <v/>
      </c>
      <c r="S274" t="str">
        <f t="shared" si="103"/>
        <v>No</v>
      </c>
      <c r="T274" t="str">
        <f>""</f>
        <v/>
      </c>
      <c r="U274" t="str">
        <f t="shared" si="113"/>
        <v>No</v>
      </c>
      <c r="V274" t="str">
        <f>""</f>
        <v/>
      </c>
      <c r="X274" t="str">
        <f>"Geometry Pty Ltd"</f>
        <v>Geometry Pty Ltd</v>
      </c>
      <c r="Y274" t="str">
        <f>"31 Salamance Square"</f>
        <v>31 Salamance Square</v>
      </c>
      <c r="Z274" t="str">
        <f>"Battery point"</f>
        <v>Battery point</v>
      </c>
      <c r="AA274" t="str">
        <f>"7004"</f>
        <v>7004</v>
      </c>
      <c r="AB274" t="str">
        <f t="shared" si="108"/>
        <v>Australia</v>
      </c>
      <c r="AC274" t="str">
        <f t="shared" si="109"/>
        <v>No</v>
      </c>
      <c r="AD274" t="str">
        <f>"35094569507"</f>
        <v>35094569507</v>
      </c>
      <c r="AE274" t="str">
        <f>"PROCUREMENT MANAGER"</f>
        <v>PROCUREMENT MANAGER</v>
      </c>
      <c r="AF274" t="str">
        <f t="shared" si="98"/>
        <v>(02) 6271 1000</v>
      </c>
      <c r="AG274" t="str">
        <f>""</f>
        <v/>
      </c>
      <c r="AH274" t="str">
        <f>""</f>
        <v/>
      </c>
      <c r="AI274" t="str">
        <f>"DIGITAL PRODUCTIVITY Digital Productivity Division"</f>
        <v>DIGITAL PRODUCTIVITY Digital Productivity Division</v>
      </c>
      <c r="AJ274" t="str">
        <f t="shared" si="114"/>
        <v>2603</v>
      </c>
    </row>
    <row r="275" spans="1:36" x14ac:dyDescent="0.25">
      <c r="A275" t="str">
        <f t="shared" si="111"/>
        <v>Department of Communications</v>
      </c>
      <c r="B275" t="str">
        <f>""</f>
        <v/>
      </c>
      <c r="C275" t="str">
        <f>"CN2842262"</f>
        <v>CN2842262</v>
      </c>
      <c r="D275" t="str">
        <f t="shared" si="107"/>
        <v>David Kenny</v>
      </c>
      <c r="E275" s="44">
        <v>42044.582638888889</v>
      </c>
      <c r="F275" t="s">
        <v>2508</v>
      </c>
      <c r="G275" t="str">
        <f t="shared" si="112"/>
        <v>published</v>
      </c>
      <c r="H275" s="45">
        <v>42036</v>
      </c>
      <c r="I275" s="45">
        <v>42400</v>
      </c>
      <c r="J275" s="46">
        <v>27500</v>
      </c>
      <c r="K275" t="s">
        <v>460</v>
      </c>
      <c r="L275" t="str">
        <f>"0004604848"</f>
        <v>0004604848</v>
      </c>
      <c r="M275" t="str">
        <f>"Market research"</f>
        <v>Market research</v>
      </c>
      <c r="N275" t="str">
        <f t="shared" si="116"/>
        <v>Limited tender</v>
      </c>
      <c r="O275" t="str">
        <f>""</f>
        <v/>
      </c>
      <c r="Q275" t="str">
        <f t="shared" si="115"/>
        <v>No</v>
      </c>
      <c r="R275" t="str">
        <f>""</f>
        <v/>
      </c>
      <c r="S275" t="str">
        <f t="shared" si="103"/>
        <v>No</v>
      </c>
      <c r="T275" t="str">
        <f>""</f>
        <v/>
      </c>
      <c r="U275" t="str">
        <f t="shared" si="113"/>
        <v>No</v>
      </c>
      <c r="V275" t="str">
        <f>""</f>
        <v/>
      </c>
      <c r="X275" t="str">
        <f>"IDC AUSTRALIA PTY LTD"</f>
        <v>IDC AUSTRALIA PTY LTD</v>
      </c>
      <c r="Y275" t="str">
        <f>"Level 20, 8-20 Napier St"</f>
        <v>Level 20, 8-20 Napier St</v>
      </c>
      <c r="Z275" t="str">
        <f>"NORTH SYDNEY"</f>
        <v>NORTH SYDNEY</v>
      </c>
      <c r="AA275" t="str">
        <f>"2060"</f>
        <v>2060</v>
      </c>
      <c r="AB275" t="str">
        <f t="shared" si="108"/>
        <v>Australia</v>
      </c>
      <c r="AC275" t="str">
        <f t="shared" si="109"/>
        <v>No</v>
      </c>
      <c r="AD275" t="str">
        <f>"13001657003"</f>
        <v>13001657003</v>
      </c>
      <c r="AE275" t="str">
        <f>"PROCUREMENT MANAGER"</f>
        <v>PROCUREMENT MANAGER</v>
      </c>
      <c r="AF275" t="str">
        <f t="shared" si="98"/>
        <v>(02) 6271 1000</v>
      </c>
      <c r="AG275" t="str">
        <f>""</f>
        <v/>
      </c>
      <c r="AH275" t="str">
        <f>""</f>
        <v/>
      </c>
      <c r="AI275" t="str">
        <f>"COMMUNICATIONS RESEARCH Bureau of Communications Research"</f>
        <v>COMMUNICATIONS RESEARCH Bureau of Communications Research</v>
      </c>
      <c r="AJ275" t="str">
        <f t="shared" si="114"/>
        <v>2603</v>
      </c>
    </row>
    <row r="276" spans="1:36" x14ac:dyDescent="0.25">
      <c r="A276" t="str">
        <f t="shared" si="111"/>
        <v>Department of Communications</v>
      </c>
      <c r="B276" t="str">
        <f>""</f>
        <v/>
      </c>
      <c r="C276" t="str">
        <f>"CN2885762"</f>
        <v>CN2885762</v>
      </c>
      <c r="D276" t="str">
        <f t="shared" si="107"/>
        <v>David Kenny</v>
      </c>
      <c r="E276" s="44">
        <v>42062.685416666667</v>
      </c>
      <c r="F276" t="s">
        <v>2508</v>
      </c>
      <c r="G276" t="str">
        <f t="shared" si="112"/>
        <v>published</v>
      </c>
      <c r="H276" s="45">
        <v>42045</v>
      </c>
      <c r="I276" s="45">
        <v>42083</v>
      </c>
      <c r="J276" s="46">
        <v>40000</v>
      </c>
      <c r="K276" t="s">
        <v>2234</v>
      </c>
      <c r="L276" t="str">
        <f>"0004604850"</f>
        <v>0004604850</v>
      </c>
      <c r="M276" t="str">
        <f>"Management advisory services"</f>
        <v>Management advisory services</v>
      </c>
      <c r="N276" t="str">
        <f t="shared" si="116"/>
        <v>Limited tender</v>
      </c>
      <c r="O276" t="str">
        <f>""</f>
        <v/>
      </c>
      <c r="Q276" t="str">
        <f t="shared" si="115"/>
        <v>No</v>
      </c>
      <c r="R276" t="str">
        <f>""</f>
        <v/>
      </c>
      <c r="S276" t="str">
        <f t="shared" si="103"/>
        <v>No</v>
      </c>
      <c r="T276" t="str">
        <f>""</f>
        <v/>
      </c>
      <c r="U276" t="str">
        <f>"Yes"</f>
        <v>Yes</v>
      </c>
      <c r="V276" t="str">
        <f>"Need for independent research or assessment"</f>
        <v>Need for independent research or assessment</v>
      </c>
      <c r="X276" t="str">
        <f>"Imediate Pty Ltd"</f>
        <v>Imediate Pty Ltd</v>
      </c>
      <c r="Y276" t="str">
        <f>"63 Wellington Street"</f>
        <v>63 Wellington Street</v>
      </c>
      <c r="Z276" t="str">
        <f>"Kew"</f>
        <v>Kew</v>
      </c>
      <c r="AA276" t="str">
        <f>"3101"</f>
        <v>3101</v>
      </c>
      <c r="AB276" t="str">
        <f t="shared" si="108"/>
        <v>Australia</v>
      </c>
      <c r="AC276" t="str">
        <f t="shared" si="109"/>
        <v>No</v>
      </c>
      <c r="AD276" t="str">
        <f>"66102397437"</f>
        <v>66102397437</v>
      </c>
      <c r="AE276" t="str">
        <f>"ADMIN OFFICER"</f>
        <v>ADMIN OFFICER</v>
      </c>
      <c r="AF276" t="str">
        <f t="shared" si="98"/>
        <v>(02) 6271 1000</v>
      </c>
      <c r="AG276" t="str">
        <f>""</f>
        <v/>
      </c>
      <c r="AH276" t="str">
        <f>""</f>
        <v/>
      </c>
      <c r="AI276" t="str">
        <f>"NPAR"</f>
        <v>NPAR</v>
      </c>
      <c r="AJ276" t="str">
        <f t="shared" si="114"/>
        <v>2603</v>
      </c>
    </row>
    <row r="277" spans="1:36" x14ac:dyDescent="0.25">
      <c r="A277" t="str">
        <f t="shared" si="111"/>
        <v>Department of Communications</v>
      </c>
      <c r="B277" t="str">
        <f>""</f>
        <v/>
      </c>
      <c r="C277" t="str">
        <f>"CN2885752"</f>
        <v>CN2885752</v>
      </c>
      <c r="D277" t="str">
        <f t="shared" si="107"/>
        <v>David Kenny</v>
      </c>
      <c r="E277" s="44">
        <v>42062.685416666667</v>
      </c>
      <c r="F277" t="s">
        <v>2508</v>
      </c>
      <c r="G277" t="str">
        <f t="shared" si="112"/>
        <v>published</v>
      </c>
      <c r="H277" s="45">
        <v>42051</v>
      </c>
      <c r="I277" s="45">
        <v>42055</v>
      </c>
      <c r="J277" s="46">
        <v>24200</v>
      </c>
      <c r="K277" t="s">
        <v>464</v>
      </c>
      <c r="L277" t="str">
        <f>"0004604851"</f>
        <v>0004604851</v>
      </c>
      <c r="M277" t="str">
        <f>"Software"</f>
        <v>Software</v>
      </c>
      <c r="N277" t="str">
        <f t="shared" si="116"/>
        <v>Limited tender</v>
      </c>
      <c r="O277" t="str">
        <f>""</f>
        <v/>
      </c>
      <c r="Q277" t="str">
        <f t="shared" si="115"/>
        <v>No</v>
      </c>
      <c r="R277" t="str">
        <f>""</f>
        <v/>
      </c>
      <c r="S277" t="str">
        <f t="shared" si="103"/>
        <v>No</v>
      </c>
      <c r="T277" t="str">
        <f>""</f>
        <v/>
      </c>
      <c r="U277" t="str">
        <f>"No"</f>
        <v>No</v>
      </c>
      <c r="V277" t="str">
        <f>""</f>
        <v/>
      </c>
      <c r="X277" t="str">
        <f>"Contexti Pty Ltd"</f>
        <v>Contexti Pty Ltd</v>
      </c>
      <c r="Y277" t="str">
        <f>"Level 4 Clarence Street"</f>
        <v>Level 4 Clarence Street</v>
      </c>
      <c r="Z277" t="str">
        <f>"Sydney"</f>
        <v>Sydney</v>
      </c>
      <c r="AA277" t="str">
        <f>"2000"</f>
        <v>2000</v>
      </c>
      <c r="AB277" t="str">
        <f t="shared" si="108"/>
        <v>Australia</v>
      </c>
      <c r="AC277" t="str">
        <f t="shared" si="109"/>
        <v>No</v>
      </c>
      <c r="AD277" t="str">
        <f>"62156494549"</f>
        <v>62156494549</v>
      </c>
      <c r="AE277" t="str">
        <f>"PROCUREMENT MANAGER"</f>
        <v>PROCUREMENT MANAGER</v>
      </c>
      <c r="AF277" t="str">
        <f t="shared" si="98"/>
        <v>(02) 6271 1000</v>
      </c>
      <c r="AG277" t="str">
        <f>""</f>
        <v/>
      </c>
      <c r="AH277" t="str">
        <f>""</f>
        <v/>
      </c>
      <c r="AI277" t="str">
        <f>"COMMUNICATIONS RESEARCH Bureau of Communications Research"</f>
        <v>COMMUNICATIONS RESEARCH Bureau of Communications Research</v>
      </c>
      <c r="AJ277" t="str">
        <f t="shared" si="114"/>
        <v>2603</v>
      </c>
    </row>
    <row r="278" spans="1:36" x14ac:dyDescent="0.25">
      <c r="A278" t="str">
        <f t="shared" si="111"/>
        <v>Department of Communications</v>
      </c>
      <c r="B278" t="str">
        <f>""</f>
        <v/>
      </c>
      <c r="C278" t="str">
        <f>"CN2885742"</f>
        <v>CN2885742</v>
      </c>
      <c r="D278" t="str">
        <f t="shared" si="107"/>
        <v>David Kenny</v>
      </c>
      <c r="E278" s="44">
        <v>42062.685416666667</v>
      </c>
      <c r="F278" t="s">
        <v>2508</v>
      </c>
      <c r="G278" t="str">
        <f t="shared" si="112"/>
        <v>published</v>
      </c>
      <c r="H278" s="45">
        <v>42058</v>
      </c>
      <c r="I278" s="45">
        <v>42111</v>
      </c>
      <c r="J278" s="46">
        <v>52900</v>
      </c>
      <c r="K278" t="s">
        <v>471</v>
      </c>
      <c r="L278" t="str">
        <f>"0004604853"</f>
        <v>0004604853</v>
      </c>
      <c r="M278" t="str">
        <f>"Market research"</f>
        <v>Market research</v>
      </c>
      <c r="N278" t="str">
        <f>"Open tender"</f>
        <v>Open tender</v>
      </c>
      <c r="O278" t="str">
        <f>"DCON/12/133"</f>
        <v>DCON/12/133</v>
      </c>
      <c r="P278" t="str">
        <f>"SON1143842"</f>
        <v>SON1143842</v>
      </c>
      <c r="Q278" t="str">
        <f t="shared" si="115"/>
        <v>No</v>
      </c>
      <c r="R278" t="str">
        <f>""</f>
        <v/>
      </c>
      <c r="S278" t="str">
        <f t="shared" si="103"/>
        <v>No</v>
      </c>
      <c r="T278" t="str">
        <f>""</f>
        <v/>
      </c>
      <c r="U278" t="str">
        <f>"Yes"</f>
        <v>Yes</v>
      </c>
      <c r="V278" t="str">
        <f>"Need for specialised or professional skills"</f>
        <v>Need for specialised or professional skills</v>
      </c>
      <c r="X278" t="str">
        <f>"OVUM PTY LTD"</f>
        <v>OVUM PTY LTD</v>
      </c>
      <c r="Y278" t="str">
        <f>"459 Little Collins Street"</f>
        <v>459 Little Collins Street</v>
      </c>
      <c r="Z278" t="str">
        <f>"MELBOURNE"</f>
        <v>MELBOURNE</v>
      </c>
      <c r="AA278" t="str">
        <f>"3000"</f>
        <v>3000</v>
      </c>
      <c r="AB278" t="str">
        <f t="shared" si="108"/>
        <v>Australia</v>
      </c>
      <c r="AC278" t="str">
        <f t="shared" si="109"/>
        <v>No</v>
      </c>
      <c r="AD278" t="str">
        <f>"92065393973"</f>
        <v>92065393973</v>
      </c>
      <c r="AE278" t="str">
        <f>"PROCUREMENT MANAGER"</f>
        <v>PROCUREMENT MANAGER</v>
      </c>
      <c r="AF278" t="str">
        <f t="shared" si="98"/>
        <v>(02) 6271 1000</v>
      </c>
      <c r="AG278" t="str">
        <f>""</f>
        <v/>
      </c>
      <c r="AH278" t="str">
        <f>""</f>
        <v/>
      </c>
      <c r="AI278" t="str">
        <f>"COMMUNICATIONS RESEARCH Bureau of Communications Research"</f>
        <v>COMMUNICATIONS RESEARCH Bureau of Communications Research</v>
      </c>
      <c r="AJ278" t="str">
        <f t="shared" si="114"/>
        <v>2603</v>
      </c>
    </row>
    <row r="279" spans="1:36" x14ac:dyDescent="0.25">
      <c r="A279" t="str">
        <f t="shared" si="111"/>
        <v>Department of Communications</v>
      </c>
      <c r="B279" t="str">
        <f>""</f>
        <v/>
      </c>
      <c r="C279" t="str">
        <f>"CN2885732"</f>
        <v>CN2885732</v>
      </c>
      <c r="D279" t="str">
        <f t="shared" si="107"/>
        <v>David Kenny</v>
      </c>
      <c r="E279" s="44">
        <v>42062.685416666667</v>
      </c>
      <c r="F279" t="s">
        <v>2508</v>
      </c>
      <c r="G279" t="str">
        <f t="shared" si="112"/>
        <v>published</v>
      </c>
      <c r="H279" s="45">
        <v>42031</v>
      </c>
      <c r="I279" s="45">
        <v>42062</v>
      </c>
      <c r="J279" s="46">
        <v>16500</v>
      </c>
      <c r="K279" t="s">
        <v>2238</v>
      </c>
      <c r="L279" t="str">
        <f>"0004604854"</f>
        <v>0004604854</v>
      </c>
      <c r="M279" t="str">
        <f>"Corporate objectives or policy development"</f>
        <v>Corporate objectives or policy development</v>
      </c>
      <c r="N279" t="str">
        <f>"Limited tender"</f>
        <v>Limited tender</v>
      </c>
      <c r="O279" t="str">
        <f>""</f>
        <v/>
      </c>
      <c r="Q279" t="str">
        <f t="shared" si="115"/>
        <v>No</v>
      </c>
      <c r="R279" t="str">
        <f>""</f>
        <v/>
      </c>
      <c r="S279" t="str">
        <f t="shared" si="103"/>
        <v>No</v>
      </c>
      <c r="T279" t="str">
        <f>""</f>
        <v/>
      </c>
      <c r="U279" t="str">
        <f>"Yes"</f>
        <v>Yes</v>
      </c>
      <c r="V279" t="str">
        <f>"Skills currently unavailable within agency"</f>
        <v>Skills currently unavailable within agency</v>
      </c>
      <c r="X279" t="str">
        <f>"nicholls.mmc Pty Limited"</f>
        <v>nicholls.mmc Pty Limited</v>
      </c>
      <c r="Y279" t="str">
        <f>"5 Colbourne Avenue"</f>
        <v>5 Colbourne Avenue</v>
      </c>
      <c r="Z279" t="str">
        <f>"Glebe"</f>
        <v>Glebe</v>
      </c>
      <c r="AA279" t="str">
        <f>"2037"</f>
        <v>2037</v>
      </c>
      <c r="AB279" t="str">
        <f t="shared" si="108"/>
        <v>Australia</v>
      </c>
      <c r="AC279" t="str">
        <f t="shared" si="109"/>
        <v>No</v>
      </c>
      <c r="AD279" t="str">
        <f>"93514907198"</f>
        <v>93514907198</v>
      </c>
      <c r="AE279" t="str">
        <f t="shared" ref="AE279:AE284" si="117">"ADMIN OFFICER"</f>
        <v>ADMIN OFFICER</v>
      </c>
      <c r="AF279" t="str">
        <f t="shared" si="98"/>
        <v>(02) 6271 1000</v>
      </c>
      <c r="AG279" t="str">
        <f>""</f>
        <v/>
      </c>
      <c r="AH279" t="str">
        <f>""</f>
        <v/>
      </c>
      <c r="AI279" t="str">
        <f>"NPAR"</f>
        <v>NPAR</v>
      </c>
      <c r="AJ279" t="str">
        <f t="shared" si="114"/>
        <v>2603</v>
      </c>
    </row>
    <row r="280" spans="1:36" x14ac:dyDescent="0.25">
      <c r="A280" t="str">
        <f t="shared" si="111"/>
        <v>Department of Communications</v>
      </c>
      <c r="B280" t="str">
        <f>""</f>
        <v/>
      </c>
      <c r="C280" t="str">
        <f>"CN2885722"</f>
        <v>CN2885722</v>
      </c>
      <c r="D280" t="str">
        <f t="shared" si="107"/>
        <v>David Kenny</v>
      </c>
      <c r="E280" s="44">
        <v>42062.685416666667</v>
      </c>
      <c r="F280" t="s">
        <v>2508</v>
      </c>
      <c r="G280" t="str">
        <f t="shared" si="112"/>
        <v>published</v>
      </c>
      <c r="H280" s="45">
        <v>42058</v>
      </c>
      <c r="I280" s="45">
        <v>42124</v>
      </c>
      <c r="J280" s="46">
        <v>25000</v>
      </c>
      <c r="K280" t="s">
        <v>1815</v>
      </c>
      <c r="L280" t="str">
        <f>"0004604855"</f>
        <v>0004604855</v>
      </c>
      <c r="M280" t="str">
        <f>"Internal audits"</f>
        <v>Internal audits</v>
      </c>
      <c r="N280" t="str">
        <f>"Limited tender"</f>
        <v>Limited tender</v>
      </c>
      <c r="O280" t="str">
        <f>""</f>
        <v/>
      </c>
      <c r="Q280" t="str">
        <f t="shared" si="115"/>
        <v>No</v>
      </c>
      <c r="R280" t="str">
        <f>""</f>
        <v/>
      </c>
      <c r="S280" t="str">
        <f t="shared" si="103"/>
        <v>No</v>
      </c>
      <c r="T280" t="str">
        <f>""</f>
        <v/>
      </c>
      <c r="U280" t="str">
        <f t="shared" ref="U280:U285" si="118">"No"</f>
        <v>No</v>
      </c>
      <c r="V280" t="str">
        <f>""</f>
        <v/>
      </c>
      <c r="X280" t="str">
        <f>"Jakeman Business Solutions Oty Ltd"</f>
        <v>Jakeman Business Solutions Oty Ltd</v>
      </c>
      <c r="Y280" t="str">
        <f>"11-13 Faulding Street, Citadel Hous"</f>
        <v>11-13 Faulding Street, Citadel Hous</v>
      </c>
      <c r="Z280" t="str">
        <f>"Symonston"</f>
        <v>Symonston</v>
      </c>
      <c r="AA280" t="str">
        <f>"2609"</f>
        <v>2609</v>
      </c>
      <c r="AB280" t="str">
        <f t="shared" si="108"/>
        <v>Australia</v>
      </c>
      <c r="AC280" t="str">
        <f t="shared" si="109"/>
        <v>No</v>
      </c>
      <c r="AD280" t="str">
        <f>"72101963240"</f>
        <v>72101963240</v>
      </c>
      <c r="AE280" t="str">
        <f t="shared" si="117"/>
        <v>ADMIN OFFICER</v>
      </c>
      <c r="AF280" t="str">
        <f t="shared" si="98"/>
        <v>(02) 6271 1000</v>
      </c>
      <c r="AG280" t="str">
        <f>""</f>
        <v/>
      </c>
      <c r="AH280" t="str">
        <f>""</f>
        <v/>
      </c>
      <c r="AI280" t="str">
        <f>"CORPORATE TREASURY [OLD] Corporate Treasury"</f>
        <v>CORPORATE TREASURY [OLD] Corporate Treasury</v>
      </c>
      <c r="AJ280" t="str">
        <f t="shared" si="114"/>
        <v>2603</v>
      </c>
    </row>
    <row r="281" spans="1:36" x14ac:dyDescent="0.25">
      <c r="A281" t="str">
        <f t="shared" si="111"/>
        <v>Department of Communications</v>
      </c>
      <c r="B281" t="str">
        <f>""</f>
        <v/>
      </c>
      <c r="C281" t="str">
        <f>"CN2885712"</f>
        <v>CN2885712</v>
      </c>
      <c r="D281" t="str">
        <f t="shared" si="107"/>
        <v>David Kenny</v>
      </c>
      <c r="E281" s="44">
        <v>42062.68472222222</v>
      </c>
      <c r="F281" t="s">
        <v>2508</v>
      </c>
      <c r="G281" t="str">
        <f t="shared" si="112"/>
        <v>published</v>
      </c>
      <c r="H281" s="45">
        <v>42061</v>
      </c>
      <c r="I281" s="45">
        <v>42153</v>
      </c>
      <c r="J281" s="46">
        <v>450000</v>
      </c>
      <c r="K281" t="s">
        <v>1819</v>
      </c>
      <c r="L281" t="str">
        <f>"0004604856"</f>
        <v>0004604856</v>
      </c>
      <c r="M281" t="str">
        <f>"Information retrieval systems"</f>
        <v>Information retrieval systems</v>
      </c>
      <c r="N281" t="str">
        <f>"Open tender"</f>
        <v>Open tender</v>
      </c>
      <c r="O281" t="str">
        <f>"20000194"</f>
        <v>20000194</v>
      </c>
      <c r="P281" t="str">
        <f>"SON466625"</f>
        <v>SON466625</v>
      </c>
      <c r="Q281" t="str">
        <f t="shared" si="115"/>
        <v>No</v>
      </c>
      <c r="R281" t="str">
        <f>""</f>
        <v/>
      </c>
      <c r="S281" t="str">
        <f t="shared" si="103"/>
        <v>No</v>
      </c>
      <c r="T281" t="str">
        <f>""</f>
        <v/>
      </c>
      <c r="U281" t="str">
        <f t="shared" si="118"/>
        <v>No</v>
      </c>
      <c r="V281" t="str">
        <f>""</f>
        <v/>
      </c>
      <c r="X281" t="str">
        <f>"FUJITSU AUSTRALIA LTD"</f>
        <v>FUJITSU AUSTRALIA LTD</v>
      </c>
      <c r="Y281" t="str">
        <f>"LOCKED BAG 2062"</f>
        <v>LOCKED BAG 2062</v>
      </c>
      <c r="Z281" t="str">
        <f>"NORTH RYDE"</f>
        <v>NORTH RYDE</v>
      </c>
      <c r="AA281" t="str">
        <f>"1670"</f>
        <v>1670</v>
      </c>
      <c r="AB281" t="str">
        <f t="shared" si="108"/>
        <v>Australia</v>
      </c>
      <c r="AC281" t="str">
        <f t="shared" si="109"/>
        <v>No</v>
      </c>
      <c r="AD281" t="str">
        <f>"19001011427"</f>
        <v>19001011427</v>
      </c>
      <c r="AE281" t="str">
        <f t="shared" si="117"/>
        <v>ADMIN OFFICER</v>
      </c>
      <c r="AF281" t="str">
        <f t="shared" si="98"/>
        <v>(02) 6271 1000</v>
      </c>
      <c r="AG281" t="str">
        <f>""</f>
        <v/>
      </c>
      <c r="AH281" t="str">
        <f>""</f>
        <v/>
      </c>
      <c r="AI281" t="str">
        <f>"CORPORATE TREASURY [OLD] Corporate Treasury"</f>
        <v>CORPORATE TREASURY [OLD] Corporate Treasury</v>
      </c>
      <c r="AJ281" t="str">
        <f t="shared" si="114"/>
        <v>2603</v>
      </c>
    </row>
    <row r="282" spans="1:36" x14ac:dyDescent="0.25">
      <c r="A282" t="str">
        <f t="shared" si="111"/>
        <v>Department of Communications</v>
      </c>
      <c r="B282" t="str">
        <f>""</f>
        <v/>
      </c>
      <c r="C282" t="str">
        <f>"CN2885702"</f>
        <v>CN2885702</v>
      </c>
      <c r="D282" t="str">
        <f t="shared" si="107"/>
        <v>David Kenny</v>
      </c>
      <c r="E282" s="44">
        <v>42062.68472222222</v>
      </c>
      <c r="F282" t="s">
        <v>2508</v>
      </c>
      <c r="G282" t="str">
        <f t="shared" si="112"/>
        <v>published</v>
      </c>
      <c r="H282" s="45">
        <v>41926</v>
      </c>
      <c r="I282" s="45">
        <v>42060</v>
      </c>
      <c r="J282" s="46">
        <v>45283.54</v>
      </c>
      <c r="K282" t="s">
        <v>1823</v>
      </c>
      <c r="L282" t="str">
        <f>"0004604857"</f>
        <v>0004604857</v>
      </c>
      <c r="M282" t="str">
        <f>"Education and Training Services"</f>
        <v>Education and Training Services</v>
      </c>
      <c r="N282" t="str">
        <f>"Limited tender"</f>
        <v>Limited tender</v>
      </c>
      <c r="O282" t="str">
        <f>""</f>
        <v/>
      </c>
      <c r="Q282" t="str">
        <f t="shared" si="115"/>
        <v>No</v>
      </c>
      <c r="R282" t="str">
        <f>""</f>
        <v/>
      </c>
      <c r="S282" t="str">
        <f t="shared" si="103"/>
        <v>No</v>
      </c>
      <c r="T282" t="str">
        <f>""</f>
        <v/>
      </c>
      <c r="U282" t="str">
        <f t="shared" si="118"/>
        <v>No</v>
      </c>
      <c r="V282" t="str">
        <f>""</f>
        <v/>
      </c>
      <c r="X282" t="str">
        <f>"DEPARTMENT OF FINANCE"</f>
        <v>DEPARTMENT OF FINANCE</v>
      </c>
      <c r="Y282" t="str">
        <f>"KING EDWARD TERRACE,"</f>
        <v>KING EDWARD TERRACE,</v>
      </c>
      <c r="Z282" t="str">
        <f>"PARKES"</f>
        <v>PARKES</v>
      </c>
      <c r="AA282" t="str">
        <f>"2600"</f>
        <v>2600</v>
      </c>
      <c r="AB282" t="str">
        <f t="shared" si="108"/>
        <v>Australia</v>
      </c>
      <c r="AC282" t="str">
        <f t="shared" si="109"/>
        <v>No</v>
      </c>
      <c r="AD282" t="str">
        <f>"61970632495"</f>
        <v>61970632495</v>
      </c>
      <c r="AE282" t="str">
        <f t="shared" si="117"/>
        <v>ADMIN OFFICER</v>
      </c>
      <c r="AF282" t="str">
        <f t="shared" si="98"/>
        <v>(02) 6271 1000</v>
      </c>
      <c r="AG282" t="str">
        <f>""</f>
        <v/>
      </c>
      <c r="AH282" t="str">
        <f>""</f>
        <v/>
      </c>
      <c r="AI282" t="str">
        <f>"CORPORATE TREASURY [OLD] Corporate Treasury"</f>
        <v>CORPORATE TREASURY [OLD] Corporate Treasury</v>
      </c>
      <c r="AJ282" t="str">
        <f t="shared" si="114"/>
        <v>2603</v>
      </c>
    </row>
    <row r="283" spans="1:36" x14ac:dyDescent="0.25">
      <c r="A283" t="str">
        <f t="shared" si="111"/>
        <v>Department of Communications</v>
      </c>
      <c r="B283" t="str">
        <f>""</f>
        <v/>
      </c>
      <c r="C283" t="str">
        <f>"CN2920532"</f>
        <v>CN2920532</v>
      </c>
      <c r="D283" t="str">
        <f>"Leesa O'connor"</f>
        <v>Leesa O'connor</v>
      </c>
      <c r="E283" s="44">
        <v>42079.505555555559</v>
      </c>
      <c r="F283" t="s">
        <v>2508</v>
      </c>
      <c r="G283" t="str">
        <f t="shared" si="112"/>
        <v>published</v>
      </c>
      <c r="H283" s="45">
        <v>42061</v>
      </c>
      <c r="I283" s="45">
        <v>42124</v>
      </c>
      <c r="J283" s="46">
        <v>27000</v>
      </c>
      <c r="K283" t="s">
        <v>1826</v>
      </c>
      <c r="L283" t="str">
        <f>"0004604858"</f>
        <v>0004604858</v>
      </c>
      <c r="M283" t="str">
        <f>"Personnel recruitment"</f>
        <v>Personnel recruitment</v>
      </c>
      <c r="N283" t="str">
        <f>"Limited tender"</f>
        <v>Limited tender</v>
      </c>
      <c r="O283" t="str">
        <f>""</f>
        <v/>
      </c>
      <c r="Q283" t="str">
        <f t="shared" si="115"/>
        <v>No</v>
      </c>
      <c r="R283" t="str">
        <f>""</f>
        <v/>
      </c>
      <c r="S283" t="str">
        <f t="shared" si="103"/>
        <v>No</v>
      </c>
      <c r="T283" t="str">
        <f>""</f>
        <v/>
      </c>
      <c r="U283" t="str">
        <f t="shared" si="118"/>
        <v>No</v>
      </c>
      <c r="V283" t="str">
        <f>""</f>
        <v/>
      </c>
      <c r="X283" t="str">
        <f>"Hudson Global Resources (Aust) P/L"</f>
        <v>Hudson Global Resources (Aust) P/L</v>
      </c>
      <c r="Y283" t="str">
        <f>"GPO Box 3951"</f>
        <v>GPO Box 3951</v>
      </c>
      <c r="Z283" t="str">
        <f>"Sydney"</f>
        <v>Sydney</v>
      </c>
      <c r="AA283" t="str">
        <f>"2001"</f>
        <v>2001</v>
      </c>
      <c r="AB283" t="str">
        <f t="shared" si="108"/>
        <v>Australia</v>
      </c>
      <c r="AC283" t="str">
        <f t="shared" si="109"/>
        <v>No</v>
      </c>
      <c r="AD283" t="str">
        <f>"21002888762"</f>
        <v>21002888762</v>
      </c>
      <c r="AE283" t="str">
        <f t="shared" si="117"/>
        <v>ADMIN OFFICER</v>
      </c>
      <c r="AF283" t="str">
        <f t="shared" si="98"/>
        <v>(02) 6271 1000</v>
      </c>
      <c r="AG283" t="str">
        <f>""</f>
        <v/>
      </c>
      <c r="AH283" t="str">
        <f>""</f>
        <v/>
      </c>
      <c r="AI283" t="str">
        <f>"CORPORATE TREASURY [OLD] Corporate Treasury"</f>
        <v>CORPORATE TREASURY [OLD] Corporate Treasury</v>
      </c>
      <c r="AJ283" t="str">
        <f t="shared" si="114"/>
        <v>2603</v>
      </c>
    </row>
    <row r="284" spans="1:36" x14ac:dyDescent="0.25">
      <c r="A284" t="str">
        <f t="shared" si="111"/>
        <v>Department of Communications</v>
      </c>
      <c r="B284" t="str">
        <f>""</f>
        <v/>
      </c>
      <c r="C284" t="str">
        <f>"CN2885692"</f>
        <v>CN2885692</v>
      </c>
      <c r="D284" t="str">
        <f>"David Kenny"</f>
        <v>David Kenny</v>
      </c>
      <c r="E284" s="44">
        <v>42062.68472222222</v>
      </c>
      <c r="F284" t="s">
        <v>2508</v>
      </c>
      <c r="G284" t="str">
        <f t="shared" si="112"/>
        <v>published</v>
      </c>
      <c r="H284" s="45">
        <v>42047</v>
      </c>
      <c r="I284" s="45">
        <v>42185</v>
      </c>
      <c r="J284" s="46">
        <v>45360</v>
      </c>
      <c r="K284" t="s">
        <v>1829</v>
      </c>
      <c r="L284" t="str">
        <f>"0004604859"</f>
        <v>0004604859</v>
      </c>
      <c r="M284" t="str">
        <f>"Software"</f>
        <v>Software</v>
      </c>
      <c r="N284" t="str">
        <f>"Prequalified tender"</f>
        <v>Prequalified tender</v>
      </c>
      <c r="O284" t="str">
        <f>""</f>
        <v/>
      </c>
      <c r="Q284" t="str">
        <f t="shared" si="115"/>
        <v>No</v>
      </c>
      <c r="R284" t="str">
        <f>""</f>
        <v/>
      </c>
      <c r="S284" t="str">
        <f t="shared" si="103"/>
        <v>No</v>
      </c>
      <c r="T284" t="str">
        <f>""</f>
        <v/>
      </c>
      <c r="U284" t="str">
        <f t="shared" si="118"/>
        <v>No</v>
      </c>
      <c r="V284" t="str">
        <f>""</f>
        <v/>
      </c>
      <c r="X284" t="str">
        <f>"Appdynamics"</f>
        <v>Appdynamics</v>
      </c>
      <c r="Y284" t="str">
        <f>"1 Arlington Square, Downshire Way"</f>
        <v>1 Arlington Square, Downshire Way</v>
      </c>
      <c r="Z284" t="str">
        <f>"Bracknell"</f>
        <v>Bracknell</v>
      </c>
      <c r="AA284" t="str">
        <f>"RG12"</f>
        <v>RG12</v>
      </c>
      <c r="AB284" t="str">
        <f>"UNITED KINGDOM"</f>
        <v>UNITED KINGDOM</v>
      </c>
      <c r="AC284" t="str">
        <f>"Yes"</f>
        <v>Yes</v>
      </c>
      <c r="AD284" t="str">
        <f>""</f>
        <v/>
      </c>
      <c r="AE284" t="str">
        <f t="shared" si="117"/>
        <v>ADMIN OFFICER</v>
      </c>
      <c r="AF284" t="str">
        <f t="shared" si="98"/>
        <v>(02) 6271 1000</v>
      </c>
      <c r="AG284" t="str">
        <f>""</f>
        <v/>
      </c>
      <c r="AH284" t="str">
        <f>""</f>
        <v/>
      </c>
      <c r="AI284" t="str">
        <f>"CORPORATE TREASURY [OLD] Corporate Treasury"</f>
        <v>CORPORATE TREASURY [OLD] Corporate Treasury</v>
      </c>
      <c r="AJ284" t="str">
        <f t="shared" si="114"/>
        <v>2603</v>
      </c>
    </row>
    <row r="285" spans="1:36" x14ac:dyDescent="0.25">
      <c r="A285" t="str">
        <f t="shared" si="111"/>
        <v>Department of Communications</v>
      </c>
      <c r="B285" t="str">
        <f>""</f>
        <v/>
      </c>
      <c r="C285" t="str">
        <f>"CN2885682"</f>
        <v>CN2885682</v>
      </c>
      <c r="D285" t="str">
        <f>"David Kenny"</f>
        <v>David Kenny</v>
      </c>
      <c r="E285" s="44">
        <v>42062.68472222222</v>
      </c>
      <c r="F285" t="s">
        <v>2508</v>
      </c>
      <c r="G285" t="str">
        <f t="shared" si="112"/>
        <v>published</v>
      </c>
      <c r="H285" s="45">
        <v>42079</v>
      </c>
      <c r="I285" s="45">
        <v>42185</v>
      </c>
      <c r="J285" s="46">
        <v>82500</v>
      </c>
      <c r="K285" t="s">
        <v>476</v>
      </c>
      <c r="L285" t="str">
        <f>"0004604860"</f>
        <v>0004604860</v>
      </c>
      <c r="M285" t="str">
        <f>"Temporary personnel services"</f>
        <v>Temporary personnel services</v>
      </c>
      <c r="N285" t="str">
        <f>"Open tender"</f>
        <v>Open tender</v>
      </c>
      <c r="O285" t="str">
        <f>"DCON/12/244"</f>
        <v>DCON/12/244</v>
      </c>
      <c r="P285" t="str">
        <f>"SON1180562"</f>
        <v>SON1180562</v>
      </c>
      <c r="Q285" t="str">
        <f t="shared" si="115"/>
        <v>No</v>
      </c>
      <c r="R285" t="str">
        <f>""</f>
        <v/>
      </c>
      <c r="S285" t="str">
        <f t="shared" si="103"/>
        <v>No</v>
      </c>
      <c r="T285" t="str">
        <f>""</f>
        <v/>
      </c>
      <c r="U285" t="str">
        <f t="shared" si="118"/>
        <v>No</v>
      </c>
      <c r="V285" t="str">
        <f>""</f>
        <v/>
      </c>
      <c r="X285" t="str">
        <f>"DFP Recruitment Services"</f>
        <v>DFP Recruitment Services</v>
      </c>
      <c r="Y285" t="str">
        <f>"388 Collins Street"</f>
        <v>388 Collins Street</v>
      </c>
      <c r="Z285" t="str">
        <f>"Melbourne"</f>
        <v>Melbourne</v>
      </c>
      <c r="AA285" t="str">
        <f>"3000"</f>
        <v>3000</v>
      </c>
      <c r="AB285" t="str">
        <f t="shared" ref="AB285:AB316" si="119">"Australia"</f>
        <v>Australia</v>
      </c>
      <c r="AC285" t="str">
        <f t="shared" ref="AC285:AC316" si="120">"No"</f>
        <v>No</v>
      </c>
      <c r="AD285" t="str">
        <f>"66394749447"</f>
        <v>66394749447</v>
      </c>
      <c r="AE285" t="str">
        <f>"PROCUREMENT MANAGER"</f>
        <v>PROCUREMENT MANAGER</v>
      </c>
      <c r="AF285" t="str">
        <f t="shared" si="98"/>
        <v>(02) 6271 1000</v>
      </c>
      <c r="AG285" t="str">
        <f>""</f>
        <v/>
      </c>
      <c r="AH285" t="str">
        <f>""</f>
        <v/>
      </c>
      <c r="AI285" t="str">
        <f>"COMMUNICATIONS RESEARCH Bureau of Communications Research"</f>
        <v>COMMUNICATIONS RESEARCH Bureau of Communications Research</v>
      </c>
      <c r="AJ285" t="str">
        <f t="shared" si="114"/>
        <v>2603</v>
      </c>
    </row>
    <row r="286" spans="1:36" x14ac:dyDescent="0.25">
      <c r="A286" t="str">
        <f t="shared" si="111"/>
        <v>Department of Communications</v>
      </c>
      <c r="B286" t="str">
        <f>""</f>
        <v/>
      </c>
      <c r="C286" t="str">
        <f>"CN2920522"</f>
        <v>CN2920522</v>
      </c>
      <c r="D286" t="str">
        <f t="shared" ref="D286:D304" si="121">"Leesa O'connor"</f>
        <v>Leesa O'connor</v>
      </c>
      <c r="E286" s="44">
        <v>42079.505555555559</v>
      </c>
      <c r="F286" t="s">
        <v>2508</v>
      </c>
      <c r="G286" t="str">
        <f t="shared" si="112"/>
        <v>published</v>
      </c>
      <c r="H286" s="45">
        <v>42072</v>
      </c>
      <c r="I286" s="45">
        <v>42094</v>
      </c>
      <c r="J286" s="46">
        <v>18810</v>
      </c>
      <c r="K286" t="s">
        <v>1832</v>
      </c>
      <c r="L286" t="str">
        <f>"0004604862"</f>
        <v>0004604862</v>
      </c>
      <c r="M286" t="str">
        <f>"Audit services"</f>
        <v>Audit services</v>
      </c>
      <c r="N286" t="str">
        <f>"Open tender"</f>
        <v>Open tender</v>
      </c>
      <c r="O286" t="str">
        <f>"ACBPS127074"</f>
        <v>ACBPS127074</v>
      </c>
      <c r="P286" t="str">
        <f>"SON1837491"</f>
        <v>SON1837491</v>
      </c>
      <c r="Q286" t="str">
        <f t="shared" si="115"/>
        <v>No</v>
      </c>
      <c r="R286" t="str">
        <f>""</f>
        <v/>
      </c>
      <c r="S286" t="str">
        <f t="shared" si="103"/>
        <v>No</v>
      </c>
      <c r="T286" t="str">
        <f>""</f>
        <v/>
      </c>
      <c r="U286" t="str">
        <f>"Yes"</f>
        <v>Yes</v>
      </c>
      <c r="V286" t="str">
        <f>"Need for independent research or assessment"</f>
        <v>Need for independent research or assessment</v>
      </c>
      <c r="X286" t="str">
        <f>"KPMG"</f>
        <v>KPMG</v>
      </c>
      <c r="Y286" t="str">
        <f>"PO BOX 7396"</f>
        <v>PO BOX 7396</v>
      </c>
      <c r="Z286" t="str">
        <f>"Canberra Business Centre"</f>
        <v>Canberra Business Centre</v>
      </c>
      <c r="AA286" t="str">
        <f>"2610"</f>
        <v>2610</v>
      </c>
      <c r="AB286" t="str">
        <f t="shared" si="119"/>
        <v>Australia</v>
      </c>
      <c r="AC286" t="str">
        <f t="shared" si="120"/>
        <v>No</v>
      </c>
      <c r="AD286" t="str">
        <f>"51194660183"</f>
        <v>51194660183</v>
      </c>
      <c r="AE286" t="str">
        <f t="shared" ref="AE286:AE292" si="122">"ADMIN OFFICER"</f>
        <v>ADMIN OFFICER</v>
      </c>
      <c r="AF286" t="str">
        <f t="shared" si="98"/>
        <v>(02) 6271 1000</v>
      </c>
      <c r="AG286" t="str">
        <f>""</f>
        <v/>
      </c>
      <c r="AH286" t="str">
        <f>""</f>
        <v/>
      </c>
      <c r="AI286" t="str">
        <f>"CORPORATE TREASURY [OLD] Corporate Treasury"</f>
        <v>CORPORATE TREASURY [OLD] Corporate Treasury</v>
      </c>
      <c r="AJ286" t="str">
        <f t="shared" si="114"/>
        <v>2603</v>
      </c>
    </row>
    <row r="287" spans="1:36" x14ac:dyDescent="0.25">
      <c r="A287" t="str">
        <f t="shared" si="111"/>
        <v>Department of Communications</v>
      </c>
      <c r="B287" t="str">
        <f>""</f>
        <v/>
      </c>
      <c r="C287" t="str">
        <f>"CN2920512"</f>
        <v>CN2920512</v>
      </c>
      <c r="D287" t="str">
        <f t="shared" si="121"/>
        <v>Leesa O'connor</v>
      </c>
      <c r="E287" s="44">
        <v>42079.505555555559</v>
      </c>
      <c r="F287" t="s">
        <v>2508</v>
      </c>
      <c r="G287" t="str">
        <f t="shared" si="112"/>
        <v>published</v>
      </c>
      <c r="H287" s="45">
        <v>42067</v>
      </c>
      <c r="I287" s="45">
        <v>42123</v>
      </c>
      <c r="J287" s="46">
        <v>38016</v>
      </c>
      <c r="K287" t="s">
        <v>1834</v>
      </c>
      <c r="L287" t="str">
        <f>"0004604863"</f>
        <v>0004604863</v>
      </c>
      <c r="M287" t="str">
        <f>"Temporary personnel services"</f>
        <v>Temporary personnel services</v>
      </c>
      <c r="N287" t="str">
        <f>"Open tender"</f>
        <v>Open tender</v>
      </c>
      <c r="O287" t="str">
        <f>"DCON/12/244"</f>
        <v>DCON/12/244</v>
      </c>
      <c r="P287" t="str">
        <f>"SON1180562"</f>
        <v>SON1180562</v>
      </c>
      <c r="Q287" t="str">
        <f t="shared" si="115"/>
        <v>No</v>
      </c>
      <c r="R287" t="str">
        <f>""</f>
        <v/>
      </c>
      <c r="S287" t="str">
        <f t="shared" si="103"/>
        <v>No</v>
      </c>
      <c r="T287" t="str">
        <f>""</f>
        <v/>
      </c>
      <c r="U287" t="str">
        <f t="shared" ref="U287:U308" si="123">"No"</f>
        <v>No</v>
      </c>
      <c r="V287" t="str">
        <f>""</f>
        <v/>
      </c>
      <c r="X287" t="str">
        <f>"HAYS PERSONNEL SERVICES (AUST) P/L"</f>
        <v>HAYS PERSONNEL SERVICES (AUST) P/L</v>
      </c>
      <c r="Y287" t="str">
        <f>"GPO BOX 3868"</f>
        <v>GPO BOX 3868</v>
      </c>
      <c r="Z287" t="str">
        <f>"SYDNEY"</f>
        <v>SYDNEY</v>
      </c>
      <c r="AA287" t="str">
        <f>"2001"</f>
        <v>2001</v>
      </c>
      <c r="AB287" t="str">
        <f t="shared" si="119"/>
        <v>Australia</v>
      </c>
      <c r="AC287" t="str">
        <f t="shared" si="120"/>
        <v>No</v>
      </c>
      <c r="AD287" t="str">
        <f>"47001407281"</f>
        <v>47001407281</v>
      </c>
      <c r="AE287" t="str">
        <f t="shared" si="122"/>
        <v>ADMIN OFFICER</v>
      </c>
      <c r="AF287" t="str">
        <f t="shared" si="98"/>
        <v>(02) 6271 1000</v>
      </c>
      <c r="AG287" t="str">
        <f>""</f>
        <v/>
      </c>
      <c r="AH287" t="str">
        <f>""</f>
        <v/>
      </c>
      <c r="AI287" t="str">
        <f>"CORPORATE TREASURY [OLD] Corporate Treasury"</f>
        <v>CORPORATE TREASURY [OLD] Corporate Treasury</v>
      </c>
      <c r="AJ287" t="str">
        <f t="shared" si="114"/>
        <v>2603</v>
      </c>
    </row>
    <row r="288" spans="1:36" x14ac:dyDescent="0.25">
      <c r="A288" t="str">
        <f t="shared" si="111"/>
        <v>Department of Communications</v>
      </c>
      <c r="B288" t="str">
        <f>""</f>
        <v/>
      </c>
      <c r="C288" t="str">
        <f>"CN2920502"</f>
        <v>CN2920502</v>
      </c>
      <c r="D288" t="str">
        <f t="shared" si="121"/>
        <v>Leesa O'connor</v>
      </c>
      <c r="E288" s="44">
        <v>42079.505555555559</v>
      </c>
      <c r="F288" t="s">
        <v>2508</v>
      </c>
      <c r="G288" t="str">
        <f t="shared" si="112"/>
        <v>published</v>
      </c>
      <c r="H288" s="45">
        <v>41866</v>
      </c>
      <c r="I288" s="45">
        <v>42155</v>
      </c>
      <c r="J288" s="46">
        <v>60000</v>
      </c>
      <c r="K288" t="s">
        <v>1760</v>
      </c>
      <c r="L288" t="str">
        <f>"0004604864"</f>
        <v>0004604864</v>
      </c>
      <c r="M288" t="str">
        <f>"Information technology consultation services"</f>
        <v>Information technology consultation services</v>
      </c>
      <c r="N288" t="str">
        <f>"Open tender"</f>
        <v>Open tender</v>
      </c>
      <c r="O288" t="str">
        <f>"DCON/10/96"</f>
        <v>DCON/10/96</v>
      </c>
      <c r="P288" t="str">
        <f>"SON368749"</f>
        <v>SON368749</v>
      </c>
      <c r="Q288" t="str">
        <f t="shared" si="115"/>
        <v>No</v>
      </c>
      <c r="R288" t="str">
        <f>""</f>
        <v/>
      </c>
      <c r="S288" t="str">
        <f t="shared" si="103"/>
        <v>No</v>
      </c>
      <c r="T288" t="str">
        <f>""</f>
        <v/>
      </c>
      <c r="U288" t="str">
        <f t="shared" si="123"/>
        <v>No</v>
      </c>
      <c r="V288" t="str">
        <f>""</f>
        <v/>
      </c>
      <c r="X288" t="str">
        <f>"Visual Jazz Pty Ltd"</f>
        <v>Visual Jazz Pty Ltd</v>
      </c>
      <c r="Y288" t="str">
        <f>"Suite 6, 8 National Circuit"</f>
        <v>Suite 6, 8 National Circuit</v>
      </c>
      <c r="Z288" t="str">
        <f>"Barton"</f>
        <v>Barton</v>
      </c>
      <c r="AA288" t="str">
        <f>"2600"</f>
        <v>2600</v>
      </c>
      <c r="AB288" t="str">
        <f t="shared" si="119"/>
        <v>Australia</v>
      </c>
      <c r="AC288" t="str">
        <f t="shared" si="120"/>
        <v>No</v>
      </c>
      <c r="AD288" t="str">
        <f>"51126978041"</f>
        <v>51126978041</v>
      </c>
      <c r="AE288" t="str">
        <f t="shared" si="122"/>
        <v>ADMIN OFFICER</v>
      </c>
      <c r="AF288" t="str">
        <f t="shared" si="98"/>
        <v>(02) 6271 1000</v>
      </c>
      <c r="AG288" t="str">
        <f>""</f>
        <v/>
      </c>
      <c r="AH288" t="str">
        <f>""</f>
        <v/>
      </c>
      <c r="AI288" t="str">
        <f>"CORPORATE TREASURY [OLD] Corporate Treasury"</f>
        <v>CORPORATE TREASURY [OLD] Corporate Treasury</v>
      </c>
      <c r="AJ288" t="str">
        <f t="shared" si="114"/>
        <v>2603</v>
      </c>
    </row>
    <row r="289" spans="1:36" x14ac:dyDescent="0.25">
      <c r="A289" t="str">
        <f t="shared" si="111"/>
        <v>Department of Communications</v>
      </c>
      <c r="B289" t="str">
        <f>""</f>
        <v/>
      </c>
      <c r="C289" t="str">
        <f>"CN2920492"</f>
        <v>CN2920492</v>
      </c>
      <c r="D289" t="str">
        <f t="shared" si="121"/>
        <v>Leesa O'connor</v>
      </c>
      <c r="E289" s="44">
        <v>42079.505555555559</v>
      </c>
      <c r="F289" t="s">
        <v>2508</v>
      </c>
      <c r="G289" t="str">
        <f t="shared" si="112"/>
        <v>published</v>
      </c>
      <c r="H289" s="45">
        <v>42062</v>
      </c>
      <c r="I289" s="45">
        <v>42094</v>
      </c>
      <c r="J289" s="46">
        <v>59735</v>
      </c>
      <c r="K289" t="s">
        <v>1836</v>
      </c>
      <c r="L289" t="str">
        <f>"0004604865"</f>
        <v>0004604865</v>
      </c>
      <c r="M289" t="str">
        <f>"Notebook computers"</f>
        <v>Notebook computers</v>
      </c>
      <c r="N289" t="str">
        <f>"Open tender"</f>
        <v>Open tender</v>
      </c>
      <c r="O289" t="str">
        <f>"FIN10/AGI001"</f>
        <v>FIN10/AGI001</v>
      </c>
      <c r="P289" t="str">
        <f>"SON335550"</f>
        <v>SON335550</v>
      </c>
      <c r="Q289" t="str">
        <f t="shared" si="115"/>
        <v>No</v>
      </c>
      <c r="R289" t="str">
        <f>""</f>
        <v/>
      </c>
      <c r="S289" t="str">
        <f t="shared" si="103"/>
        <v>No</v>
      </c>
      <c r="T289" t="str">
        <f>""</f>
        <v/>
      </c>
      <c r="U289" t="str">
        <f t="shared" si="123"/>
        <v>No</v>
      </c>
      <c r="V289" t="str">
        <f>""</f>
        <v/>
      </c>
      <c r="X289" t="str">
        <f>"ETHANGROUP"</f>
        <v>ETHANGROUP</v>
      </c>
      <c r="Y289" t="str">
        <f>"Level 5, 13-15 Lyon Park Road"</f>
        <v>Level 5, 13-15 Lyon Park Road</v>
      </c>
      <c r="Z289" t="str">
        <f>"North Ryde"</f>
        <v>North Ryde</v>
      </c>
      <c r="AA289" t="str">
        <f>"2113"</f>
        <v>2113</v>
      </c>
      <c r="AB289" t="str">
        <f t="shared" si="119"/>
        <v>Australia</v>
      </c>
      <c r="AC289" t="str">
        <f t="shared" si="120"/>
        <v>No</v>
      </c>
      <c r="AD289" t="str">
        <f>"93099503456"</f>
        <v>93099503456</v>
      </c>
      <c r="AE289" t="str">
        <f t="shared" si="122"/>
        <v>ADMIN OFFICER</v>
      </c>
      <c r="AF289" t="str">
        <f t="shared" si="98"/>
        <v>(02) 6271 1000</v>
      </c>
      <c r="AG289" t="str">
        <f>""</f>
        <v/>
      </c>
      <c r="AH289" t="str">
        <f>""</f>
        <v/>
      </c>
      <c r="AI289" t="str">
        <f>"CORPORATE TREASURY [OLD] Corporate Treasury"</f>
        <v>CORPORATE TREASURY [OLD] Corporate Treasury</v>
      </c>
      <c r="AJ289" t="str">
        <f t="shared" si="114"/>
        <v>2603</v>
      </c>
    </row>
    <row r="290" spans="1:36" x14ac:dyDescent="0.25">
      <c r="A290" t="str">
        <f t="shared" si="111"/>
        <v>Department of Communications</v>
      </c>
      <c r="B290" t="str">
        <f>""</f>
        <v/>
      </c>
      <c r="C290" t="str">
        <f>"CN2920482"</f>
        <v>CN2920482</v>
      </c>
      <c r="D290" t="str">
        <f t="shared" si="121"/>
        <v>Leesa O'connor</v>
      </c>
      <c r="E290" s="44">
        <v>42079.505555555559</v>
      </c>
      <c r="F290" t="s">
        <v>2508</v>
      </c>
      <c r="G290" t="str">
        <f t="shared" si="112"/>
        <v>published</v>
      </c>
      <c r="H290" s="45">
        <v>42066</v>
      </c>
      <c r="I290" s="45">
        <v>42124</v>
      </c>
      <c r="J290" s="46">
        <v>25767.5</v>
      </c>
      <c r="K290" t="s">
        <v>1839</v>
      </c>
      <c r="L290" t="str">
        <f>"0004604866"</f>
        <v>0004604866</v>
      </c>
      <c r="M290" t="str">
        <f>"Software"</f>
        <v>Software</v>
      </c>
      <c r="N290" t="str">
        <f>"Limited tender"</f>
        <v>Limited tender</v>
      </c>
      <c r="O290" t="str">
        <f>""</f>
        <v/>
      </c>
      <c r="Q290" t="str">
        <f t="shared" si="115"/>
        <v>No</v>
      </c>
      <c r="R290" t="str">
        <f>""</f>
        <v/>
      </c>
      <c r="S290" t="str">
        <f t="shared" si="103"/>
        <v>No</v>
      </c>
      <c r="T290" t="str">
        <f>""</f>
        <v/>
      </c>
      <c r="U290" t="str">
        <f t="shared" si="123"/>
        <v>No</v>
      </c>
      <c r="V290" t="str">
        <f>""</f>
        <v/>
      </c>
      <c r="X290" t="str">
        <f>"OPEN SYSTEMS AUSTRALIA P/L"</f>
        <v>OPEN SYSTEMS AUSTRALIA P/L</v>
      </c>
      <c r="Y290" t="str">
        <f>"218 NORTHBOURNE AVENUE"</f>
        <v>218 NORTHBOURNE AVENUE</v>
      </c>
      <c r="Z290" t="str">
        <f>"CANBERRA"</f>
        <v>CANBERRA</v>
      </c>
      <c r="AA290" t="str">
        <f>"2600"</f>
        <v>2600</v>
      </c>
      <c r="AB290" t="str">
        <f t="shared" si="119"/>
        <v>Australia</v>
      </c>
      <c r="AC290" t="str">
        <f t="shared" si="120"/>
        <v>No</v>
      </c>
      <c r="AD290" t="str">
        <f>"27141363592"</f>
        <v>27141363592</v>
      </c>
      <c r="AE290" t="str">
        <f t="shared" si="122"/>
        <v>ADMIN OFFICER</v>
      </c>
      <c r="AF290" t="str">
        <f t="shared" si="98"/>
        <v>(02) 6271 1000</v>
      </c>
      <c r="AG290" t="str">
        <f>""</f>
        <v/>
      </c>
      <c r="AH290" t="str">
        <f>""</f>
        <v/>
      </c>
      <c r="AI290" t="str">
        <f>"CORPORATE TREASURY [OLD] Corporate Treasury"</f>
        <v>CORPORATE TREASURY [OLD] Corporate Treasury</v>
      </c>
      <c r="AJ290" t="str">
        <f t="shared" si="114"/>
        <v>2603</v>
      </c>
    </row>
    <row r="291" spans="1:36" x14ac:dyDescent="0.25">
      <c r="A291" t="str">
        <f t="shared" si="111"/>
        <v>Department of Communications</v>
      </c>
      <c r="B291" t="str">
        <f>""</f>
        <v/>
      </c>
      <c r="C291" t="str">
        <f>"CN2920472"</f>
        <v>CN2920472</v>
      </c>
      <c r="D291" t="str">
        <f t="shared" si="121"/>
        <v>Leesa O'connor</v>
      </c>
      <c r="E291" s="44">
        <v>42079.505555555559</v>
      </c>
      <c r="F291" t="s">
        <v>2508</v>
      </c>
      <c r="G291" t="str">
        <f t="shared" si="112"/>
        <v>published</v>
      </c>
      <c r="H291" s="45">
        <v>42053</v>
      </c>
      <c r="I291" s="45">
        <v>42185</v>
      </c>
      <c r="J291" s="46">
        <v>275000</v>
      </c>
      <c r="K291" t="s">
        <v>2241</v>
      </c>
      <c r="L291" t="str">
        <f>"0004604867"</f>
        <v>0004604867</v>
      </c>
      <c r="M291" t="str">
        <f>"Management advisory services"</f>
        <v>Management advisory services</v>
      </c>
      <c r="N291" t="str">
        <f>"Limited tender"</f>
        <v>Limited tender</v>
      </c>
      <c r="O291" t="str">
        <f>""</f>
        <v/>
      </c>
      <c r="Q291" t="str">
        <f t="shared" si="115"/>
        <v>No</v>
      </c>
      <c r="R291" t="str">
        <f>""</f>
        <v/>
      </c>
      <c r="S291" t="str">
        <f>"Yes"</f>
        <v>Yes</v>
      </c>
      <c r="T291" t="str">
        <f>"Other - THIRD PARTY CONFIDENTIAL INFORMATION WILL BE ACCESSED BY ADVISER"</f>
        <v>Other - THIRD PARTY CONFIDENTIAL INFORMATION WILL BE ACCESSED BY ADVISER</v>
      </c>
      <c r="U291" t="str">
        <f t="shared" si="123"/>
        <v>No</v>
      </c>
      <c r="V291" t="str">
        <f>""</f>
        <v/>
      </c>
      <c r="X291" t="str">
        <f>"333 Group Pty Ltd"</f>
        <v>333 Group Pty Ltd</v>
      </c>
      <c r="Y291" t="str">
        <f>"Level 24, 333 Collins Street"</f>
        <v>Level 24, 333 Collins Street</v>
      </c>
      <c r="Z291" t="str">
        <f>"Melbourne"</f>
        <v>Melbourne</v>
      </c>
      <c r="AA291" t="str">
        <f>"3000"</f>
        <v>3000</v>
      </c>
      <c r="AB291" t="str">
        <f t="shared" si="119"/>
        <v>Australia</v>
      </c>
      <c r="AC291" t="str">
        <f t="shared" si="120"/>
        <v>No</v>
      </c>
      <c r="AD291" t="str">
        <f>"91130949245"</f>
        <v>91130949245</v>
      </c>
      <c r="AE291" t="str">
        <f t="shared" si="122"/>
        <v>ADMIN OFFICER</v>
      </c>
      <c r="AF291" t="str">
        <f t="shared" si="98"/>
        <v>(02) 6271 1000</v>
      </c>
      <c r="AG291" t="str">
        <f>""</f>
        <v/>
      </c>
      <c r="AH291" t="str">
        <f>""</f>
        <v/>
      </c>
      <c r="AI291" t="str">
        <f>"NPAR"</f>
        <v>NPAR</v>
      </c>
      <c r="AJ291" t="str">
        <f t="shared" si="114"/>
        <v>2603</v>
      </c>
    </row>
    <row r="292" spans="1:36" x14ac:dyDescent="0.25">
      <c r="A292" t="str">
        <f t="shared" si="111"/>
        <v>Department of Communications</v>
      </c>
      <c r="B292" t="str">
        <f>""</f>
        <v/>
      </c>
      <c r="C292" t="str">
        <f>"CN2920462"</f>
        <v>CN2920462</v>
      </c>
      <c r="D292" t="str">
        <f t="shared" si="121"/>
        <v>Leesa O'connor</v>
      </c>
      <c r="E292" s="44">
        <v>42079.504861111112</v>
      </c>
      <c r="F292" t="s">
        <v>2508</v>
      </c>
      <c r="G292" t="str">
        <f t="shared" si="112"/>
        <v>published</v>
      </c>
      <c r="H292" s="45">
        <v>41456</v>
      </c>
      <c r="I292" s="45">
        <v>42185</v>
      </c>
      <c r="J292" s="46">
        <v>26572.7</v>
      </c>
      <c r="K292" t="s">
        <v>1842</v>
      </c>
      <c r="L292" t="str">
        <f>"0004604869"</f>
        <v>0004604869</v>
      </c>
      <c r="M292" t="str">
        <f>"Electronic reference material"</f>
        <v>Electronic reference material</v>
      </c>
      <c r="N292" t="str">
        <f>"Prequalified tender"</f>
        <v>Prequalified tender</v>
      </c>
      <c r="O292" t="str">
        <f>""</f>
        <v/>
      </c>
      <c r="Q292" t="str">
        <f t="shared" si="115"/>
        <v>No</v>
      </c>
      <c r="R292" t="str">
        <f>""</f>
        <v/>
      </c>
      <c r="S292" t="str">
        <f t="shared" ref="S292:S308" si="124">"No"</f>
        <v>No</v>
      </c>
      <c r="T292" t="str">
        <f>""</f>
        <v/>
      </c>
      <c r="U292" t="str">
        <f t="shared" si="123"/>
        <v>No</v>
      </c>
      <c r="V292" t="str">
        <f>""</f>
        <v/>
      </c>
      <c r="X292" t="str">
        <f>"COPYRIGHT AGENCY LTD"</f>
        <v>COPYRIGHT AGENCY LTD</v>
      </c>
      <c r="Y292" t="str">
        <f>"Lvl 15, 233 Castlereagh Street"</f>
        <v>Lvl 15, 233 Castlereagh Street</v>
      </c>
      <c r="Z292" t="str">
        <f>"SYDNEY"</f>
        <v>SYDNEY</v>
      </c>
      <c r="AA292" t="str">
        <f>"2000"</f>
        <v>2000</v>
      </c>
      <c r="AB292" t="str">
        <f t="shared" si="119"/>
        <v>Australia</v>
      </c>
      <c r="AC292" t="str">
        <f t="shared" si="120"/>
        <v>No</v>
      </c>
      <c r="AD292" t="str">
        <f>"53001228799"</f>
        <v>53001228799</v>
      </c>
      <c r="AE292" t="str">
        <f t="shared" si="122"/>
        <v>ADMIN OFFICER</v>
      </c>
      <c r="AF292" t="str">
        <f t="shared" si="98"/>
        <v>(02) 6271 1000</v>
      </c>
      <c r="AG292" t="str">
        <f>""</f>
        <v/>
      </c>
      <c r="AH292" t="str">
        <f>""</f>
        <v/>
      </c>
      <c r="AI292" t="str">
        <f>"CORPORATE TREASURY [OLD] Corporate Treasury"</f>
        <v>CORPORATE TREASURY [OLD] Corporate Treasury</v>
      </c>
      <c r="AJ292" t="str">
        <f t="shared" si="114"/>
        <v>2603</v>
      </c>
    </row>
    <row r="293" spans="1:36" x14ac:dyDescent="0.25">
      <c r="A293" t="str">
        <f t="shared" si="111"/>
        <v>Department of Communications</v>
      </c>
      <c r="B293" t="str">
        <f>""</f>
        <v/>
      </c>
      <c r="C293" t="str">
        <f>"CN2920452"</f>
        <v>CN2920452</v>
      </c>
      <c r="D293" t="str">
        <f t="shared" si="121"/>
        <v>Leesa O'connor</v>
      </c>
      <c r="E293" s="44">
        <v>42079.504861111112</v>
      </c>
      <c r="F293" t="s">
        <v>2508</v>
      </c>
      <c r="G293" t="str">
        <f t="shared" si="112"/>
        <v>published</v>
      </c>
      <c r="H293" s="45">
        <v>42069</v>
      </c>
      <c r="I293" s="45">
        <v>42185</v>
      </c>
      <c r="J293" s="46">
        <v>68640</v>
      </c>
      <c r="K293" t="s">
        <v>2111</v>
      </c>
      <c r="L293" t="str">
        <f>"0004604871"</f>
        <v>0004604871</v>
      </c>
      <c r="M293" t="str">
        <f>"Information technology consultation services"</f>
        <v>Information technology consultation services</v>
      </c>
      <c r="N293" t="str">
        <f>"Open tender"</f>
        <v>Open tender</v>
      </c>
      <c r="O293" t="str">
        <f>"PRN25117"</f>
        <v>PRN25117</v>
      </c>
      <c r="P293" t="str">
        <f>"SON1135902"</f>
        <v>SON1135902</v>
      </c>
      <c r="Q293" t="str">
        <f t="shared" si="115"/>
        <v>No</v>
      </c>
      <c r="R293" t="str">
        <f>""</f>
        <v/>
      </c>
      <c r="S293" t="str">
        <f t="shared" si="124"/>
        <v>No</v>
      </c>
      <c r="T293" t="str">
        <f>""</f>
        <v/>
      </c>
      <c r="U293" t="str">
        <f t="shared" si="123"/>
        <v>No</v>
      </c>
      <c r="V293" t="str">
        <f>""</f>
        <v/>
      </c>
      <c r="X293" t="str">
        <f>"Gartner Australasia Pty Ltd"</f>
        <v>Gartner Australasia Pty Ltd</v>
      </c>
      <c r="Y293" t="str">
        <f>"PO Box K1385"</f>
        <v>PO Box K1385</v>
      </c>
      <c r="Z293" t="str">
        <f>"Haymarket"</f>
        <v>Haymarket</v>
      </c>
      <c r="AA293" t="str">
        <f>"1240"</f>
        <v>1240</v>
      </c>
      <c r="AB293" t="str">
        <f t="shared" si="119"/>
        <v>Australia</v>
      </c>
      <c r="AC293" t="str">
        <f t="shared" si="120"/>
        <v>No</v>
      </c>
      <c r="AD293" t="str">
        <f>"69003708601"</f>
        <v>69003708601</v>
      </c>
      <c r="AE293" t="str">
        <f>"PROCUREMENT MANAGER"</f>
        <v>PROCUREMENT MANAGER</v>
      </c>
      <c r="AF293" t="str">
        <f t="shared" si="98"/>
        <v>(02) 6271 1000</v>
      </c>
      <c r="AG293" t="str">
        <f>""</f>
        <v/>
      </c>
      <c r="AH293" t="str">
        <f>""</f>
        <v/>
      </c>
      <c r="AI293" t="str">
        <f>"DIGITAL PRODUCTIVITY Digital Productivity Division"</f>
        <v>DIGITAL PRODUCTIVITY Digital Productivity Division</v>
      </c>
      <c r="AJ293" t="str">
        <f t="shared" si="114"/>
        <v>2603</v>
      </c>
    </row>
    <row r="294" spans="1:36" x14ac:dyDescent="0.25">
      <c r="A294" t="str">
        <f t="shared" si="111"/>
        <v>Department of Communications</v>
      </c>
      <c r="B294" t="str">
        <f>""</f>
        <v/>
      </c>
      <c r="C294" t="str">
        <f>"CN2920442"</f>
        <v>CN2920442</v>
      </c>
      <c r="D294" t="str">
        <f t="shared" si="121"/>
        <v>Leesa O'connor</v>
      </c>
      <c r="E294" s="44">
        <v>42079.504861111112</v>
      </c>
      <c r="F294" t="s">
        <v>2508</v>
      </c>
      <c r="G294" t="str">
        <f t="shared" si="112"/>
        <v>published</v>
      </c>
      <c r="H294" s="45">
        <v>42075</v>
      </c>
      <c r="I294" s="45">
        <v>42185</v>
      </c>
      <c r="J294" s="46">
        <v>77000</v>
      </c>
      <c r="K294" t="s">
        <v>1843</v>
      </c>
      <c r="L294" t="str">
        <f>"0004604873"</f>
        <v>0004604873</v>
      </c>
      <c r="M294" t="str">
        <f>"Building support services"</f>
        <v>Building support services</v>
      </c>
      <c r="N294" t="str">
        <f>"Open tender"</f>
        <v>Open tender</v>
      </c>
      <c r="O294" t="str">
        <f>"NA1000"</f>
        <v>NA1000</v>
      </c>
      <c r="Q294" t="str">
        <f t="shared" si="115"/>
        <v>No</v>
      </c>
      <c r="R294" t="str">
        <f>""</f>
        <v/>
      </c>
      <c r="S294" t="str">
        <f t="shared" si="124"/>
        <v>No</v>
      </c>
      <c r="T294" t="str">
        <f>""</f>
        <v/>
      </c>
      <c r="U294" t="str">
        <f t="shared" si="123"/>
        <v>No</v>
      </c>
      <c r="V294" t="str">
        <f>""</f>
        <v/>
      </c>
      <c r="X294" t="str">
        <f>"NEF Consulting Services"</f>
        <v>NEF Consulting Services</v>
      </c>
      <c r="Y294" t="str">
        <f>"PO Box 260"</f>
        <v>PO Box 260</v>
      </c>
      <c r="Z294" t="str">
        <f>"Dickson"</f>
        <v>Dickson</v>
      </c>
      <c r="AA294" t="str">
        <f>"2602"</f>
        <v>2602</v>
      </c>
      <c r="AB294" t="str">
        <f t="shared" si="119"/>
        <v>Australia</v>
      </c>
      <c r="AC294" t="str">
        <f t="shared" si="120"/>
        <v>No</v>
      </c>
      <c r="AD294" t="str">
        <f>"17125808188"</f>
        <v>17125808188</v>
      </c>
      <c r="AE294" t="str">
        <f>"ADMIN OFFICER"</f>
        <v>ADMIN OFFICER</v>
      </c>
      <c r="AF294" t="str">
        <f t="shared" si="98"/>
        <v>(02) 6271 1000</v>
      </c>
      <c r="AG294" t="str">
        <f>""</f>
        <v/>
      </c>
      <c r="AH294" t="str">
        <f>""</f>
        <v/>
      </c>
      <c r="AI294" t="str">
        <f>"CORPORATE TREASURY [OLD] Corporate Treasury"</f>
        <v>CORPORATE TREASURY [OLD] Corporate Treasury</v>
      </c>
      <c r="AJ294" t="str">
        <f t="shared" si="114"/>
        <v>2603</v>
      </c>
    </row>
    <row r="295" spans="1:36" x14ac:dyDescent="0.25">
      <c r="A295" t="str">
        <f t="shared" si="111"/>
        <v>Department of Communications</v>
      </c>
      <c r="B295" t="str">
        <f>""</f>
        <v/>
      </c>
      <c r="C295" t="str">
        <f>"CN2921882"</f>
        <v>CN2921882</v>
      </c>
      <c r="D295" t="str">
        <f t="shared" si="121"/>
        <v>Leesa O'connor</v>
      </c>
      <c r="E295" s="44">
        <v>42079.679166666669</v>
      </c>
      <c r="F295" t="s">
        <v>2508</v>
      </c>
      <c r="G295" t="str">
        <f t="shared" si="112"/>
        <v>published</v>
      </c>
      <c r="H295" s="45">
        <v>42079</v>
      </c>
      <c r="I295" s="45">
        <v>42490</v>
      </c>
      <c r="J295" s="46">
        <v>19800</v>
      </c>
      <c r="K295" t="s">
        <v>460</v>
      </c>
      <c r="L295" t="str">
        <f>"0004604874"</f>
        <v>0004604874</v>
      </c>
      <c r="M295" t="str">
        <f>"Market research"</f>
        <v>Market research</v>
      </c>
      <c r="N295" t="str">
        <f>"Limited tender"</f>
        <v>Limited tender</v>
      </c>
      <c r="O295" t="str">
        <f>""</f>
        <v/>
      </c>
      <c r="Q295" t="str">
        <f t="shared" si="115"/>
        <v>No</v>
      </c>
      <c r="R295" t="str">
        <f>""</f>
        <v/>
      </c>
      <c r="S295" t="str">
        <f t="shared" si="124"/>
        <v>No</v>
      </c>
      <c r="T295" t="str">
        <f>""</f>
        <v/>
      </c>
      <c r="U295" t="str">
        <f t="shared" si="123"/>
        <v>No</v>
      </c>
      <c r="V295" t="str">
        <f>""</f>
        <v/>
      </c>
      <c r="X295" t="str">
        <f>"IBIS WORLD"</f>
        <v>IBIS WORLD</v>
      </c>
      <c r="Y295" t="str">
        <f>"LEVEL 3, 1 COLLINS STREET"</f>
        <v>LEVEL 3, 1 COLLINS STREET</v>
      </c>
      <c r="Z295" t="str">
        <f>"MELBOURNE"</f>
        <v>MELBOURNE</v>
      </c>
      <c r="AA295" t="str">
        <f>"3000"</f>
        <v>3000</v>
      </c>
      <c r="AB295" t="str">
        <f t="shared" si="119"/>
        <v>Australia</v>
      </c>
      <c r="AC295" t="str">
        <f t="shared" si="120"/>
        <v>No</v>
      </c>
      <c r="AD295" t="str">
        <f>"76006819987"</f>
        <v>76006819987</v>
      </c>
      <c r="AE295" t="str">
        <f>"PROCUREMENT MANAGER"</f>
        <v>PROCUREMENT MANAGER</v>
      </c>
      <c r="AF295" t="str">
        <f t="shared" si="98"/>
        <v>(02) 6271 1000</v>
      </c>
      <c r="AG295" t="str">
        <f>""</f>
        <v/>
      </c>
      <c r="AH295" t="str">
        <f>""</f>
        <v/>
      </c>
      <c r="AI295" t="str">
        <f>"COMMUNICATIONS RESEARCH Bureau of Communications Research"</f>
        <v>COMMUNICATIONS RESEARCH Bureau of Communications Research</v>
      </c>
      <c r="AJ295" t="str">
        <f t="shared" si="114"/>
        <v>2603</v>
      </c>
    </row>
    <row r="296" spans="1:36" x14ac:dyDescent="0.25">
      <c r="A296" t="str">
        <f t="shared" si="111"/>
        <v>Department of Communications</v>
      </c>
      <c r="B296" t="str">
        <f>""</f>
        <v/>
      </c>
      <c r="C296" t="str">
        <f>"CN2920432"</f>
        <v>CN2920432</v>
      </c>
      <c r="D296" t="str">
        <f t="shared" si="121"/>
        <v>Leesa O'connor</v>
      </c>
      <c r="E296" s="44">
        <v>42079.504861111112</v>
      </c>
      <c r="F296" t="s">
        <v>2508</v>
      </c>
      <c r="G296" t="str">
        <f t="shared" si="112"/>
        <v>published</v>
      </c>
      <c r="H296" s="45">
        <v>42079</v>
      </c>
      <c r="I296" s="45">
        <v>42104</v>
      </c>
      <c r="J296" s="46">
        <v>101640</v>
      </c>
      <c r="K296" t="s">
        <v>491</v>
      </c>
      <c r="L296" t="str">
        <f>"0004604876"</f>
        <v>0004604876</v>
      </c>
      <c r="M296" t="str">
        <f>"Software"</f>
        <v>Software</v>
      </c>
      <c r="N296" t="str">
        <f>"Limited tender"</f>
        <v>Limited tender</v>
      </c>
      <c r="O296" t="str">
        <f>"DCON/15/19"</f>
        <v>DCON/15/19</v>
      </c>
      <c r="Q296" t="str">
        <f t="shared" si="115"/>
        <v>No</v>
      </c>
      <c r="R296" t="str">
        <f>""</f>
        <v/>
      </c>
      <c r="S296" t="str">
        <f t="shared" si="124"/>
        <v>No</v>
      </c>
      <c r="T296" t="str">
        <f>""</f>
        <v/>
      </c>
      <c r="U296" t="str">
        <f t="shared" si="123"/>
        <v>No</v>
      </c>
      <c r="V296" t="str">
        <f>""</f>
        <v/>
      </c>
      <c r="X296" t="str">
        <f>"Contexti Pty Ltd"</f>
        <v>Contexti Pty Ltd</v>
      </c>
      <c r="Y296" t="str">
        <f>"Level 4 Clarence Street"</f>
        <v>Level 4 Clarence Street</v>
      </c>
      <c r="Z296" t="str">
        <f>"Sydney"</f>
        <v>Sydney</v>
      </c>
      <c r="AA296" t="str">
        <f>"2000"</f>
        <v>2000</v>
      </c>
      <c r="AB296" t="str">
        <f t="shared" si="119"/>
        <v>Australia</v>
      </c>
      <c r="AC296" t="str">
        <f t="shared" si="120"/>
        <v>No</v>
      </c>
      <c r="AD296" t="str">
        <f>"62156494549"</f>
        <v>62156494549</v>
      </c>
      <c r="AE296" t="str">
        <f>"PROCUREMENT MANAGER"</f>
        <v>PROCUREMENT MANAGER</v>
      </c>
      <c r="AF296" t="str">
        <f t="shared" si="98"/>
        <v>(02) 6271 1000</v>
      </c>
      <c r="AG296" t="str">
        <f>""</f>
        <v/>
      </c>
      <c r="AH296" t="str">
        <f>""</f>
        <v/>
      </c>
      <c r="AI296" t="str">
        <f>"COMMUNICATIONS RESEARCH Bureau of Communications Research"</f>
        <v>COMMUNICATIONS RESEARCH Bureau of Communications Research</v>
      </c>
      <c r="AJ296" t="str">
        <f t="shared" si="114"/>
        <v>2603</v>
      </c>
    </row>
    <row r="297" spans="1:36" x14ac:dyDescent="0.25">
      <c r="A297" t="str">
        <f t="shared" si="111"/>
        <v>Department of Communications</v>
      </c>
      <c r="B297" t="str">
        <f>""</f>
        <v/>
      </c>
      <c r="C297" t="str">
        <f>"CN2920422"</f>
        <v>CN2920422</v>
      </c>
      <c r="D297" t="str">
        <f t="shared" si="121"/>
        <v>Leesa O'connor</v>
      </c>
      <c r="E297" s="44">
        <v>42079.504861111112</v>
      </c>
      <c r="F297" t="s">
        <v>2508</v>
      </c>
      <c r="G297" t="str">
        <f t="shared" si="112"/>
        <v>published</v>
      </c>
      <c r="H297" s="45">
        <v>42075</v>
      </c>
      <c r="I297" s="45">
        <v>42124</v>
      </c>
      <c r="J297" s="46">
        <v>282549.3</v>
      </c>
      <c r="K297" t="s">
        <v>1839</v>
      </c>
      <c r="L297" t="str">
        <f>"0004604877"</f>
        <v>0004604877</v>
      </c>
      <c r="M297" t="str">
        <f>"Software"</f>
        <v>Software</v>
      </c>
      <c r="N297" t="str">
        <f>"Limited tender"</f>
        <v>Limited tender</v>
      </c>
      <c r="O297" t="str">
        <f>""</f>
        <v/>
      </c>
      <c r="Q297" t="str">
        <f t="shared" si="115"/>
        <v>No</v>
      </c>
      <c r="R297" t="str">
        <f>""</f>
        <v/>
      </c>
      <c r="S297" t="str">
        <f t="shared" si="124"/>
        <v>No</v>
      </c>
      <c r="T297" t="str">
        <f>""</f>
        <v/>
      </c>
      <c r="U297" t="str">
        <f t="shared" si="123"/>
        <v>No</v>
      </c>
      <c r="V297" t="str">
        <f>""</f>
        <v/>
      </c>
      <c r="X297" t="str">
        <f>"Pitney Bowes Software Pty Ltd"</f>
        <v>Pitney Bowes Software Pty Ltd</v>
      </c>
      <c r="Y297" t="str">
        <f>"PO Box 6200"</f>
        <v>PO Box 6200</v>
      </c>
      <c r="Z297" t="str">
        <f>"North Sydney"</f>
        <v>North Sydney</v>
      </c>
      <c r="AA297" t="str">
        <f>"2059"</f>
        <v>2059</v>
      </c>
      <c r="AB297" t="str">
        <f t="shared" si="119"/>
        <v>Australia</v>
      </c>
      <c r="AC297" t="str">
        <f t="shared" si="120"/>
        <v>No</v>
      </c>
      <c r="AD297" t="str">
        <f>"93070492410"</f>
        <v>93070492410</v>
      </c>
      <c r="AE297" t="str">
        <f t="shared" ref="AE297:AE308" si="125">"ADMIN OFFICER"</f>
        <v>ADMIN OFFICER</v>
      </c>
      <c r="AF297" t="str">
        <f t="shared" ref="AF297:AF360" si="126">"(02) 6271 1000"</f>
        <v>(02) 6271 1000</v>
      </c>
      <c r="AG297" t="str">
        <f>""</f>
        <v/>
      </c>
      <c r="AH297" t="str">
        <f>""</f>
        <v/>
      </c>
      <c r="AI297" t="str">
        <f t="shared" ref="AI297:AI308" si="127">"CORPORATE TREASURY [OLD] Corporate Treasury"</f>
        <v>CORPORATE TREASURY [OLD] Corporate Treasury</v>
      </c>
      <c r="AJ297" t="str">
        <f t="shared" si="114"/>
        <v>2603</v>
      </c>
    </row>
    <row r="298" spans="1:36" x14ac:dyDescent="0.25">
      <c r="A298" t="str">
        <f t="shared" si="111"/>
        <v>Department of Communications</v>
      </c>
      <c r="B298" t="str">
        <f>""</f>
        <v/>
      </c>
      <c r="C298" t="str">
        <f>"CN2921872"</f>
        <v>CN2921872</v>
      </c>
      <c r="D298" t="str">
        <f t="shared" si="121"/>
        <v>Leesa O'connor</v>
      </c>
      <c r="E298" s="44">
        <v>42079.679166666669</v>
      </c>
      <c r="F298" t="s">
        <v>2508</v>
      </c>
      <c r="G298" t="str">
        <f t="shared" si="112"/>
        <v>published</v>
      </c>
      <c r="H298" s="45">
        <v>42091</v>
      </c>
      <c r="I298" s="45">
        <v>42458</v>
      </c>
      <c r="J298" s="46">
        <v>45000</v>
      </c>
      <c r="K298" t="s">
        <v>1235</v>
      </c>
      <c r="L298" t="str">
        <f>"0004604878"</f>
        <v>0004604878</v>
      </c>
      <c r="M298" t="str">
        <f>"Education and Training Services"</f>
        <v>Education and Training Services</v>
      </c>
      <c r="N298" t="str">
        <f>"Limited tender"</f>
        <v>Limited tender</v>
      </c>
      <c r="O298" t="str">
        <f>""</f>
        <v/>
      </c>
      <c r="Q298" t="str">
        <f t="shared" si="115"/>
        <v>No</v>
      </c>
      <c r="R298" t="str">
        <f>""</f>
        <v/>
      </c>
      <c r="S298" t="str">
        <f t="shared" si="124"/>
        <v>No</v>
      </c>
      <c r="T298" t="str">
        <f>""</f>
        <v/>
      </c>
      <c r="U298" t="str">
        <f t="shared" si="123"/>
        <v>No</v>
      </c>
      <c r="V298" t="str">
        <f>""</f>
        <v/>
      </c>
      <c r="X298" t="str">
        <f>"Davidson Trahaire Corpsych"</f>
        <v>Davidson Trahaire Corpsych</v>
      </c>
      <c r="Y298" t="str">
        <f>"PO BOX Q1436, QVB Post Office"</f>
        <v>PO BOX Q1436, QVB Post Office</v>
      </c>
      <c r="Z298" t="str">
        <f>"Sydney"</f>
        <v>Sydney</v>
      </c>
      <c r="AA298" t="str">
        <f>"1230"</f>
        <v>1230</v>
      </c>
      <c r="AB298" t="str">
        <f t="shared" si="119"/>
        <v>Australia</v>
      </c>
      <c r="AC298" t="str">
        <f t="shared" si="120"/>
        <v>No</v>
      </c>
      <c r="AD298" t="str">
        <f>"61003536472"</f>
        <v>61003536472</v>
      </c>
      <c r="AE298" t="str">
        <f t="shared" si="125"/>
        <v>ADMIN OFFICER</v>
      </c>
      <c r="AF298" t="str">
        <f t="shared" si="126"/>
        <v>(02) 6271 1000</v>
      </c>
      <c r="AG298" t="str">
        <f>""</f>
        <v/>
      </c>
      <c r="AH298" t="str">
        <f>""</f>
        <v/>
      </c>
      <c r="AI298" t="str">
        <f t="shared" si="127"/>
        <v>CORPORATE TREASURY [OLD] Corporate Treasury</v>
      </c>
      <c r="AJ298" t="str">
        <f t="shared" ref="AJ298:AJ320" si="128">"2603"</f>
        <v>2603</v>
      </c>
    </row>
    <row r="299" spans="1:36" x14ac:dyDescent="0.25">
      <c r="A299" t="str">
        <f t="shared" si="111"/>
        <v>Department of Communications</v>
      </c>
      <c r="B299" t="str">
        <f>""</f>
        <v/>
      </c>
      <c r="C299" t="str">
        <f>"CN2921862"</f>
        <v>CN2921862</v>
      </c>
      <c r="D299" t="str">
        <f t="shared" si="121"/>
        <v>Leesa O'connor</v>
      </c>
      <c r="E299" s="44">
        <v>42079.679166666669</v>
      </c>
      <c r="F299" t="s">
        <v>2508</v>
      </c>
      <c r="G299" t="str">
        <f t="shared" si="112"/>
        <v>published</v>
      </c>
      <c r="H299" s="45">
        <v>42079</v>
      </c>
      <c r="I299" s="45">
        <v>42110</v>
      </c>
      <c r="J299" s="46">
        <v>38395.5</v>
      </c>
      <c r="K299" t="s">
        <v>1849</v>
      </c>
      <c r="L299" t="str">
        <f>"0004604879"</f>
        <v>0004604879</v>
      </c>
      <c r="M299" t="str">
        <f>"Software or hardware engineering"</f>
        <v>Software or hardware engineering</v>
      </c>
      <c r="N299" t="str">
        <f>"Open tender"</f>
        <v>Open tender</v>
      </c>
      <c r="O299" t="str">
        <f>"DCON/13/31"</f>
        <v>DCON/13/31</v>
      </c>
      <c r="P299" t="str">
        <f>"SON2268721"</f>
        <v>SON2268721</v>
      </c>
      <c r="Q299" t="str">
        <f t="shared" si="115"/>
        <v>No</v>
      </c>
      <c r="R299" t="str">
        <f>""</f>
        <v/>
      </c>
      <c r="S299" t="str">
        <f t="shared" si="124"/>
        <v>No</v>
      </c>
      <c r="T299" t="str">
        <f>""</f>
        <v/>
      </c>
      <c r="U299" t="str">
        <f t="shared" si="123"/>
        <v>No</v>
      </c>
      <c r="V299" t="str">
        <f>""</f>
        <v/>
      </c>
      <c r="X299" t="str">
        <f>"DELOITTE TOUCHE TOHMATSU"</f>
        <v>DELOITTE TOUCHE TOHMATSU</v>
      </c>
      <c r="Y299" t="str">
        <f>"PO Box 823"</f>
        <v>PO Box 823</v>
      </c>
      <c r="Z299" t="str">
        <f>"CANBERRA"</f>
        <v>CANBERRA</v>
      </c>
      <c r="AA299" t="str">
        <f>"2601"</f>
        <v>2601</v>
      </c>
      <c r="AB299" t="str">
        <f t="shared" si="119"/>
        <v>Australia</v>
      </c>
      <c r="AC299" t="str">
        <f t="shared" si="120"/>
        <v>No</v>
      </c>
      <c r="AD299" t="str">
        <f>"74490121060"</f>
        <v>74490121060</v>
      </c>
      <c r="AE299" t="str">
        <f t="shared" si="125"/>
        <v>ADMIN OFFICER</v>
      </c>
      <c r="AF299" t="str">
        <f t="shared" si="126"/>
        <v>(02) 6271 1000</v>
      </c>
      <c r="AG299" t="str">
        <f>""</f>
        <v/>
      </c>
      <c r="AH299" t="str">
        <f>""</f>
        <v/>
      </c>
      <c r="AI299" t="str">
        <f t="shared" si="127"/>
        <v>CORPORATE TREASURY [OLD] Corporate Treasury</v>
      </c>
      <c r="AJ299" t="str">
        <f t="shared" si="128"/>
        <v>2603</v>
      </c>
    </row>
    <row r="300" spans="1:36" x14ac:dyDescent="0.25">
      <c r="A300" t="str">
        <f t="shared" si="111"/>
        <v>Department of Communications</v>
      </c>
      <c r="B300" t="str">
        <f>""</f>
        <v/>
      </c>
      <c r="C300" t="str">
        <f>"CN2921852"</f>
        <v>CN2921852</v>
      </c>
      <c r="D300" t="str">
        <f t="shared" si="121"/>
        <v>Leesa O'connor</v>
      </c>
      <c r="E300" s="44">
        <v>42079.679166666669</v>
      </c>
      <c r="F300" t="s">
        <v>2508</v>
      </c>
      <c r="G300" t="str">
        <f t="shared" si="112"/>
        <v>published</v>
      </c>
      <c r="H300" s="45">
        <v>42074</v>
      </c>
      <c r="I300" s="45">
        <v>42185</v>
      </c>
      <c r="J300" s="46">
        <v>34000</v>
      </c>
      <c r="K300" t="s">
        <v>1854</v>
      </c>
      <c r="L300" t="str">
        <f>"0004604880"</f>
        <v>0004604880</v>
      </c>
      <c r="M300" t="str">
        <f>"Temporary personnel services"</f>
        <v>Temporary personnel services</v>
      </c>
      <c r="N300" t="str">
        <f>"Open tender"</f>
        <v>Open tender</v>
      </c>
      <c r="O300" t="str">
        <f>"DCON/12/244"</f>
        <v>DCON/12/244</v>
      </c>
      <c r="P300" t="str">
        <f>"SON1180562"</f>
        <v>SON1180562</v>
      </c>
      <c r="Q300" t="str">
        <f t="shared" ref="Q300:Q308" si="129">"No"</f>
        <v>No</v>
      </c>
      <c r="R300" t="str">
        <f>""</f>
        <v/>
      </c>
      <c r="S300" t="str">
        <f t="shared" si="124"/>
        <v>No</v>
      </c>
      <c r="T300" t="str">
        <f>""</f>
        <v/>
      </c>
      <c r="U300" t="str">
        <f t="shared" si="123"/>
        <v>No</v>
      </c>
      <c r="V300" t="str">
        <f>""</f>
        <v/>
      </c>
      <c r="X300" t="str">
        <f>"Hoban Recuritment"</f>
        <v>Hoban Recuritment</v>
      </c>
      <c r="Y300" t="str">
        <f>"303 Collins St"</f>
        <v>303 Collins St</v>
      </c>
      <c r="Z300" t="str">
        <f>"melbourne"</f>
        <v>melbourne</v>
      </c>
      <c r="AA300" t="str">
        <f>"3000"</f>
        <v>3000</v>
      </c>
      <c r="AB300" t="str">
        <f t="shared" si="119"/>
        <v>Australia</v>
      </c>
      <c r="AC300" t="str">
        <f t="shared" si="120"/>
        <v>No</v>
      </c>
      <c r="AD300" t="str">
        <f>"14571943048"</f>
        <v>14571943048</v>
      </c>
      <c r="AE300" t="str">
        <f t="shared" si="125"/>
        <v>ADMIN OFFICER</v>
      </c>
      <c r="AF300" t="str">
        <f t="shared" si="126"/>
        <v>(02) 6271 1000</v>
      </c>
      <c r="AG300" t="str">
        <f>""</f>
        <v/>
      </c>
      <c r="AH300" t="str">
        <f>""</f>
        <v/>
      </c>
      <c r="AI300" t="str">
        <f t="shared" si="127"/>
        <v>CORPORATE TREASURY [OLD] Corporate Treasury</v>
      </c>
      <c r="AJ300" t="str">
        <f t="shared" si="128"/>
        <v>2603</v>
      </c>
    </row>
    <row r="301" spans="1:36" x14ac:dyDescent="0.25">
      <c r="A301" t="str">
        <f t="shared" si="111"/>
        <v>Department of Communications</v>
      </c>
      <c r="B301" t="str">
        <f>""</f>
        <v/>
      </c>
      <c r="C301" t="str">
        <f>"CN2921842"</f>
        <v>CN2921842</v>
      </c>
      <c r="D301" t="str">
        <f t="shared" si="121"/>
        <v>Leesa O'connor</v>
      </c>
      <c r="E301" s="44">
        <v>42079.678472222222</v>
      </c>
      <c r="F301" t="s">
        <v>2508</v>
      </c>
      <c r="G301" t="str">
        <f t="shared" si="112"/>
        <v>published</v>
      </c>
      <c r="H301" s="45">
        <v>42067</v>
      </c>
      <c r="I301" s="45">
        <v>42124</v>
      </c>
      <c r="J301" s="46">
        <v>11000</v>
      </c>
      <c r="K301" t="s">
        <v>1856</v>
      </c>
      <c r="L301" t="str">
        <f>"0004604881"</f>
        <v>0004604881</v>
      </c>
      <c r="M301" t="str">
        <f>"Temporary personnel services"</f>
        <v>Temporary personnel services</v>
      </c>
      <c r="N301" t="str">
        <f>"Limited tender"</f>
        <v>Limited tender</v>
      </c>
      <c r="O301" t="str">
        <f>""</f>
        <v/>
      </c>
      <c r="Q301" t="str">
        <f t="shared" si="129"/>
        <v>No</v>
      </c>
      <c r="R301" t="str">
        <f>""</f>
        <v/>
      </c>
      <c r="S301" t="str">
        <f t="shared" si="124"/>
        <v>No</v>
      </c>
      <c r="T301" t="str">
        <f>""</f>
        <v/>
      </c>
      <c r="U301" t="str">
        <f t="shared" si="123"/>
        <v>No</v>
      </c>
      <c r="V301" t="str">
        <f>""</f>
        <v/>
      </c>
      <c r="X301" t="str">
        <f>"Hudson Global Resources (Aust) P/L"</f>
        <v>Hudson Global Resources (Aust) P/L</v>
      </c>
      <c r="Y301" t="str">
        <f>"GPO Box 3951"</f>
        <v>GPO Box 3951</v>
      </c>
      <c r="Z301" t="str">
        <f>"Sydney"</f>
        <v>Sydney</v>
      </c>
      <c r="AA301" t="str">
        <f>"2001"</f>
        <v>2001</v>
      </c>
      <c r="AB301" t="str">
        <f t="shared" si="119"/>
        <v>Australia</v>
      </c>
      <c r="AC301" t="str">
        <f t="shared" si="120"/>
        <v>No</v>
      </c>
      <c r="AD301" t="str">
        <f>"21002888762"</f>
        <v>21002888762</v>
      </c>
      <c r="AE301" t="str">
        <f t="shared" si="125"/>
        <v>ADMIN OFFICER</v>
      </c>
      <c r="AF301" t="str">
        <f t="shared" si="126"/>
        <v>(02) 6271 1000</v>
      </c>
      <c r="AG301" t="str">
        <f>""</f>
        <v/>
      </c>
      <c r="AH301" t="str">
        <f>""</f>
        <v/>
      </c>
      <c r="AI301" t="str">
        <f t="shared" si="127"/>
        <v>CORPORATE TREASURY [OLD] Corporate Treasury</v>
      </c>
      <c r="AJ301" t="str">
        <f t="shared" si="128"/>
        <v>2603</v>
      </c>
    </row>
    <row r="302" spans="1:36" x14ac:dyDescent="0.25">
      <c r="A302" t="str">
        <f t="shared" si="111"/>
        <v>Department of Communications</v>
      </c>
      <c r="B302" t="str">
        <f>""</f>
        <v/>
      </c>
      <c r="C302" t="str">
        <f>"CN2935472"</f>
        <v>CN2935472</v>
      </c>
      <c r="D302" t="str">
        <f t="shared" si="121"/>
        <v>Leesa O'connor</v>
      </c>
      <c r="E302" s="44">
        <v>42086.617361111108</v>
      </c>
      <c r="F302" t="s">
        <v>2508</v>
      </c>
      <c r="G302" t="str">
        <f t="shared" si="112"/>
        <v>published</v>
      </c>
      <c r="H302" s="45">
        <v>42083</v>
      </c>
      <c r="I302" s="45">
        <v>42175</v>
      </c>
      <c r="J302" s="46">
        <v>42680</v>
      </c>
      <c r="K302" t="s">
        <v>1857</v>
      </c>
      <c r="L302" t="str">
        <f>"0004604882"</f>
        <v>0004604882</v>
      </c>
      <c r="M302" t="str">
        <f>"Information technology consultation services"</f>
        <v>Information technology consultation services</v>
      </c>
      <c r="N302" t="str">
        <f>"Limited tender"</f>
        <v>Limited tender</v>
      </c>
      <c r="O302" t="str">
        <f>""</f>
        <v/>
      </c>
      <c r="Q302" t="str">
        <f t="shared" si="129"/>
        <v>No</v>
      </c>
      <c r="R302" t="str">
        <f>""</f>
        <v/>
      </c>
      <c r="S302" t="str">
        <f t="shared" si="124"/>
        <v>No</v>
      </c>
      <c r="T302" t="str">
        <f>""</f>
        <v/>
      </c>
      <c r="U302" t="str">
        <f t="shared" si="123"/>
        <v>No</v>
      </c>
      <c r="V302" t="str">
        <f>""</f>
        <v/>
      </c>
      <c r="X302" t="str">
        <f>"Firstservis Pty Ltd"</f>
        <v>Firstservis Pty Ltd</v>
      </c>
      <c r="Y302" t="str">
        <f>"P O Box 122"</f>
        <v>P O Box 122</v>
      </c>
      <c r="Z302" t="str">
        <f>"Southport"</f>
        <v>Southport</v>
      </c>
      <c r="AA302" t="str">
        <f>"4215"</f>
        <v>4215</v>
      </c>
      <c r="AB302" t="str">
        <f t="shared" si="119"/>
        <v>Australia</v>
      </c>
      <c r="AC302" t="str">
        <f t="shared" si="120"/>
        <v>No</v>
      </c>
      <c r="AD302" t="str">
        <f>"17126470380"</f>
        <v>17126470380</v>
      </c>
      <c r="AE302" t="str">
        <f t="shared" si="125"/>
        <v>ADMIN OFFICER</v>
      </c>
      <c r="AF302" t="str">
        <f t="shared" si="126"/>
        <v>(02) 6271 1000</v>
      </c>
      <c r="AG302" t="str">
        <f>""</f>
        <v/>
      </c>
      <c r="AH302" t="str">
        <f>""</f>
        <v/>
      </c>
      <c r="AI302" t="str">
        <f t="shared" si="127"/>
        <v>CORPORATE TREASURY [OLD] Corporate Treasury</v>
      </c>
      <c r="AJ302" t="str">
        <f t="shared" si="128"/>
        <v>2603</v>
      </c>
    </row>
    <row r="303" spans="1:36" x14ac:dyDescent="0.25">
      <c r="A303" t="str">
        <f t="shared" si="111"/>
        <v>Department of Communications</v>
      </c>
      <c r="B303" t="str">
        <f>""</f>
        <v/>
      </c>
      <c r="C303" t="str">
        <f>"CN2935462"</f>
        <v>CN2935462</v>
      </c>
      <c r="D303" t="str">
        <f t="shared" si="121"/>
        <v>Leesa O'connor</v>
      </c>
      <c r="E303" s="44">
        <v>42086.617361111108</v>
      </c>
      <c r="F303" t="s">
        <v>2508</v>
      </c>
      <c r="G303" t="str">
        <f t="shared" si="112"/>
        <v>published</v>
      </c>
      <c r="H303" s="45">
        <v>42005</v>
      </c>
      <c r="I303" s="45">
        <v>42368</v>
      </c>
      <c r="J303" s="46">
        <v>99975.27</v>
      </c>
      <c r="K303" t="s">
        <v>1860</v>
      </c>
      <c r="L303" t="str">
        <f>"0004604883"</f>
        <v>0004604883</v>
      </c>
      <c r="M303" t="str">
        <f>"Software maintenance and support"</f>
        <v>Software maintenance and support</v>
      </c>
      <c r="N303" t="str">
        <f>"Limited tender"</f>
        <v>Limited tender</v>
      </c>
      <c r="O303" t="str">
        <f>""</f>
        <v/>
      </c>
      <c r="Q303" t="str">
        <f t="shared" si="129"/>
        <v>No</v>
      </c>
      <c r="R303" t="str">
        <f>""</f>
        <v/>
      </c>
      <c r="S303" t="str">
        <f t="shared" si="124"/>
        <v>No</v>
      </c>
      <c r="T303" t="str">
        <f>""</f>
        <v/>
      </c>
      <c r="U303" t="str">
        <f t="shared" si="123"/>
        <v>No</v>
      </c>
      <c r="V303" t="str">
        <f>""</f>
        <v/>
      </c>
      <c r="X303" t="str">
        <f>"SAP AUSTRALIA PTY LTD"</f>
        <v>SAP AUSTRALIA PTY LTD</v>
      </c>
      <c r="Y303" t="str">
        <f>"LEVEL 1, 168 WALKER STREET"</f>
        <v>LEVEL 1, 168 WALKER STREET</v>
      </c>
      <c r="Z303" t="str">
        <f>"NORTH SYDNEY"</f>
        <v>NORTH SYDNEY</v>
      </c>
      <c r="AA303" t="str">
        <f>"2060"</f>
        <v>2060</v>
      </c>
      <c r="AB303" t="str">
        <f t="shared" si="119"/>
        <v>Australia</v>
      </c>
      <c r="AC303" t="str">
        <f t="shared" si="120"/>
        <v>No</v>
      </c>
      <c r="AD303" t="str">
        <f>"26003682504"</f>
        <v>26003682504</v>
      </c>
      <c r="AE303" t="str">
        <f t="shared" si="125"/>
        <v>ADMIN OFFICER</v>
      </c>
      <c r="AF303" t="str">
        <f t="shared" si="126"/>
        <v>(02) 6271 1000</v>
      </c>
      <c r="AG303" t="str">
        <f>""</f>
        <v/>
      </c>
      <c r="AH303" t="str">
        <f>""</f>
        <v/>
      </c>
      <c r="AI303" t="str">
        <f t="shared" si="127"/>
        <v>CORPORATE TREASURY [OLD] Corporate Treasury</v>
      </c>
      <c r="AJ303" t="str">
        <f t="shared" si="128"/>
        <v>2603</v>
      </c>
    </row>
    <row r="304" spans="1:36" x14ac:dyDescent="0.25">
      <c r="A304" t="str">
        <f t="shared" si="111"/>
        <v>Department of Communications</v>
      </c>
      <c r="B304" t="str">
        <f>""</f>
        <v/>
      </c>
      <c r="C304" t="str">
        <f>"CN2935452"</f>
        <v>CN2935452</v>
      </c>
      <c r="D304" t="str">
        <f t="shared" si="121"/>
        <v>Leesa O'connor</v>
      </c>
      <c r="E304" s="44">
        <v>42086.617361111108</v>
      </c>
      <c r="F304" t="s">
        <v>2508</v>
      </c>
      <c r="G304" t="str">
        <f t="shared" si="112"/>
        <v>published</v>
      </c>
      <c r="H304" s="45">
        <v>42080</v>
      </c>
      <c r="I304" s="45">
        <v>42444</v>
      </c>
      <c r="J304" s="46">
        <v>14000</v>
      </c>
      <c r="K304" t="s">
        <v>1863</v>
      </c>
      <c r="L304" t="str">
        <f>"0004604884"</f>
        <v>0004604884</v>
      </c>
      <c r="M304" t="str">
        <f>"Education and Training Services"</f>
        <v>Education and Training Services</v>
      </c>
      <c r="N304" t="str">
        <f>"Limited tender"</f>
        <v>Limited tender</v>
      </c>
      <c r="O304" t="str">
        <f>""</f>
        <v/>
      </c>
      <c r="Q304" t="str">
        <f t="shared" si="129"/>
        <v>No</v>
      </c>
      <c r="R304" t="str">
        <f>""</f>
        <v/>
      </c>
      <c r="S304" t="str">
        <f t="shared" si="124"/>
        <v>No</v>
      </c>
      <c r="T304" t="str">
        <f>""</f>
        <v/>
      </c>
      <c r="U304" t="str">
        <f t="shared" si="123"/>
        <v>No</v>
      </c>
      <c r="V304" t="str">
        <f>""</f>
        <v/>
      </c>
      <c r="X304" t="str">
        <f>"SAP AUSTRALIA PTY LTD"</f>
        <v>SAP AUSTRALIA PTY LTD</v>
      </c>
      <c r="Y304" t="str">
        <f>"LEVEL 1, 168 WALKER STREET"</f>
        <v>LEVEL 1, 168 WALKER STREET</v>
      </c>
      <c r="Z304" t="str">
        <f>"NORTH SYDNEY"</f>
        <v>NORTH SYDNEY</v>
      </c>
      <c r="AA304" t="str">
        <f>"2060"</f>
        <v>2060</v>
      </c>
      <c r="AB304" t="str">
        <f t="shared" si="119"/>
        <v>Australia</v>
      </c>
      <c r="AC304" t="str">
        <f t="shared" si="120"/>
        <v>No</v>
      </c>
      <c r="AD304" t="str">
        <f>"26003682504"</f>
        <v>26003682504</v>
      </c>
      <c r="AE304" t="str">
        <f t="shared" si="125"/>
        <v>ADMIN OFFICER</v>
      </c>
      <c r="AF304" t="str">
        <f t="shared" si="126"/>
        <v>(02) 6271 1000</v>
      </c>
      <c r="AG304" t="str">
        <f>""</f>
        <v/>
      </c>
      <c r="AH304" t="str">
        <f>""</f>
        <v/>
      </c>
      <c r="AI304" t="str">
        <f t="shared" si="127"/>
        <v>CORPORATE TREASURY [OLD] Corporate Treasury</v>
      </c>
      <c r="AJ304" t="str">
        <f t="shared" si="128"/>
        <v>2603</v>
      </c>
    </row>
    <row r="305" spans="1:36" x14ac:dyDescent="0.25">
      <c r="A305" t="str">
        <f t="shared" si="111"/>
        <v>Department of Communications</v>
      </c>
      <c r="B305" t="str">
        <f>""</f>
        <v/>
      </c>
      <c r="C305" t="str">
        <f>"CN3139712"</f>
        <v>CN3139712</v>
      </c>
      <c r="D305" t="str">
        <f>"David Kenny"</f>
        <v>David Kenny</v>
      </c>
      <c r="E305" s="44">
        <v>42164.624305555553</v>
      </c>
      <c r="F305" t="s">
        <v>2508</v>
      </c>
      <c r="G305" t="str">
        <f t="shared" si="112"/>
        <v>published</v>
      </c>
      <c r="H305" s="45">
        <v>42079</v>
      </c>
      <c r="I305" s="45">
        <v>42185</v>
      </c>
      <c r="J305" s="46">
        <v>36100</v>
      </c>
      <c r="K305" t="s">
        <v>1866</v>
      </c>
      <c r="L305" t="str">
        <f>"0004604885"</f>
        <v>0004604885</v>
      </c>
      <c r="M305" t="str">
        <f>"Stationery"</f>
        <v>Stationery</v>
      </c>
      <c r="N305" t="str">
        <f>"Open tender"</f>
        <v>Open tender</v>
      </c>
      <c r="O305" t="str">
        <f>"FIN11/FMG010"</f>
        <v>FIN11/FMG010</v>
      </c>
      <c r="P305" t="str">
        <f>"SON473022"</f>
        <v>SON473022</v>
      </c>
      <c r="Q305" t="str">
        <f t="shared" si="129"/>
        <v>No</v>
      </c>
      <c r="R305" t="str">
        <f>""</f>
        <v/>
      </c>
      <c r="S305" t="str">
        <f t="shared" si="124"/>
        <v>No</v>
      </c>
      <c r="T305" t="str">
        <f>""</f>
        <v/>
      </c>
      <c r="U305" t="str">
        <f t="shared" si="123"/>
        <v>No</v>
      </c>
      <c r="V305" t="str">
        <f>""</f>
        <v/>
      </c>
      <c r="X305" t="str">
        <f>"COMPLETE OFFICE SUPPLIES"</f>
        <v>COMPLETE OFFICE SUPPLIES</v>
      </c>
      <c r="Y305" t="str">
        <f>"PO BOX 502"</f>
        <v>PO BOX 502</v>
      </c>
      <c r="Z305" t="str">
        <f>"Rydalmere"</f>
        <v>Rydalmere</v>
      </c>
      <c r="AA305" t="str">
        <f>"1701"</f>
        <v>1701</v>
      </c>
      <c r="AB305" t="str">
        <f t="shared" si="119"/>
        <v>Australia</v>
      </c>
      <c r="AC305" t="str">
        <f t="shared" si="120"/>
        <v>No</v>
      </c>
      <c r="AD305" t="str">
        <f>"92001634715"</f>
        <v>92001634715</v>
      </c>
      <c r="AE305" t="str">
        <f t="shared" si="125"/>
        <v>ADMIN OFFICER</v>
      </c>
      <c r="AF305" t="str">
        <f t="shared" si="126"/>
        <v>(02) 6271 1000</v>
      </c>
      <c r="AG305" t="str">
        <f>""</f>
        <v/>
      </c>
      <c r="AH305" t="str">
        <f>""</f>
        <v/>
      </c>
      <c r="AI305" t="str">
        <f t="shared" si="127"/>
        <v>CORPORATE TREASURY [OLD] Corporate Treasury</v>
      </c>
      <c r="AJ305" t="str">
        <f t="shared" si="128"/>
        <v>2603</v>
      </c>
    </row>
    <row r="306" spans="1:36" x14ac:dyDescent="0.25">
      <c r="A306" t="str">
        <f t="shared" si="111"/>
        <v>Department of Communications</v>
      </c>
      <c r="B306" t="str">
        <f>""</f>
        <v/>
      </c>
      <c r="C306" t="str">
        <f>"CN2935442"</f>
        <v>CN2935442</v>
      </c>
      <c r="D306" t="str">
        <f t="shared" ref="D306:D325" si="130">"Leesa O'connor"</f>
        <v>Leesa O'connor</v>
      </c>
      <c r="E306" s="44">
        <v>42086.617361111108</v>
      </c>
      <c r="F306" t="s">
        <v>2508</v>
      </c>
      <c r="G306" t="str">
        <f t="shared" si="112"/>
        <v>published</v>
      </c>
      <c r="H306" s="45">
        <v>42081</v>
      </c>
      <c r="I306" s="45">
        <v>42155</v>
      </c>
      <c r="J306" s="46">
        <v>317018.39</v>
      </c>
      <c r="K306" t="s">
        <v>1874</v>
      </c>
      <c r="L306" t="str">
        <f>"0004604887"</f>
        <v>0004604887</v>
      </c>
      <c r="M306" t="str">
        <f>"Software"</f>
        <v>Software</v>
      </c>
      <c r="N306" t="str">
        <f>"Open tender"</f>
        <v>Open tender</v>
      </c>
      <c r="O306" t="str">
        <f>"DCON/09/67"</f>
        <v>DCON/09/67</v>
      </c>
      <c r="P306" t="str">
        <f>"SON269193"</f>
        <v>SON269193</v>
      </c>
      <c r="Q306" t="str">
        <f t="shared" si="129"/>
        <v>No</v>
      </c>
      <c r="R306" t="str">
        <f>""</f>
        <v/>
      </c>
      <c r="S306" t="str">
        <f t="shared" si="124"/>
        <v>No</v>
      </c>
      <c r="T306" t="str">
        <f>""</f>
        <v/>
      </c>
      <c r="U306" t="str">
        <f t="shared" si="123"/>
        <v>No</v>
      </c>
      <c r="V306" t="str">
        <f>""</f>
        <v/>
      </c>
      <c r="X306" t="str">
        <f>"ASG Group Limited"</f>
        <v>ASG Group Limited</v>
      </c>
      <c r="Y306" t="str">
        <f>"Level 1, 267 Georges Terrace"</f>
        <v>Level 1, 267 Georges Terrace</v>
      </c>
      <c r="Z306" t="str">
        <f>"Perth"</f>
        <v>Perth</v>
      </c>
      <c r="AA306" t="str">
        <f>"6000"</f>
        <v>6000</v>
      </c>
      <c r="AB306" t="str">
        <f t="shared" si="119"/>
        <v>Australia</v>
      </c>
      <c r="AC306" t="str">
        <f t="shared" si="120"/>
        <v>No</v>
      </c>
      <c r="AD306" t="str">
        <f>"57070045117"</f>
        <v>57070045117</v>
      </c>
      <c r="AE306" t="str">
        <f t="shared" si="125"/>
        <v>ADMIN OFFICER</v>
      </c>
      <c r="AF306" t="str">
        <f t="shared" si="126"/>
        <v>(02) 6271 1000</v>
      </c>
      <c r="AG306" t="str">
        <f>""</f>
        <v/>
      </c>
      <c r="AH306" t="str">
        <f>""</f>
        <v/>
      </c>
      <c r="AI306" t="str">
        <f t="shared" si="127"/>
        <v>CORPORATE TREASURY [OLD] Corporate Treasury</v>
      </c>
      <c r="AJ306" t="str">
        <f t="shared" si="128"/>
        <v>2603</v>
      </c>
    </row>
    <row r="307" spans="1:36" x14ac:dyDescent="0.25">
      <c r="A307" t="str">
        <f t="shared" si="111"/>
        <v>Department of Communications</v>
      </c>
      <c r="B307" t="str">
        <f>""</f>
        <v/>
      </c>
      <c r="C307" t="str">
        <f>"CN2935432"</f>
        <v>CN2935432</v>
      </c>
      <c r="D307" t="str">
        <f t="shared" si="130"/>
        <v>Leesa O'connor</v>
      </c>
      <c r="E307" s="44">
        <v>42086.617361111108</v>
      </c>
      <c r="F307" t="s">
        <v>2508</v>
      </c>
      <c r="G307" t="str">
        <f t="shared" si="112"/>
        <v>published</v>
      </c>
      <c r="H307" s="45">
        <v>42083</v>
      </c>
      <c r="I307" s="45">
        <v>42185</v>
      </c>
      <c r="J307" s="46">
        <v>35000</v>
      </c>
      <c r="K307" t="s">
        <v>1876</v>
      </c>
      <c r="L307" t="str">
        <f>"0004604888"</f>
        <v>0004604888</v>
      </c>
      <c r="M307" t="str">
        <f>"Building support services"</f>
        <v>Building support services</v>
      </c>
      <c r="N307" t="str">
        <f>"Open tender"</f>
        <v>Open tender</v>
      </c>
      <c r="O307" t="str">
        <f>"NA1000"</f>
        <v>NA1000</v>
      </c>
      <c r="Q307" t="str">
        <f t="shared" si="129"/>
        <v>No</v>
      </c>
      <c r="R307" t="str">
        <f>""</f>
        <v/>
      </c>
      <c r="S307" t="str">
        <f t="shared" si="124"/>
        <v>No</v>
      </c>
      <c r="T307" t="str">
        <f>""</f>
        <v/>
      </c>
      <c r="U307" t="str">
        <f t="shared" si="123"/>
        <v>No</v>
      </c>
      <c r="V307" t="str">
        <f>""</f>
        <v/>
      </c>
      <c r="X307" t="str">
        <f>"NEF Consulting Services"</f>
        <v>NEF Consulting Services</v>
      </c>
      <c r="Y307" t="str">
        <f>"PO Box 260"</f>
        <v>PO Box 260</v>
      </c>
      <c r="Z307" t="str">
        <f>"Dickson"</f>
        <v>Dickson</v>
      </c>
      <c r="AA307" t="str">
        <f>"2602"</f>
        <v>2602</v>
      </c>
      <c r="AB307" t="str">
        <f t="shared" si="119"/>
        <v>Australia</v>
      </c>
      <c r="AC307" t="str">
        <f t="shared" si="120"/>
        <v>No</v>
      </c>
      <c r="AD307" t="str">
        <f>"17125808188"</f>
        <v>17125808188</v>
      </c>
      <c r="AE307" t="str">
        <f t="shared" si="125"/>
        <v>ADMIN OFFICER</v>
      </c>
      <c r="AF307" t="str">
        <f t="shared" si="126"/>
        <v>(02) 6271 1000</v>
      </c>
      <c r="AG307" t="str">
        <f>""</f>
        <v/>
      </c>
      <c r="AH307" t="str">
        <f>""</f>
        <v/>
      </c>
      <c r="AI307" t="str">
        <f t="shared" si="127"/>
        <v>CORPORATE TREASURY [OLD] Corporate Treasury</v>
      </c>
      <c r="AJ307" t="str">
        <f t="shared" si="128"/>
        <v>2603</v>
      </c>
    </row>
    <row r="308" spans="1:36" x14ac:dyDescent="0.25">
      <c r="A308" t="str">
        <f t="shared" si="111"/>
        <v>Department of Communications</v>
      </c>
      <c r="B308" t="str">
        <f>""</f>
        <v/>
      </c>
      <c r="C308" t="str">
        <f>"CN2935422"</f>
        <v>CN2935422</v>
      </c>
      <c r="D308" t="str">
        <f t="shared" si="130"/>
        <v>Leesa O'connor</v>
      </c>
      <c r="E308" s="44">
        <v>42086.616666666669</v>
      </c>
      <c r="F308" t="s">
        <v>2508</v>
      </c>
      <c r="G308" t="str">
        <f t="shared" si="112"/>
        <v>published</v>
      </c>
      <c r="H308" s="45">
        <v>42039</v>
      </c>
      <c r="I308" s="45">
        <v>42082</v>
      </c>
      <c r="J308" s="46">
        <v>20700.900000000001</v>
      </c>
      <c r="K308" t="s">
        <v>1878</v>
      </c>
      <c r="L308" t="str">
        <f>"0004604889"</f>
        <v>0004604889</v>
      </c>
      <c r="M308" t="str">
        <f>"Temporary personnel services"</f>
        <v>Temporary personnel services</v>
      </c>
      <c r="N308" t="str">
        <f>"Open tender"</f>
        <v>Open tender</v>
      </c>
      <c r="O308" t="str">
        <f>"DCON/12/244"</f>
        <v>DCON/12/244</v>
      </c>
      <c r="P308" t="str">
        <f>"SON1180562"</f>
        <v>SON1180562</v>
      </c>
      <c r="Q308" t="str">
        <f t="shared" si="129"/>
        <v>No</v>
      </c>
      <c r="R308" t="str">
        <f>""</f>
        <v/>
      </c>
      <c r="S308" t="str">
        <f t="shared" si="124"/>
        <v>No</v>
      </c>
      <c r="T308" t="str">
        <f>""</f>
        <v/>
      </c>
      <c r="U308" t="str">
        <f t="shared" si="123"/>
        <v>No</v>
      </c>
      <c r="V308" t="str">
        <f>""</f>
        <v/>
      </c>
      <c r="X308" t="str">
        <f>"HAYS PERSONNEL SERVICES (AUST) P/L"</f>
        <v>HAYS PERSONNEL SERVICES (AUST) P/L</v>
      </c>
      <c r="Y308" t="str">
        <f>"GPO BOX 3868"</f>
        <v>GPO BOX 3868</v>
      </c>
      <c r="Z308" t="str">
        <f>"SYDNEY"</f>
        <v>SYDNEY</v>
      </c>
      <c r="AA308" t="str">
        <f>"2001"</f>
        <v>2001</v>
      </c>
      <c r="AB308" t="str">
        <f t="shared" si="119"/>
        <v>Australia</v>
      </c>
      <c r="AC308" t="str">
        <f t="shared" si="120"/>
        <v>No</v>
      </c>
      <c r="AD308" t="str">
        <f>"47001407281"</f>
        <v>47001407281</v>
      </c>
      <c r="AE308" t="str">
        <f t="shared" si="125"/>
        <v>ADMIN OFFICER</v>
      </c>
      <c r="AF308" t="str">
        <f t="shared" si="126"/>
        <v>(02) 6271 1000</v>
      </c>
      <c r="AG308" t="str">
        <f>""</f>
        <v/>
      </c>
      <c r="AH308" t="str">
        <f>""</f>
        <v/>
      </c>
      <c r="AI308" t="str">
        <f t="shared" si="127"/>
        <v>CORPORATE TREASURY [OLD] Corporate Treasury</v>
      </c>
      <c r="AJ308" t="str">
        <f t="shared" si="128"/>
        <v>2603</v>
      </c>
    </row>
    <row r="309" spans="1:36" x14ac:dyDescent="0.25">
      <c r="A309" t="str">
        <f t="shared" si="111"/>
        <v>Department of Communications</v>
      </c>
      <c r="B309" t="str">
        <f>""</f>
        <v/>
      </c>
      <c r="C309" t="str">
        <f>"CN2935412"</f>
        <v>CN2935412</v>
      </c>
      <c r="D309" t="str">
        <f t="shared" si="130"/>
        <v>Leesa O'connor</v>
      </c>
      <c r="E309" s="44">
        <v>42086.616666666669</v>
      </c>
      <c r="F309" t="s">
        <v>2508</v>
      </c>
      <c r="G309" t="str">
        <f t="shared" si="112"/>
        <v>published</v>
      </c>
      <c r="H309" s="45">
        <v>42076</v>
      </c>
      <c r="I309" s="45">
        <v>42185</v>
      </c>
      <c r="J309" s="46">
        <v>16500</v>
      </c>
      <c r="K309" t="s">
        <v>2301</v>
      </c>
      <c r="L309" t="str">
        <f>"0004604891"</f>
        <v>0004604891</v>
      </c>
      <c r="M309" t="str">
        <f>"Legal services"</f>
        <v>Legal services</v>
      </c>
      <c r="N309" t="str">
        <f>"Prequalified tender"</f>
        <v>Prequalified tender</v>
      </c>
      <c r="O309" t="str">
        <f>""</f>
        <v/>
      </c>
      <c r="Q309" t="str">
        <f>"Yes"</f>
        <v>Yes</v>
      </c>
      <c r="R309" t="str">
        <f>"Intellectual property"</f>
        <v>Intellectual property</v>
      </c>
      <c r="S309" t="str">
        <f>"Yes"</f>
        <v>Yes</v>
      </c>
      <c r="T309" t="str">
        <f>"Intellectual property"</f>
        <v>Intellectual property</v>
      </c>
      <c r="U309" t="str">
        <f>"Yes"</f>
        <v>Yes</v>
      </c>
      <c r="V309" t="str">
        <f>"Need for specialised or professional skills"</f>
        <v>Need for specialised or professional skills</v>
      </c>
      <c r="X309" t="str">
        <f>"AUSTRALIAN GOVERNMENT SOLICITOR"</f>
        <v>AUSTRALIAN GOVERNMENT SOLICITOR</v>
      </c>
      <c r="Y309" t="str">
        <f>"Locked Bag 7246"</f>
        <v>Locked Bag 7246</v>
      </c>
      <c r="Z309" t="str">
        <f>"Canberra Mail Centre"</f>
        <v>Canberra Mail Centre</v>
      </c>
      <c r="AA309" t="str">
        <f>"2610"</f>
        <v>2610</v>
      </c>
      <c r="AB309" t="str">
        <f t="shared" si="119"/>
        <v>Australia</v>
      </c>
      <c r="AC309" t="str">
        <f t="shared" si="120"/>
        <v>No</v>
      </c>
      <c r="AD309" t="str">
        <f>"69405937639"</f>
        <v>69405937639</v>
      </c>
      <c r="AE309" t="str">
        <f>"PROCUREMENT MANAGER"</f>
        <v>PROCUREMENT MANAGER</v>
      </c>
      <c r="AF309" t="str">
        <f t="shared" si="126"/>
        <v>(02) 6271 1000</v>
      </c>
      <c r="AG309" t="str">
        <f>""</f>
        <v/>
      </c>
      <c r="AH309" t="str">
        <f>""</f>
        <v/>
      </c>
      <c r="AI309" t="str">
        <f>"GENERAL COUNSEL Office of the General Counsel"</f>
        <v>GENERAL COUNSEL Office of the General Counsel</v>
      </c>
      <c r="AJ309" t="str">
        <f t="shared" si="128"/>
        <v>2603</v>
      </c>
    </row>
    <row r="310" spans="1:36" x14ac:dyDescent="0.25">
      <c r="A310" t="str">
        <f t="shared" si="111"/>
        <v>Department of Communications</v>
      </c>
      <c r="B310" t="str">
        <f>""</f>
        <v/>
      </c>
      <c r="C310" t="str">
        <f>"CN2935402"</f>
        <v>CN2935402</v>
      </c>
      <c r="D310" t="str">
        <f t="shared" si="130"/>
        <v>Leesa O'connor</v>
      </c>
      <c r="E310" s="44">
        <v>42086.616666666669</v>
      </c>
      <c r="F310" t="s">
        <v>2508</v>
      </c>
      <c r="G310" t="str">
        <f t="shared" si="112"/>
        <v>published</v>
      </c>
      <c r="H310" s="45">
        <v>42086</v>
      </c>
      <c r="I310" s="45">
        <v>42400</v>
      </c>
      <c r="J310" s="46">
        <v>14071.88</v>
      </c>
      <c r="K310" t="s">
        <v>1880</v>
      </c>
      <c r="L310" t="str">
        <f>"0004604892"</f>
        <v>0004604892</v>
      </c>
      <c r="M310" t="str">
        <f>"Temporary personnel services"</f>
        <v>Temporary personnel services</v>
      </c>
      <c r="N310" t="str">
        <f>"Limited tender"</f>
        <v>Limited tender</v>
      </c>
      <c r="O310" t="str">
        <f>""</f>
        <v/>
      </c>
      <c r="Q310" t="str">
        <f t="shared" ref="Q310:Q315" si="131">"No"</f>
        <v>No</v>
      </c>
      <c r="R310" t="str">
        <f>""</f>
        <v/>
      </c>
      <c r="S310" t="str">
        <f t="shared" ref="S310:S315" si="132">"No"</f>
        <v>No</v>
      </c>
      <c r="T310" t="str">
        <f>""</f>
        <v/>
      </c>
      <c r="U310" t="str">
        <f>"No"</f>
        <v>No</v>
      </c>
      <c r="V310" t="str">
        <f>""</f>
        <v/>
      </c>
      <c r="X310" t="str">
        <f>"Doyle Executive, Accounting"</f>
        <v>Doyle Executive, Accounting</v>
      </c>
      <c r="Y310" t="str">
        <f>"616/25 Edinburgh Avenue"</f>
        <v>616/25 Edinburgh Avenue</v>
      </c>
      <c r="Z310" t="str">
        <f>"Canberra"</f>
        <v>Canberra</v>
      </c>
      <c r="AA310" t="str">
        <f>"2601"</f>
        <v>2601</v>
      </c>
      <c r="AB310" t="str">
        <f t="shared" si="119"/>
        <v>Australia</v>
      </c>
      <c r="AC310" t="str">
        <f t="shared" si="120"/>
        <v>No</v>
      </c>
      <c r="AD310" t="str">
        <f>"81163707604"</f>
        <v>81163707604</v>
      </c>
      <c r="AE310" t="str">
        <f>"ADMIN OFFICER"</f>
        <v>ADMIN OFFICER</v>
      </c>
      <c r="AF310" t="str">
        <f t="shared" si="126"/>
        <v>(02) 6271 1000</v>
      </c>
      <c r="AG310" t="str">
        <f>""</f>
        <v/>
      </c>
      <c r="AH310" t="str">
        <f>""</f>
        <v/>
      </c>
      <c r="AI310" t="str">
        <f>"CORPORATE TREASURY [OLD] Corporate Treasury"</f>
        <v>CORPORATE TREASURY [OLD] Corporate Treasury</v>
      </c>
      <c r="AJ310" t="str">
        <f t="shared" si="128"/>
        <v>2603</v>
      </c>
    </row>
    <row r="311" spans="1:36" x14ac:dyDescent="0.25">
      <c r="A311" t="str">
        <f t="shared" si="111"/>
        <v>Department of Communications</v>
      </c>
      <c r="B311" t="str">
        <f>""</f>
        <v/>
      </c>
      <c r="C311" t="str">
        <f>"CN2947572"</f>
        <v>CN2947572</v>
      </c>
      <c r="D311" t="str">
        <f t="shared" si="130"/>
        <v>Leesa O'connor</v>
      </c>
      <c r="E311" s="44">
        <v>42090.460416666669</v>
      </c>
      <c r="F311" t="s">
        <v>2508</v>
      </c>
      <c r="G311" t="str">
        <f t="shared" si="112"/>
        <v>published</v>
      </c>
      <c r="H311" s="45">
        <v>42095</v>
      </c>
      <c r="I311" s="45">
        <v>42185</v>
      </c>
      <c r="J311" s="46">
        <v>128700</v>
      </c>
      <c r="K311" t="s">
        <v>1881</v>
      </c>
      <c r="L311" t="str">
        <f>"0004604893"</f>
        <v>0004604893</v>
      </c>
      <c r="M311" t="str">
        <f>"Software maintenance and support"</f>
        <v>Software maintenance and support</v>
      </c>
      <c r="N311" t="str">
        <f>"Open tender"</f>
        <v>Open tender</v>
      </c>
      <c r="O311" t="str">
        <f>"11/000006268"</f>
        <v>11/000006268</v>
      </c>
      <c r="P311" t="str">
        <f>"SON867801"</f>
        <v>SON867801</v>
      </c>
      <c r="Q311" t="str">
        <f t="shared" si="131"/>
        <v>No</v>
      </c>
      <c r="R311" t="str">
        <f>""</f>
        <v/>
      </c>
      <c r="S311" t="str">
        <f t="shared" si="132"/>
        <v>No</v>
      </c>
      <c r="T311" t="str">
        <f>""</f>
        <v/>
      </c>
      <c r="U311" t="str">
        <f>"No"</f>
        <v>No</v>
      </c>
      <c r="V311" t="str">
        <f>""</f>
        <v/>
      </c>
      <c r="X311" t="str">
        <f>"Omaha IT Services Pty Ltd"</f>
        <v>Omaha IT Services Pty Ltd</v>
      </c>
      <c r="Y311" t="str">
        <f>"PO Box 196"</f>
        <v>PO Box 196</v>
      </c>
      <c r="Z311" t="str">
        <f>"Calwell"</f>
        <v>Calwell</v>
      </c>
      <c r="AA311" t="str">
        <f>"2905"</f>
        <v>2905</v>
      </c>
      <c r="AB311" t="str">
        <f t="shared" si="119"/>
        <v>Australia</v>
      </c>
      <c r="AC311" t="str">
        <f t="shared" si="120"/>
        <v>No</v>
      </c>
      <c r="AD311" t="str">
        <f>"50050494196"</f>
        <v>50050494196</v>
      </c>
      <c r="AE311" t="str">
        <f>"ADMIN OFFICER"</f>
        <v>ADMIN OFFICER</v>
      </c>
      <c r="AF311" t="str">
        <f t="shared" si="126"/>
        <v>(02) 6271 1000</v>
      </c>
      <c r="AG311" t="str">
        <f>""</f>
        <v/>
      </c>
      <c r="AH311" t="str">
        <f>""</f>
        <v/>
      </c>
      <c r="AI311" t="str">
        <f>"CORPORATE TREASURY [OLD] Corporate Treasury"</f>
        <v>CORPORATE TREASURY [OLD] Corporate Treasury</v>
      </c>
      <c r="AJ311" t="str">
        <f t="shared" si="128"/>
        <v>2603</v>
      </c>
    </row>
    <row r="312" spans="1:36" x14ac:dyDescent="0.25">
      <c r="A312" t="str">
        <f t="shared" si="111"/>
        <v>Department of Communications</v>
      </c>
      <c r="B312" t="str">
        <f>""</f>
        <v/>
      </c>
      <c r="C312" t="str">
        <f>"CN2947562"</f>
        <v>CN2947562</v>
      </c>
      <c r="D312" t="str">
        <f t="shared" si="130"/>
        <v>Leesa O'connor</v>
      </c>
      <c r="E312" s="44">
        <v>42090.460416666669</v>
      </c>
      <c r="F312" t="s">
        <v>2508</v>
      </c>
      <c r="G312" t="str">
        <f t="shared" si="112"/>
        <v>published</v>
      </c>
      <c r="H312" s="45">
        <v>42062</v>
      </c>
      <c r="I312" s="45">
        <v>42124</v>
      </c>
      <c r="J312" s="46">
        <v>90200</v>
      </c>
      <c r="K312" t="s">
        <v>1885</v>
      </c>
      <c r="L312" t="str">
        <f>"0004604895"</f>
        <v>0004604895</v>
      </c>
      <c r="M312" t="str">
        <f>"Information technology consultation services"</f>
        <v>Information technology consultation services</v>
      </c>
      <c r="N312" t="str">
        <f>"Open tender"</f>
        <v>Open tender</v>
      </c>
      <c r="O312" t="str">
        <f>"11/000006268"</f>
        <v>11/000006268</v>
      </c>
      <c r="P312" t="str">
        <f>"SON867801"</f>
        <v>SON867801</v>
      </c>
      <c r="Q312" t="str">
        <f t="shared" si="131"/>
        <v>No</v>
      </c>
      <c r="R312" t="str">
        <f>""</f>
        <v/>
      </c>
      <c r="S312" t="str">
        <f t="shared" si="132"/>
        <v>No</v>
      </c>
      <c r="T312" t="str">
        <f>""</f>
        <v/>
      </c>
      <c r="U312" t="str">
        <f>"No"</f>
        <v>No</v>
      </c>
      <c r="V312" t="str">
        <f>""</f>
        <v/>
      </c>
      <c r="X312" t="str">
        <f>"Business Aspect (ACT) Pty Ltd"</f>
        <v>Business Aspect (ACT) Pty Ltd</v>
      </c>
      <c r="Y312" t="str">
        <f>"PO Box PO BOX 641"</f>
        <v>PO Box PO BOX 641</v>
      </c>
      <c r="Z312" t="str">
        <f>"Spring Hill"</f>
        <v>Spring Hill</v>
      </c>
      <c r="AA312" t="str">
        <f>"4004"</f>
        <v>4004</v>
      </c>
      <c r="AB312" t="str">
        <f t="shared" si="119"/>
        <v>Australia</v>
      </c>
      <c r="AC312" t="str">
        <f t="shared" si="120"/>
        <v>No</v>
      </c>
      <c r="AD312" t="str">
        <f>"61121411274"</f>
        <v>61121411274</v>
      </c>
      <c r="AE312" t="str">
        <f>"ADMIN OFFICER"</f>
        <v>ADMIN OFFICER</v>
      </c>
      <c r="AF312" t="str">
        <f t="shared" si="126"/>
        <v>(02) 6271 1000</v>
      </c>
      <c r="AG312" t="str">
        <f>""</f>
        <v/>
      </c>
      <c r="AH312" t="str">
        <f>""</f>
        <v/>
      </c>
      <c r="AI312" t="str">
        <f>"CORPORATE TREASURY [OLD] Corporate Treasury"</f>
        <v>CORPORATE TREASURY [OLD] Corporate Treasury</v>
      </c>
      <c r="AJ312" t="str">
        <f t="shared" si="128"/>
        <v>2603</v>
      </c>
    </row>
    <row r="313" spans="1:36" x14ac:dyDescent="0.25">
      <c r="A313" t="str">
        <f t="shared" si="111"/>
        <v>Department of Communications</v>
      </c>
      <c r="B313" t="str">
        <f>""</f>
        <v/>
      </c>
      <c r="C313" t="str">
        <f>"CN2947552"</f>
        <v>CN2947552</v>
      </c>
      <c r="D313" t="str">
        <f t="shared" si="130"/>
        <v>Leesa O'connor</v>
      </c>
      <c r="E313" s="44">
        <v>42090.460416666669</v>
      </c>
      <c r="F313" t="s">
        <v>2508</v>
      </c>
      <c r="G313" t="str">
        <f t="shared" si="112"/>
        <v>published</v>
      </c>
      <c r="H313" s="45">
        <v>42066</v>
      </c>
      <c r="I313" s="45">
        <v>42139</v>
      </c>
      <c r="J313" s="46">
        <v>130680</v>
      </c>
      <c r="K313" t="s">
        <v>2120</v>
      </c>
      <c r="L313" t="str">
        <f>"0004604896"</f>
        <v>0004604896</v>
      </c>
      <c r="M313" t="str">
        <f>"Information technology consultation services"</f>
        <v>Information technology consultation services</v>
      </c>
      <c r="N313" t="str">
        <f>"Open tender"</f>
        <v>Open tender</v>
      </c>
      <c r="O313" t="str">
        <f>"DCON/12/133"</f>
        <v>DCON/12/133</v>
      </c>
      <c r="P313" t="str">
        <f>"SON1143842"</f>
        <v>SON1143842</v>
      </c>
      <c r="Q313" t="str">
        <f t="shared" si="131"/>
        <v>No</v>
      </c>
      <c r="R313" t="str">
        <f>""</f>
        <v/>
      </c>
      <c r="S313" t="str">
        <f t="shared" si="132"/>
        <v>No</v>
      </c>
      <c r="T313" t="str">
        <f>""</f>
        <v/>
      </c>
      <c r="U313" t="str">
        <f>"Yes"</f>
        <v>Yes</v>
      </c>
      <c r="V313" t="str">
        <f>"Need for specialised or professional skills"</f>
        <v>Need for specialised or professional skills</v>
      </c>
      <c r="X313" t="str">
        <f>"TAYLOR NELSON SOFRES AUSTRALIA PTY"</f>
        <v>TAYLOR NELSON SOFRES AUSTRALIA PTY</v>
      </c>
      <c r="Y313" t="str">
        <f>"48 PYRMONT ROAD"</f>
        <v>48 PYRMONT ROAD</v>
      </c>
      <c r="Z313" t="str">
        <f>"PYRMONT"</f>
        <v>PYRMONT</v>
      </c>
      <c r="AA313" t="str">
        <f>"2009"</f>
        <v>2009</v>
      </c>
      <c r="AB313" t="str">
        <f t="shared" si="119"/>
        <v>Australia</v>
      </c>
      <c r="AC313" t="str">
        <f t="shared" si="120"/>
        <v>No</v>
      </c>
      <c r="AD313" t="str">
        <f>"38000601221"</f>
        <v>38000601221</v>
      </c>
      <c r="AE313" t="str">
        <f>"PROCUREMENT MANAGER"</f>
        <v>PROCUREMENT MANAGER</v>
      </c>
      <c r="AF313" t="str">
        <f t="shared" si="126"/>
        <v>(02) 6271 1000</v>
      </c>
      <c r="AG313" t="str">
        <f>""</f>
        <v/>
      </c>
      <c r="AH313" t="str">
        <f>""</f>
        <v/>
      </c>
      <c r="AI313" t="str">
        <f>"DIGITAL PRODUCTIVITY Digital Productivity Division"</f>
        <v>DIGITAL PRODUCTIVITY Digital Productivity Division</v>
      </c>
      <c r="AJ313" t="str">
        <f t="shared" si="128"/>
        <v>2603</v>
      </c>
    </row>
    <row r="314" spans="1:36" x14ac:dyDescent="0.25">
      <c r="A314" t="str">
        <f t="shared" si="111"/>
        <v>Department of Communications</v>
      </c>
      <c r="B314" t="str">
        <f>""</f>
        <v/>
      </c>
      <c r="C314" t="str">
        <f>"CN2947542"</f>
        <v>CN2947542</v>
      </c>
      <c r="D314" t="str">
        <f t="shared" si="130"/>
        <v>Leesa O'connor</v>
      </c>
      <c r="E314" s="44">
        <v>42090.460416666669</v>
      </c>
      <c r="F314" t="s">
        <v>2508</v>
      </c>
      <c r="G314" t="str">
        <f t="shared" si="112"/>
        <v>published</v>
      </c>
      <c r="H314" s="45">
        <v>42083</v>
      </c>
      <c r="I314" s="45">
        <v>42185</v>
      </c>
      <c r="J314" s="46">
        <v>41250</v>
      </c>
      <c r="K314" t="s">
        <v>1889</v>
      </c>
      <c r="L314" t="str">
        <f>"0004604898"</f>
        <v>0004604898</v>
      </c>
      <c r="M314" t="str">
        <f>"Software or hardware engineering"</f>
        <v>Software or hardware engineering</v>
      </c>
      <c r="N314" t="str">
        <f>"Open tender"</f>
        <v>Open tender</v>
      </c>
      <c r="O314" t="str">
        <f>"DCON/09/67"</f>
        <v>DCON/09/67</v>
      </c>
      <c r="P314" t="str">
        <f>"SON269193"</f>
        <v>SON269193</v>
      </c>
      <c r="Q314" t="str">
        <f t="shared" si="131"/>
        <v>No</v>
      </c>
      <c r="R314" t="str">
        <f>""</f>
        <v/>
      </c>
      <c r="S314" t="str">
        <f t="shared" si="132"/>
        <v>No</v>
      </c>
      <c r="T314" t="str">
        <f>""</f>
        <v/>
      </c>
      <c r="U314" t="str">
        <f>"No"</f>
        <v>No</v>
      </c>
      <c r="V314" t="str">
        <f>""</f>
        <v/>
      </c>
      <c r="X314" t="str">
        <f>"ASG Group Limited"</f>
        <v>ASG Group Limited</v>
      </c>
      <c r="Y314" t="str">
        <f>"Level 1, 267 Georges Terrace"</f>
        <v>Level 1, 267 Georges Terrace</v>
      </c>
      <c r="Z314" t="str">
        <f>"Perth"</f>
        <v>Perth</v>
      </c>
      <c r="AA314" t="str">
        <f>"6000"</f>
        <v>6000</v>
      </c>
      <c r="AB314" t="str">
        <f t="shared" si="119"/>
        <v>Australia</v>
      </c>
      <c r="AC314" t="str">
        <f t="shared" si="120"/>
        <v>No</v>
      </c>
      <c r="AD314" t="str">
        <f>"57070045117"</f>
        <v>57070045117</v>
      </c>
      <c r="AE314" t="str">
        <f>"ADMIN OFFICER"</f>
        <v>ADMIN OFFICER</v>
      </c>
      <c r="AF314" t="str">
        <f t="shared" si="126"/>
        <v>(02) 6271 1000</v>
      </c>
      <c r="AG314" t="str">
        <f>""</f>
        <v/>
      </c>
      <c r="AH314" t="str">
        <f>""</f>
        <v/>
      </c>
      <c r="AI314" t="str">
        <f>"CORPORATE TREASURY [OLD] Corporate Treasury"</f>
        <v>CORPORATE TREASURY [OLD] Corporate Treasury</v>
      </c>
      <c r="AJ314" t="str">
        <f t="shared" si="128"/>
        <v>2603</v>
      </c>
    </row>
    <row r="315" spans="1:36" x14ac:dyDescent="0.25">
      <c r="A315" t="str">
        <f t="shared" si="111"/>
        <v>Department of Communications</v>
      </c>
      <c r="B315" t="str">
        <f>""</f>
        <v/>
      </c>
      <c r="C315" t="str">
        <f>"CN2947532"</f>
        <v>CN2947532</v>
      </c>
      <c r="D315" t="str">
        <f t="shared" si="130"/>
        <v>Leesa O'connor</v>
      </c>
      <c r="E315" s="44">
        <v>42090.460416666669</v>
      </c>
      <c r="F315" t="s">
        <v>2508</v>
      </c>
      <c r="G315" t="str">
        <f t="shared" si="112"/>
        <v>published</v>
      </c>
      <c r="H315" s="45">
        <v>41995</v>
      </c>
      <c r="I315" s="45">
        <v>42089</v>
      </c>
      <c r="J315" s="46">
        <v>22522.5</v>
      </c>
      <c r="K315" t="s">
        <v>495</v>
      </c>
      <c r="L315" t="str">
        <f>"0004604899"</f>
        <v>0004604899</v>
      </c>
      <c r="M315" t="str">
        <f>"Printed publications"</f>
        <v>Printed publications</v>
      </c>
      <c r="N315" t="str">
        <f>"Limited tender"</f>
        <v>Limited tender</v>
      </c>
      <c r="O315" t="str">
        <f>""</f>
        <v/>
      </c>
      <c r="Q315" t="str">
        <f t="shared" si="131"/>
        <v>No</v>
      </c>
      <c r="R315" t="str">
        <f>""</f>
        <v/>
      </c>
      <c r="S315" t="str">
        <f t="shared" si="132"/>
        <v>No</v>
      </c>
      <c r="T315" t="str">
        <f>""</f>
        <v/>
      </c>
      <c r="U315" t="str">
        <f>"No"</f>
        <v>No</v>
      </c>
      <c r="V315" t="str">
        <f>""</f>
        <v/>
      </c>
      <c r="X315" t="str">
        <f>"NetRatings Australia Pty Ltd"</f>
        <v>NetRatings Australia Pty Ltd</v>
      </c>
      <c r="Y315" t="str">
        <f>"59 Wentworth Ave"</f>
        <v>59 Wentworth Ave</v>
      </c>
      <c r="Z315" t="str">
        <f>"Sydney"</f>
        <v>Sydney</v>
      </c>
      <c r="AA315" t="str">
        <f>"2000"</f>
        <v>2000</v>
      </c>
      <c r="AB315" t="str">
        <f t="shared" si="119"/>
        <v>Australia</v>
      </c>
      <c r="AC315" t="str">
        <f t="shared" si="120"/>
        <v>No</v>
      </c>
      <c r="AD315" t="str">
        <f>"47081796287"</f>
        <v>47081796287</v>
      </c>
      <c r="AE315" t="str">
        <f>"PROCUREMENT MANAGER"</f>
        <v>PROCUREMENT MANAGER</v>
      </c>
      <c r="AF315" t="str">
        <f t="shared" si="126"/>
        <v>(02) 6271 1000</v>
      </c>
      <c r="AG315" t="str">
        <f>""</f>
        <v/>
      </c>
      <c r="AH315" t="str">
        <f>""</f>
        <v/>
      </c>
      <c r="AI315" t="str">
        <f>"COMMUNICATIONS RESEARCH Bureau of Communications Research"</f>
        <v>COMMUNICATIONS RESEARCH Bureau of Communications Research</v>
      </c>
      <c r="AJ315" t="str">
        <f t="shared" si="128"/>
        <v>2603</v>
      </c>
    </row>
    <row r="316" spans="1:36" x14ac:dyDescent="0.25">
      <c r="A316" t="str">
        <f t="shared" si="111"/>
        <v>Department of Communications</v>
      </c>
      <c r="B316" t="str">
        <f>""</f>
        <v/>
      </c>
      <c r="C316" t="str">
        <f>"CN3037982"</f>
        <v>CN3037982</v>
      </c>
      <c r="D316" t="str">
        <f t="shared" si="130"/>
        <v>Leesa O'connor</v>
      </c>
      <c r="E316" s="44">
        <v>42130.607638888891</v>
      </c>
      <c r="F316" t="s">
        <v>2508</v>
      </c>
      <c r="G316" t="str">
        <f t="shared" si="112"/>
        <v>published</v>
      </c>
      <c r="H316" s="45">
        <v>42093</v>
      </c>
      <c r="I316" s="45">
        <v>42123</v>
      </c>
      <c r="J316" s="46">
        <v>142807</v>
      </c>
      <c r="K316" t="s">
        <v>2525</v>
      </c>
      <c r="L316" t="str">
        <f>"0004604900"</f>
        <v>0004604900</v>
      </c>
      <c r="M316" t="str">
        <f>"Management advisory services"</f>
        <v>Management advisory services</v>
      </c>
      <c r="N316" t="str">
        <f>"Open tender"</f>
        <v>Open tender</v>
      </c>
      <c r="O316" t="str">
        <f>"ACBPS127074"</f>
        <v>ACBPS127074</v>
      </c>
      <c r="P316" t="str">
        <f>"SON1837491"</f>
        <v>SON1837491</v>
      </c>
      <c r="Q316" t="str">
        <f>"Yes"</f>
        <v>Yes</v>
      </c>
      <c r="R316" t="str">
        <f>"Costing/profit information"</f>
        <v>Costing/profit information</v>
      </c>
      <c r="S316" t="str">
        <f>"Yes"</f>
        <v>Yes</v>
      </c>
      <c r="T316" t="str">
        <f>"Other - THIRD PARTY CONFIDENTIAL INFORMATION TO BE ACCESSED BY ADVISORS"</f>
        <v>Other - THIRD PARTY CONFIDENTIAL INFORMATION TO BE ACCESSED BY ADVISORS</v>
      </c>
      <c r="U316" t="str">
        <f>"No"</f>
        <v>No</v>
      </c>
      <c r="V316" t="str">
        <f>""</f>
        <v/>
      </c>
      <c r="X316" t="str">
        <f>"Korda Mentha Restructuring"</f>
        <v>Korda Mentha Restructuring</v>
      </c>
      <c r="Y316" t="str">
        <f>"PO Box 2985"</f>
        <v>PO Box 2985</v>
      </c>
      <c r="Z316" t="str">
        <f>"Melbourne"</f>
        <v>Melbourne</v>
      </c>
      <c r="AA316" t="str">
        <f>"3001"</f>
        <v>3001</v>
      </c>
      <c r="AB316" t="str">
        <f t="shared" si="119"/>
        <v>Australia</v>
      </c>
      <c r="AC316" t="str">
        <f t="shared" si="120"/>
        <v>No</v>
      </c>
      <c r="AD316" t="str">
        <f>"36220576038"</f>
        <v>36220576038</v>
      </c>
      <c r="AE316" t="str">
        <f>"ADMIN OFFICER"</f>
        <v>ADMIN OFFICER</v>
      </c>
      <c r="AF316" t="str">
        <f t="shared" si="126"/>
        <v>(02) 6271 1000</v>
      </c>
      <c r="AG316" t="str">
        <f>""</f>
        <v/>
      </c>
      <c r="AH316" t="str">
        <f>""</f>
        <v/>
      </c>
      <c r="AI316" t="str">
        <f>"NPAR"</f>
        <v>NPAR</v>
      </c>
      <c r="AJ316" t="str">
        <f t="shared" si="128"/>
        <v>2603</v>
      </c>
    </row>
    <row r="317" spans="1:36" x14ac:dyDescent="0.25">
      <c r="A317" t="str">
        <f t="shared" si="111"/>
        <v>Department of Communications</v>
      </c>
      <c r="B317" t="str">
        <f>"CN3037982"</f>
        <v>CN3037982</v>
      </c>
      <c r="C317" t="str">
        <f>"CN3037982-A1"</f>
        <v>CN3037982-A1</v>
      </c>
      <c r="D317" t="str">
        <f t="shared" si="130"/>
        <v>Leesa O'connor</v>
      </c>
      <c r="E317" s="44">
        <v>42130.607638888891</v>
      </c>
      <c r="F317" s="44">
        <v>42130.611111111109</v>
      </c>
      <c r="G317" t="str">
        <f t="shared" si="112"/>
        <v>published</v>
      </c>
      <c r="H317" s="45">
        <v>42093</v>
      </c>
      <c r="I317" s="45">
        <v>42123</v>
      </c>
      <c r="J317" s="46">
        <v>142807</v>
      </c>
      <c r="K317" t="s">
        <v>2525</v>
      </c>
      <c r="L317" t="str">
        <f>"0004604900"</f>
        <v>0004604900</v>
      </c>
      <c r="M317" t="str">
        <f>"Management advisory services"</f>
        <v>Management advisory services</v>
      </c>
      <c r="N317" t="str">
        <f>"Open tender"</f>
        <v>Open tender</v>
      </c>
      <c r="O317" t="str">
        <f>"ACBPS127074"</f>
        <v>ACBPS127074</v>
      </c>
      <c r="P317" t="str">
        <f>"SON1837491"</f>
        <v>SON1837491</v>
      </c>
      <c r="Q317" t="str">
        <f>"Yes"</f>
        <v>Yes</v>
      </c>
      <c r="R317" t="str">
        <f>"Costing/profit information"</f>
        <v>Costing/profit information</v>
      </c>
      <c r="S317" t="str">
        <f>"Yes"</f>
        <v>Yes</v>
      </c>
      <c r="T317" t="str">
        <f>"Other - THIRD PARTY CONFIDENTIAL INFORMATION TO BE ACCESSED BY ADVISORS"</f>
        <v>Other - THIRD PARTY CONFIDENTIAL INFORMATION TO BE ACCESSED BY ADVISORS</v>
      </c>
      <c r="U317" t="str">
        <f>"No"</f>
        <v>No</v>
      </c>
      <c r="V317" t="str">
        <f>""</f>
        <v/>
      </c>
      <c r="W317" t="s">
        <v>2526</v>
      </c>
      <c r="X317" t="str">
        <f>"Korda Mentha Restructuring"</f>
        <v>Korda Mentha Restructuring</v>
      </c>
      <c r="Y317" t="str">
        <f>"PO Box 2985"</f>
        <v>PO Box 2985</v>
      </c>
      <c r="Z317" t="str">
        <f>"Melbourne"</f>
        <v>Melbourne</v>
      </c>
      <c r="AA317" t="str">
        <f>"3001"</f>
        <v>3001</v>
      </c>
      <c r="AB317" t="str">
        <f>"AUSTRALIA"</f>
        <v>AUSTRALIA</v>
      </c>
      <c r="AC317" t="str">
        <f t="shared" ref="AC317:AC335" si="133">"No"</f>
        <v>No</v>
      </c>
      <c r="AD317" t="str">
        <f>"43100169391"</f>
        <v>43100169391</v>
      </c>
      <c r="AE317" t="str">
        <f>"ADMIN OFFICER"</f>
        <v>ADMIN OFFICER</v>
      </c>
      <c r="AF317" t="str">
        <f t="shared" si="126"/>
        <v>(02) 6271 1000</v>
      </c>
      <c r="AG317" t="str">
        <f>""</f>
        <v/>
      </c>
      <c r="AH317" t="str">
        <f>""</f>
        <v/>
      </c>
      <c r="AI317" t="str">
        <f>"NPAR"</f>
        <v>NPAR</v>
      </c>
      <c r="AJ317" t="str">
        <f t="shared" si="128"/>
        <v>2603</v>
      </c>
    </row>
    <row r="318" spans="1:36" x14ac:dyDescent="0.25">
      <c r="A318" t="str">
        <f t="shared" si="111"/>
        <v>Department of Communications</v>
      </c>
      <c r="B318" t="str">
        <f>""</f>
        <v/>
      </c>
      <c r="C318" t="str">
        <f>"CN2947522"</f>
        <v>CN2947522</v>
      </c>
      <c r="D318" t="str">
        <f t="shared" si="130"/>
        <v>Leesa O'connor</v>
      </c>
      <c r="E318" s="44">
        <v>42090.460416666669</v>
      </c>
      <c r="F318" t="s">
        <v>2508</v>
      </c>
      <c r="G318" t="str">
        <f t="shared" si="112"/>
        <v>published</v>
      </c>
      <c r="H318" s="45">
        <v>42075</v>
      </c>
      <c r="I318" s="45">
        <v>42185</v>
      </c>
      <c r="J318" s="46">
        <v>100000</v>
      </c>
      <c r="K318" t="s">
        <v>2301</v>
      </c>
      <c r="L318" t="str">
        <f>"0004604901"</f>
        <v>0004604901</v>
      </c>
      <c r="M318" t="str">
        <f>"Legal services"</f>
        <v>Legal services</v>
      </c>
      <c r="N318" t="str">
        <f>"Prequalified tender"</f>
        <v>Prequalified tender</v>
      </c>
      <c r="O318" t="str">
        <f>""</f>
        <v/>
      </c>
      <c r="Q318" t="str">
        <f>"Yes"</f>
        <v>Yes</v>
      </c>
      <c r="R318" t="str">
        <f>"Intellectual property"</f>
        <v>Intellectual property</v>
      </c>
      <c r="S318" t="str">
        <f>"Yes"</f>
        <v>Yes</v>
      </c>
      <c r="T318" t="str">
        <f>"Intellectual property"</f>
        <v>Intellectual property</v>
      </c>
      <c r="U318" t="str">
        <f>"Yes"</f>
        <v>Yes</v>
      </c>
      <c r="V318" t="str">
        <f>"Need for specialised or professional skills"</f>
        <v>Need for specialised or professional skills</v>
      </c>
      <c r="X318" t="str">
        <f>"Herbert Smith Freehills"</f>
        <v>Herbert Smith Freehills</v>
      </c>
      <c r="Y318" t="str">
        <f>"GPO Box 4227"</f>
        <v>GPO Box 4227</v>
      </c>
      <c r="Z318" t="str">
        <f>"Sydney"</f>
        <v>Sydney</v>
      </c>
      <c r="AA318" t="str">
        <f>"2001"</f>
        <v>2001</v>
      </c>
      <c r="AB318" t="str">
        <f t="shared" ref="AB318:AB335" si="134">"Australia"</f>
        <v>Australia</v>
      </c>
      <c r="AC318" t="str">
        <f t="shared" si="133"/>
        <v>No</v>
      </c>
      <c r="AD318" t="str">
        <f>"98773882646"</f>
        <v>98773882646</v>
      </c>
      <c r="AE318" t="str">
        <f>"PROCUREMENT MANAGER"</f>
        <v>PROCUREMENT MANAGER</v>
      </c>
      <c r="AF318" t="str">
        <f t="shared" si="126"/>
        <v>(02) 6271 1000</v>
      </c>
      <c r="AG318" t="str">
        <f>""</f>
        <v/>
      </c>
      <c r="AH318" t="str">
        <f>""</f>
        <v/>
      </c>
      <c r="AI318" t="str">
        <f>"GENERAL COUNSEL Office of the General Counsel"</f>
        <v>GENERAL COUNSEL Office of the General Counsel</v>
      </c>
      <c r="AJ318" t="str">
        <f t="shared" si="128"/>
        <v>2603</v>
      </c>
    </row>
    <row r="319" spans="1:36" x14ac:dyDescent="0.25">
      <c r="A319" t="str">
        <f t="shared" si="111"/>
        <v>Department of Communications</v>
      </c>
      <c r="B319" t="str">
        <f>""</f>
        <v/>
      </c>
      <c r="C319" t="str">
        <f>"CN2971352"</f>
        <v>CN2971352</v>
      </c>
      <c r="D319" t="str">
        <f t="shared" si="130"/>
        <v>Leesa O'connor</v>
      </c>
      <c r="E319" s="44">
        <v>42101.665972222225</v>
      </c>
      <c r="F319" t="s">
        <v>2508</v>
      </c>
      <c r="G319" t="str">
        <f t="shared" si="112"/>
        <v>published</v>
      </c>
      <c r="H319" s="45">
        <v>42089</v>
      </c>
      <c r="I319" s="45">
        <v>42185</v>
      </c>
      <c r="J319" s="46">
        <v>52400</v>
      </c>
      <c r="K319" t="s">
        <v>2248</v>
      </c>
      <c r="L319" t="str">
        <f>"0004604902"</f>
        <v>0004604902</v>
      </c>
      <c r="M319" t="str">
        <f>"Economic or financial evaluation of projects"</f>
        <v>Economic or financial evaluation of projects</v>
      </c>
      <c r="N319" t="str">
        <f t="shared" ref="N319:N324" si="135">"Open tender"</f>
        <v>Open tender</v>
      </c>
      <c r="O319" t="str">
        <f>"DCON/13/31"</f>
        <v>DCON/13/31</v>
      </c>
      <c r="P319" t="str">
        <f>"SON2268721"</f>
        <v>SON2268721</v>
      </c>
      <c r="Q319" t="str">
        <f>"Yes"</f>
        <v>Yes</v>
      </c>
      <c r="R319" t="str">
        <f>"Intellectual property"</f>
        <v>Intellectual property</v>
      </c>
      <c r="S319" t="str">
        <f>"Yes"</f>
        <v>Yes</v>
      </c>
      <c r="T319" t="str">
        <f>"Intellectual property"</f>
        <v>Intellectual property</v>
      </c>
      <c r="U319" t="str">
        <f>"Yes"</f>
        <v>Yes</v>
      </c>
      <c r="V319" t="str">
        <f>"Need for specialised or professional skills"</f>
        <v>Need for specialised or professional skills</v>
      </c>
      <c r="X319" t="str">
        <f>"CONVERGENT CONSULTING"</f>
        <v>CONVERGENT CONSULTING</v>
      </c>
      <c r="Y319" t="str">
        <f>"9/ Marlborough Road"</f>
        <v>9/ Marlborough Road</v>
      </c>
      <c r="Z319" t="str">
        <f>"Willoughby"</f>
        <v>Willoughby</v>
      </c>
      <c r="AA319" t="str">
        <f>"2068"</f>
        <v>2068</v>
      </c>
      <c r="AB319" t="str">
        <f t="shared" si="134"/>
        <v>Australia</v>
      </c>
      <c r="AC319" t="str">
        <f t="shared" si="133"/>
        <v>No</v>
      </c>
      <c r="AD319" t="str">
        <f>"27077057633"</f>
        <v>27077057633</v>
      </c>
      <c r="AE319" t="str">
        <f t="shared" ref="AE319:AE332" si="136">"ADMIN OFFICER"</f>
        <v>ADMIN OFFICER</v>
      </c>
      <c r="AF319" t="str">
        <f t="shared" si="126"/>
        <v>(02) 6271 1000</v>
      </c>
      <c r="AG319" t="str">
        <f>""</f>
        <v/>
      </c>
      <c r="AH319" t="str">
        <f>""</f>
        <v/>
      </c>
      <c r="AI319" t="str">
        <f>"NPAR"</f>
        <v>NPAR</v>
      </c>
      <c r="AJ319" t="str">
        <f t="shared" si="128"/>
        <v>2603</v>
      </c>
    </row>
    <row r="320" spans="1:36" x14ac:dyDescent="0.25">
      <c r="A320" t="str">
        <f t="shared" si="111"/>
        <v>Department of Communications</v>
      </c>
      <c r="B320" t="str">
        <f>""</f>
        <v/>
      </c>
      <c r="C320" t="str">
        <f>"CN2979022"</f>
        <v>CN2979022</v>
      </c>
      <c r="D320" t="str">
        <f t="shared" si="130"/>
        <v>Leesa O'connor</v>
      </c>
      <c r="E320" s="44">
        <v>42104.607638888891</v>
      </c>
      <c r="F320" t="s">
        <v>2508</v>
      </c>
      <c r="G320" t="str">
        <f t="shared" si="112"/>
        <v>published</v>
      </c>
      <c r="H320" s="45">
        <v>42095</v>
      </c>
      <c r="I320" s="45">
        <v>42455</v>
      </c>
      <c r="J320" s="46">
        <v>59866.080000000002</v>
      </c>
      <c r="K320" t="s">
        <v>1891</v>
      </c>
      <c r="L320" t="str">
        <f>"0004604903"</f>
        <v>0004604903</v>
      </c>
      <c r="M320" t="str">
        <f>"Software"</f>
        <v>Software</v>
      </c>
      <c r="N320" t="str">
        <f t="shared" si="135"/>
        <v>Open tender</v>
      </c>
      <c r="O320" t="str">
        <f>"DCON/09/67"</f>
        <v>DCON/09/67</v>
      </c>
      <c r="P320" t="str">
        <f>"SON269193"</f>
        <v>SON269193</v>
      </c>
      <c r="Q320" t="str">
        <f>"No"</f>
        <v>No</v>
      </c>
      <c r="R320" t="str">
        <f>""</f>
        <v/>
      </c>
      <c r="S320" t="str">
        <f>"No"</f>
        <v>No</v>
      </c>
      <c r="T320" t="str">
        <f>""</f>
        <v/>
      </c>
      <c r="U320" t="str">
        <f>"No"</f>
        <v>No</v>
      </c>
      <c r="V320" t="str">
        <f>""</f>
        <v/>
      </c>
      <c r="X320" t="str">
        <f>"ASG Group Limited"</f>
        <v>ASG Group Limited</v>
      </c>
      <c r="Y320" t="str">
        <f>"Level 1, 267 Georges Terrace"</f>
        <v>Level 1, 267 Georges Terrace</v>
      </c>
      <c r="Z320" t="str">
        <f>"Perth"</f>
        <v>Perth</v>
      </c>
      <c r="AA320" t="str">
        <f>"6000"</f>
        <v>6000</v>
      </c>
      <c r="AB320" t="str">
        <f t="shared" si="134"/>
        <v>Australia</v>
      </c>
      <c r="AC320" t="str">
        <f t="shared" si="133"/>
        <v>No</v>
      </c>
      <c r="AD320" t="str">
        <f>"57070045117"</f>
        <v>57070045117</v>
      </c>
      <c r="AE320" t="str">
        <f t="shared" si="136"/>
        <v>ADMIN OFFICER</v>
      </c>
      <c r="AF320" t="str">
        <f t="shared" si="126"/>
        <v>(02) 6271 1000</v>
      </c>
      <c r="AG320" t="str">
        <f>""</f>
        <v/>
      </c>
      <c r="AH320" t="str">
        <f>""</f>
        <v/>
      </c>
      <c r="AI320" t="str">
        <f>"CORPORATE TREASURY [OLD] Corporate Treasury"</f>
        <v>CORPORATE TREASURY [OLD] Corporate Treasury</v>
      </c>
      <c r="AJ320" t="str">
        <f t="shared" si="128"/>
        <v>2603</v>
      </c>
    </row>
    <row r="321" spans="1:36" x14ac:dyDescent="0.25">
      <c r="A321" t="str">
        <f t="shared" si="111"/>
        <v>Department of Communications</v>
      </c>
      <c r="B321" t="str">
        <f>""</f>
        <v/>
      </c>
      <c r="C321" t="str">
        <f>"CN2951912"</f>
        <v>CN2951912</v>
      </c>
      <c r="D321" t="str">
        <f t="shared" si="130"/>
        <v>Leesa O'connor</v>
      </c>
      <c r="E321" s="44">
        <v>42094.418749999997</v>
      </c>
      <c r="F321" t="s">
        <v>2508</v>
      </c>
      <c r="G321" t="str">
        <f t="shared" si="112"/>
        <v>published</v>
      </c>
      <c r="H321" s="45">
        <v>42016</v>
      </c>
      <c r="I321" s="45">
        <v>42094</v>
      </c>
      <c r="J321" s="46">
        <v>141075.82</v>
      </c>
      <c r="K321" t="s">
        <v>1798</v>
      </c>
      <c r="L321" t="str">
        <f>"0004604904"</f>
        <v>0004604904</v>
      </c>
      <c r="M321" t="str">
        <f>"Building construction and support and maintenance and repair services"</f>
        <v>Building construction and support and maintenance and repair services</v>
      </c>
      <c r="N321" t="str">
        <f t="shared" si="135"/>
        <v>Open tender</v>
      </c>
      <c r="O321" t="str">
        <f>"NA1000"</f>
        <v>NA1000</v>
      </c>
      <c r="Q321" t="str">
        <f>"No"</f>
        <v>No</v>
      </c>
      <c r="R321" t="str">
        <f>""</f>
        <v/>
      </c>
      <c r="S321" t="str">
        <f>"No"</f>
        <v>No</v>
      </c>
      <c r="T321" t="str">
        <f>""</f>
        <v/>
      </c>
      <c r="U321" t="str">
        <f>"No"</f>
        <v>No</v>
      </c>
      <c r="V321" t="str">
        <f>""</f>
        <v/>
      </c>
      <c r="X321" t="str">
        <f>"Affinity Constructions Australia"</f>
        <v>Affinity Constructions Australia</v>
      </c>
      <c r="Y321" t="str">
        <f>"PO Box 753"</f>
        <v>PO Box 753</v>
      </c>
      <c r="Z321" t="str">
        <f>"Fyshwick"</f>
        <v>Fyshwick</v>
      </c>
      <c r="AA321" t="str">
        <f>"2609"</f>
        <v>2609</v>
      </c>
      <c r="AB321" t="str">
        <f t="shared" si="134"/>
        <v>Australia</v>
      </c>
      <c r="AC321" t="str">
        <f t="shared" si="133"/>
        <v>No</v>
      </c>
      <c r="AD321" t="str">
        <f>"13161165966"</f>
        <v>13161165966</v>
      </c>
      <c r="AE321" t="str">
        <f t="shared" si="136"/>
        <v>ADMIN OFFICER</v>
      </c>
      <c r="AF321" t="str">
        <f t="shared" si="126"/>
        <v>(02) 6271 1000</v>
      </c>
      <c r="AG321" t="str">
        <f>""</f>
        <v/>
      </c>
      <c r="AH321" t="str">
        <f>""</f>
        <v/>
      </c>
      <c r="AI321" t="str">
        <f>"CORPORATE TREASURY [OLD] Corporate Treasury"</f>
        <v>CORPORATE TREASURY [OLD] Corporate Treasury</v>
      </c>
      <c r="AJ321" t="str">
        <f>"2000"</f>
        <v>2000</v>
      </c>
    </row>
    <row r="322" spans="1:36" x14ac:dyDescent="0.25">
      <c r="A322" t="str">
        <f t="shared" si="111"/>
        <v>Department of Communications</v>
      </c>
      <c r="B322" t="str">
        <f>""</f>
        <v/>
      </c>
      <c r="C322" t="str">
        <f>"CN2971342"</f>
        <v>CN2971342</v>
      </c>
      <c r="D322" t="str">
        <f t="shared" si="130"/>
        <v>Leesa O'connor</v>
      </c>
      <c r="E322" s="44">
        <v>42101.665972222225</v>
      </c>
      <c r="F322" t="s">
        <v>2508</v>
      </c>
      <c r="G322" t="str">
        <f t="shared" si="112"/>
        <v>published</v>
      </c>
      <c r="H322" s="45">
        <v>42089</v>
      </c>
      <c r="I322" s="45">
        <v>42185</v>
      </c>
      <c r="J322" s="46">
        <v>90060</v>
      </c>
      <c r="K322" t="s">
        <v>2252</v>
      </c>
      <c r="L322" t="str">
        <f>"0004604905"</f>
        <v>0004604905</v>
      </c>
      <c r="M322" t="str">
        <f>"Information technology consultation services"</f>
        <v>Information technology consultation services</v>
      </c>
      <c r="N322" t="str">
        <f t="shared" si="135"/>
        <v>Open tender</v>
      </c>
      <c r="O322" t="str">
        <f>"DCON/13/31"</f>
        <v>DCON/13/31</v>
      </c>
      <c r="P322" t="str">
        <f>"SON2268721"</f>
        <v>SON2268721</v>
      </c>
      <c r="Q322" t="str">
        <f>"Yes"</f>
        <v>Yes</v>
      </c>
      <c r="R322" t="str">
        <f>"Intellectual property"</f>
        <v>Intellectual property</v>
      </c>
      <c r="S322" t="str">
        <f>"Yes"</f>
        <v>Yes</v>
      </c>
      <c r="T322" t="str">
        <f>"Intellectual property"</f>
        <v>Intellectual property</v>
      </c>
      <c r="U322" t="str">
        <f>"Yes"</f>
        <v>Yes</v>
      </c>
      <c r="V322" t="str">
        <f>"Need for specialised or professional skills"</f>
        <v>Need for specialised or professional skills</v>
      </c>
      <c r="X322" t="str">
        <f>"Jed Tech Pty Ltd"</f>
        <v>Jed Tech Pty Ltd</v>
      </c>
      <c r="Y322" t="str">
        <f>"69 Grosvenor Road"</f>
        <v>69 Grosvenor Road</v>
      </c>
      <c r="Z322" t="str">
        <f>"Lindfield"</f>
        <v>Lindfield</v>
      </c>
      <c r="AA322" t="str">
        <f>"2070"</f>
        <v>2070</v>
      </c>
      <c r="AB322" t="str">
        <f t="shared" si="134"/>
        <v>Australia</v>
      </c>
      <c r="AC322" t="str">
        <f t="shared" si="133"/>
        <v>No</v>
      </c>
      <c r="AD322" t="str">
        <f>"74159785207"</f>
        <v>74159785207</v>
      </c>
      <c r="AE322" t="str">
        <f t="shared" si="136"/>
        <v>ADMIN OFFICER</v>
      </c>
      <c r="AF322" t="str">
        <f t="shared" si="126"/>
        <v>(02) 6271 1000</v>
      </c>
      <c r="AG322" t="str">
        <f>""</f>
        <v/>
      </c>
      <c r="AH322" t="str">
        <f>""</f>
        <v/>
      </c>
      <c r="AI322" t="str">
        <f>"NPAR"</f>
        <v>NPAR</v>
      </c>
      <c r="AJ322" t="str">
        <f t="shared" ref="AJ322:AJ353" si="137">"2603"</f>
        <v>2603</v>
      </c>
    </row>
    <row r="323" spans="1:36" x14ac:dyDescent="0.25">
      <c r="A323" t="str">
        <f t="shared" si="111"/>
        <v>Department of Communications</v>
      </c>
      <c r="B323" t="str">
        <f>""</f>
        <v/>
      </c>
      <c r="C323" t="str">
        <f>"CN2988822"</f>
        <v>CN2988822</v>
      </c>
      <c r="D323" t="str">
        <f t="shared" si="130"/>
        <v>Leesa O'connor</v>
      </c>
      <c r="E323" s="44">
        <v>42109.617361111108</v>
      </c>
      <c r="F323" t="s">
        <v>2508</v>
      </c>
      <c r="G323" t="str">
        <f t="shared" si="112"/>
        <v>published</v>
      </c>
      <c r="H323" s="45">
        <v>42095</v>
      </c>
      <c r="I323" s="45">
        <v>42185</v>
      </c>
      <c r="J323" s="46">
        <v>49000</v>
      </c>
      <c r="K323" t="s">
        <v>2257</v>
      </c>
      <c r="L323" t="str">
        <f>"0004604907"</f>
        <v>0004604907</v>
      </c>
      <c r="M323" t="str">
        <f>"Temporary personnel services"</f>
        <v>Temporary personnel services</v>
      </c>
      <c r="N323" t="str">
        <f t="shared" si="135"/>
        <v>Open tender</v>
      </c>
      <c r="O323" t="str">
        <f>"DCON/12/244"</f>
        <v>DCON/12/244</v>
      </c>
      <c r="P323" t="str">
        <f>"SON1180562"</f>
        <v>SON1180562</v>
      </c>
      <c r="Q323" t="str">
        <f t="shared" ref="Q323:Q336" si="138">"No"</f>
        <v>No</v>
      </c>
      <c r="R323" t="str">
        <f>""</f>
        <v/>
      </c>
      <c r="S323" t="str">
        <f t="shared" ref="S323:S336" si="139">"No"</f>
        <v>No</v>
      </c>
      <c r="T323" t="str">
        <f>""</f>
        <v/>
      </c>
      <c r="U323" t="str">
        <f t="shared" ref="U323:U333" si="140">"No"</f>
        <v>No</v>
      </c>
      <c r="V323" t="str">
        <f>""</f>
        <v/>
      </c>
      <c r="X323" t="str">
        <f>"HAYS PERSONNEL SERVICES (AUST) P/L"</f>
        <v>HAYS PERSONNEL SERVICES (AUST) P/L</v>
      </c>
      <c r="Y323" t="str">
        <f>"GPO BOX 3868"</f>
        <v>GPO BOX 3868</v>
      </c>
      <c r="Z323" t="str">
        <f>"SYDNEY"</f>
        <v>SYDNEY</v>
      </c>
      <c r="AA323" t="str">
        <f>"2001"</f>
        <v>2001</v>
      </c>
      <c r="AB323" t="str">
        <f t="shared" si="134"/>
        <v>Australia</v>
      </c>
      <c r="AC323" t="str">
        <f t="shared" si="133"/>
        <v>No</v>
      </c>
      <c r="AD323" t="str">
        <f>"47001407281"</f>
        <v>47001407281</v>
      </c>
      <c r="AE323" t="str">
        <f t="shared" si="136"/>
        <v>ADMIN OFFICER</v>
      </c>
      <c r="AF323" t="str">
        <f t="shared" si="126"/>
        <v>(02) 6271 1000</v>
      </c>
      <c r="AG323" t="str">
        <f>""</f>
        <v/>
      </c>
      <c r="AH323" t="str">
        <f>""</f>
        <v/>
      </c>
      <c r="AI323" t="str">
        <f>"NPAR"</f>
        <v>NPAR</v>
      </c>
      <c r="AJ323" t="str">
        <f t="shared" si="137"/>
        <v>2603</v>
      </c>
    </row>
    <row r="324" spans="1:36" x14ac:dyDescent="0.25">
      <c r="A324" t="str">
        <f t="shared" ref="A324:A387" si="141">"Department of Communications"</f>
        <v>Department of Communications</v>
      </c>
      <c r="B324" t="str">
        <f>""</f>
        <v/>
      </c>
      <c r="C324" t="str">
        <f>"CN2971332"</f>
        <v>CN2971332</v>
      </c>
      <c r="D324" t="str">
        <f t="shared" si="130"/>
        <v>Leesa O'connor</v>
      </c>
      <c r="E324" s="44">
        <v>42101.665972222225</v>
      </c>
      <c r="F324" t="s">
        <v>2508</v>
      </c>
      <c r="G324" t="str">
        <f t="shared" ref="G324:G387" si="142">"published"</f>
        <v>published</v>
      </c>
      <c r="H324" s="45">
        <v>42095</v>
      </c>
      <c r="I324" s="45">
        <v>42124</v>
      </c>
      <c r="J324" s="46">
        <v>10698.6</v>
      </c>
      <c r="K324" t="s">
        <v>1896</v>
      </c>
      <c r="L324" t="str">
        <f>"0004604908"</f>
        <v>0004604908</v>
      </c>
      <c r="M324" t="str">
        <f>"Computer hardware maintenance or support"</f>
        <v>Computer hardware maintenance or support</v>
      </c>
      <c r="N324" t="str">
        <f t="shared" si="135"/>
        <v>Open tender</v>
      </c>
      <c r="O324" t="str">
        <f>"DCON/09/67"</f>
        <v>DCON/09/67</v>
      </c>
      <c r="P324" t="str">
        <f>"SON269193"</f>
        <v>SON269193</v>
      </c>
      <c r="Q324" t="str">
        <f t="shared" si="138"/>
        <v>No</v>
      </c>
      <c r="R324" t="str">
        <f>""</f>
        <v/>
      </c>
      <c r="S324" t="str">
        <f t="shared" si="139"/>
        <v>No</v>
      </c>
      <c r="T324" t="str">
        <f>""</f>
        <v/>
      </c>
      <c r="U324" t="str">
        <f t="shared" si="140"/>
        <v>No</v>
      </c>
      <c r="V324" t="str">
        <f>""</f>
        <v/>
      </c>
      <c r="X324" t="str">
        <f>"ASG Group Limited"</f>
        <v>ASG Group Limited</v>
      </c>
      <c r="Y324" t="str">
        <f>"Level 1, 267 Georges Terrace"</f>
        <v>Level 1, 267 Georges Terrace</v>
      </c>
      <c r="Z324" t="str">
        <f>"Perth"</f>
        <v>Perth</v>
      </c>
      <c r="AA324" t="str">
        <f>"6000"</f>
        <v>6000</v>
      </c>
      <c r="AB324" t="str">
        <f t="shared" si="134"/>
        <v>Australia</v>
      </c>
      <c r="AC324" t="str">
        <f t="shared" si="133"/>
        <v>No</v>
      </c>
      <c r="AD324" t="str">
        <f>"57070045117"</f>
        <v>57070045117</v>
      </c>
      <c r="AE324" t="str">
        <f t="shared" si="136"/>
        <v>ADMIN OFFICER</v>
      </c>
      <c r="AF324" t="str">
        <f t="shared" si="126"/>
        <v>(02) 6271 1000</v>
      </c>
      <c r="AG324" t="str">
        <f>""</f>
        <v/>
      </c>
      <c r="AH324" t="str">
        <f>""</f>
        <v/>
      </c>
      <c r="AI324" t="str">
        <f t="shared" ref="AI324:AI332" si="143">"CORPORATE TREASURY [OLD] Corporate Treasury"</f>
        <v>CORPORATE TREASURY [OLD] Corporate Treasury</v>
      </c>
      <c r="AJ324" t="str">
        <f t="shared" si="137"/>
        <v>2603</v>
      </c>
    </row>
    <row r="325" spans="1:36" x14ac:dyDescent="0.25">
      <c r="A325" t="str">
        <f t="shared" si="141"/>
        <v>Department of Communications</v>
      </c>
      <c r="B325" t="str">
        <f>""</f>
        <v/>
      </c>
      <c r="C325" t="str">
        <f>"CN2979012"</f>
        <v>CN2979012</v>
      </c>
      <c r="D325" t="str">
        <f t="shared" si="130"/>
        <v>Leesa O'connor</v>
      </c>
      <c r="E325" s="44">
        <v>42104.607638888891</v>
      </c>
      <c r="F325" t="s">
        <v>2508</v>
      </c>
      <c r="G325" t="str">
        <f t="shared" si="142"/>
        <v>published</v>
      </c>
      <c r="H325" s="45">
        <v>42107</v>
      </c>
      <c r="I325" s="45">
        <v>42185</v>
      </c>
      <c r="J325" s="46">
        <v>32912</v>
      </c>
      <c r="K325" t="s">
        <v>1767</v>
      </c>
      <c r="L325" t="str">
        <f>"0004604910"</f>
        <v>0004604910</v>
      </c>
      <c r="M325" t="str">
        <f>"Information technology consultation services"</f>
        <v>Information technology consultation services</v>
      </c>
      <c r="N325" t="str">
        <f>"Limited tender"</f>
        <v>Limited tender</v>
      </c>
      <c r="O325" t="str">
        <f>""</f>
        <v/>
      </c>
      <c r="Q325" t="str">
        <f t="shared" si="138"/>
        <v>No</v>
      </c>
      <c r="R325" t="str">
        <f>""</f>
        <v/>
      </c>
      <c r="S325" t="str">
        <f t="shared" si="139"/>
        <v>No</v>
      </c>
      <c r="T325" t="str">
        <f>""</f>
        <v/>
      </c>
      <c r="U325" t="str">
        <f t="shared" si="140"/>
        <v>No</v>
      </c>
      <c r="V325" t="str">
        <f>""</f>
        <v/>
      </c>
      <c r="X325" t="str">
        <f>"Isobar"</f>
        <v>Isobar</v>
      </c>
      <c r="Y325" t="str">
        <f>"Suite 6, 8 National Circuit"</f>
        <v>Suite 6, 8 National Circuit</v>
      </c>
      <c r="Z325" t="str">
        <f>"Barton"</f>
        <v>Barton</v>
      </c>
      <c r="AA325" t="str">
        <f>"2600"</f>
        <v>2600</v>
      </c>
      <c r="AB325" t="str">
        <f t="shared" si="134"/>
        <v>Australia</v>
      </c>
      <c r="AC325" t="str">
        <f t="shared" si="133"/>
        <v>No</v>
      </c>
      <c r="AD325" t="str">
        <f>"51126978041"</f>
        <v>51126978041</v>
      </c>
      <c r="AE325" t="str">
        <f t="shared" si="136"/>
        <v>ADMIN OFFICER</v>
      </c>
      <c r="AF325" t="str">
        <f t="shared" si="126"/>
        <v>(02) 6271 1000</v>
      </c>
      <c r="AG325" t="str">
        <f>""</f>
        <v/>
      </c>
      <c r="AH325" t="str">
        <f>""</f>
        <v/>
      </c>
      <c r="AI325" t="str">
        <f t="shared" si="143"/>
        <v>CORPORATE TREASURY [OLD] Corporate Treasury</v>
      </c>
      <c r="AJ325" t="str">
        <f t="shared" si="137"/>
        <v>2603</v>
      </c>
    </row>
    <row r="326" spans="1:36" x14ac:dyDescent="0.25">
      <c r="A326" t="str">
        <f t="shared" si="141"/>
        <v>Department of Communications</v>
      </c>
      <c r="B326" t="str">
        <f>""</f>
        <v/>
      </c>
      <c r="C326" t="str">
        <f>"CN3139702"</f>
        <v>CN3139702</v>
      </c>
      <c r="D326" t="str">
        <f>"David Kenny"</f>
        <v>David Kenny</v>
      </c>
      <c r="E326" s="44">
        <v>42164.624305555553</v>
      </c>
      <c r="F326" t="s">
        <v>2508</v>
      </c>
      <c r="G326" t="str">
        <f t="shared" si="142"/>
        <v>published</v>
      </c>
      <c r="H326" s="45">
        <v>42107</v>
      </c>
      <c r="I326" s="45">
        <v>42185</v>
      </c>
      <c r="J326" s="46">
        <v>10425.25</v>
      </c>
      <c r="K326" t="s">
        <v>1767</v>
      </c>
      <c r="L326" t="str">
        <f>"0004604910"</f>
        <v>0004604910</v>
      </c>
      <c r="M326" t="str">
        <f>"Information technology consultation services"</f>
        <v>Information technology consultation services</v>
      </c>
      <c r="N326" t="str">
        <f>"Limited tender"</f>
        <v>Limited tender</v>
      </c>
      <c r="O326" t="str">
        <f>""</f>
        <v/>
      </c>
      <c r="Q326" t="str">
        <f t="shared" si="138"/>
        <v>No</v>
      </c>
      <c r="R326" t="str">
        <f>""</f>
        <v/>
      </c>
      <c r="S326" t="str">
        <f t="shared" si="139"/>
        <v>No</v>
      </c>
      <c r="T326" t="str">
        <f>""</f>
        <v/>
      </c>
      <c r="U326" t="str">
        <f t="shared" si="140"/>
        <v>No</v>
      </c>
      <c r="V326" t="str">
        <f>""</f>
        <v/>
      </c>
      <c r="X326" t="str">
        <f>"Isobar"</f>
        <v>Isobar</v>
      </c>
      <c r="Y326" t="str">
        <f>"Suite 6, 8 National Circuit"</f>
        <v>Suite 6, 8 National Circuit</v>
      </c>
      <c r="Z326" t="str">
        <f>"Barton"</f>
        <v>Barton</v>
      </c>
      <c r="AA326" t="str">
        <f>"2600"</f>
        <v>2600</v>
      </c>
      <c r="AB326" t="str">
        <f t="shared" si="134"/>
        <v>Australia</v>
      </c>
      <c r="AC326" t="str">
        <f t="shared" si="133"/>
        <v>No</v>
      </c>
      <c r="AD326" t="str">
        <f>"51126978041"</f>
        <v>51126978041</v>
      </c>
      <c r="AE326" t="str">
        <f t="shared" si="136"/>
        <v>ADMIN OFFICER</v>
      </c>
      <c r="AF326" t="str">
        <f t="shared" si="126"/>
        <v>(02) 6271 1000</v>
      </c>
      <c r="AG326" t="str">
        <f>""</f>
        <v/>
      </c>
      <c r="AH326" t="str">
        <f>""</f>
        <v/>
      </c>
      <c r="AI326" t="str">
        <f t="shared" si="143"/>
        <v>CORPORATE TREASURY [OLD] Corporate Treasury</v>
      </c>
      <c r="AJ326" t="str">
        <f t="shared" si="137"/>
        <v>2603</v>
      </c>
    </row>
    <row r="327" spans="1:36" x14ac:dyDescent="0.25">
      <c r="A327" t="str">
        <f t="shared" si="141"/>
        <v>Department of Communications</v>
      </c>
      <c r="B327" t="str">
        <f>""</f>
        <v/>
      </c>
      <c r="C327" t="str">
        <f>"CN2979002"</f>
        <v>CN2979002</v>
      </c>
      <c r="D327" t="str">
        <f t="shared" ref="D327:D341" si="144">"Leesa O'connor"</f>
        <v>Leesa O'connor</v>
      </c>
      <c r="E327" s="44">
        <v>42104.606944444444</v>
      </c>
      <c r="F327" t="s">
        <v>2508</v>
      </c>
      <c r="G327" t="str">
        <f t="shared" si="142"/>
        <v>published</v>
      </c>
      <c r="H327" s="45">
        <v>42102</v>
      </c>
      <c r="I327" s="45">
        <v>42153</v>
      </c>
      <c r="J327" s="46">
        <v>47762</v>
      </c>
      <c r="K327" t="s">
        <v>1899</v>
      </c>
      <c r="L327" t="str">
        <f>"0004604911"</f>
        <v>0004604911</v>
      </c>
      <c r="M327" t="str">
        <f>"Notebook computers"</f>
        <v>Notebook computers</v>
      </c>
      <c r="N327" t="str">
        <f>"Open tender"</f>
        <v>Open tender</v>
      </c>
      <c r="O327" t="str">
        <f>"FIN10/AGI001"</f>
        <v>FIN10/AGI001</v>
      </c>
      <c r="P327" t="str">
        <f>"SON335550"</f>
        <v>SON335550</v>
      </c>
      <c r="Q327" t="str">
        <f t="shared" si="138"/>
        <v>No</v>
      </c>
      <c r="R327" t="str">
        <f>""</f>
        <v/>
      </c>
      <c r="S327" t="str">
        <f t="shared" si="139"/>
        <v>No</v>
      </c>
      <c r="T327" t="str">
        <f>""</f>
        <v/>
      </c>
      <c r="U327" t="str">
        <f t="shared" si="140"/>
        <v>No</v>
      </c>
      <c r="V327" t="str">
        <f>""</f>
        <v/>
      </c>
      <c r="X327" t="str">
        <f>"ETHANGROUP"</f>
        <v>ETHANGROUP</v>
      </c>
      <c r="Y327" t="str">
        <f>"Level 5, 13-15 Lyon Park Road"</f>
        <v>Level 5, 13-15 Lyon Park Road</v>
      </c>
      <c r="Z327" t="str">
        <f>"North Ryde"</f>
        <v>North Ryde</v>
      </c>
      <c r="AA327" t="str">
        <f>"2113"</f>
        <v>2113</v>
      </c>
      <c r="AB327" t="str">
        <f t="shared" si="134"/>
        <v>Australia</v>
      </c>
      <c r="AC327" t="str">
        <f t="shared" si="133"/>
        <v>No</v>
      </c>
      <c r="AD327" t="str">
        <f>"93099503456"</f>
        <v>93099503456</v>
      </c>
      <c r="AE327" t="str">
        <f t="shared" si="136"/>
        <v>ADMIN OFFICER</v>
      </c>
      <c r="AF327" t="str">
        <f t="shared" si="126"/>
        <v>(02) 6271 1000</v>
      </c>
      <c r="AG327" t="str">
        <f>""</f>
        <v/>
      </c>
      <c r="AH327" t="str">
        <f>""</f>
        <v/>
      </c>
      <c r="AI327" t="str">
        <f t="shared" si="143"/>
        <v>CORPORATE TREASURY [OLD] Corporate Treasury</v>
      </c>
      <c r="AJ327" t="str">
        <f t="shared" si="137"/>
        <v>2603</v>
      </c>
    </row>
    <row r="328" spans="1:36" x14ac:dyDescent="0.25">
      <c r="A328" t="str">
        <f t="shared" si="141"/>
        <v>Department of Communications</v>
      </c>
      <c r="B328" t="str">
        <f>""</f>
        <v/>
      </c>
      <c r="C328" t="str">
        <f>"CN2978992"</f>
        <v>CN2978992</v>
      </c>
      <c r="D328" t="str">
        <f t="shared" si="144"/>
        <v>Leesa O'connor</v>
      </c>
      <c r="E328" s="44">
        <v>42104.606944444444</v>
      </c>
      <c r="F328" t="s">
        <v>2508</v>
      </c>
      <c r="G328" t="str">
        <f t="shared" si="142"/>
        <v>published</v>
      </c>
      <c r="H328" s="45">
        <v>42086</v>
      </c>
      <c r="I328" s="45">
        <v>42185</v>
      </c>
      <c r="J328" s="46">
        <v>14071.88</v>
      </c>
      <c r="K328" t="s">
        <v>1901</v>
      </c>
      <c r="L328" t="str">
        <f>"0004604913"</f>
        <v>0004604913</v>
      </c>
      <c r="M328" t="str">
        <f>"Temporary personnel services"</f>
        <v>Temporary personnel services</v>
      </c>
      <c r="N328" t="str">
        <f>"Limited tender"</f>
        <v>Limited tender</v>
      </c>
      <c r="O328" t="str">
        <f>""</f>
        <v/>
      </c>
      <c r="Q328" t="str">
        <f t="shared" si="138"/>
        <v>No</v>
      </c>
      <c r="R328" t="str">
        <f>""</f>
        <v/>
      </c>
      <c r="S328" t="str">
        <f t="shared" si="139"/>
        <v>No</v>
      </c>
      <c r="T328" t="str">
        <f>""</f>
        <v/>
      </c>
      <c r="U328" t="str">
        <f t="shared" si="140"/>
        <v>No</v>
      </c>
      <c r="V328" t="str">
        <f>""</f>
        <v/>
      </c>
      <c r="X328" t="str">
        <f>"Doyle Executive, Accounting"</f>
        <v>Doyle Executive, Accounting</v>
      </c>
      <c r="Y328" t="str">
        <f>"616/25 Edinburgh Avenue"</f>
        <v>616/25 Edinburgh Avenue</v>
      </c>
      <c r="Z328" t="str">
        <f>"Canberra"</f>
        <v>Canberra</v>
      </c>
      <c r="AA328" t="str">
        <f>"2601"</f>
        <v>2601</v>
      </c>
      <c r="AB328" t="str">
        <f t="shared" si="134"/>
        <v>Australia</v>
      </c>
      <c r="AC328" t="str">
        <f t="shared" si="133"/>
        <v>No</v>
      </c>
      <c r="AD328" t="str">
        <f>"81163707604"</f>
        <v>81163707604</v>
      </c>
      <c r="AE328" t="str">
        <f t="shared" si="136"/>
        <v>ADMIN OFFICER</v>
      </c>
      <c r="AF328" t="str">
        <f t="shared" si="126"/>
        <v>(02) 6271 1000</v>
      </c>
      <c r="AG328" t="str">
        <f>""</f>
        <v/>
      </c>
      <c r="AH328" t="str">
        <f>""</f>
        <v/>
      </c>
      <c r="AI328" t="str">
        <f t="shared" si="143"/>
        <v>CORPORATE TREASURY [OLD] Corporate Treasury</v>
      </c>
      <c r="AJ328" t="str">
        <f t="shared" si="137"/>
        <v>2603</v>
      </c>
    </row>
    <row r="329" spans="1:36" x14ac:dyDescent="0.25">
      <c r="A329" t="str">
        <f t="shared" si="141"/>
        <v>Department of Communications</v>
      </c>
      <c r="B329" t="str">
        <f>""</f>
        <v/>
      </c>
      <c r="C329" t="str">
        <f>"CN2978982"</f>
        <v>CN2978982</v>
      </c>
      <c r="D329" t="str">
        <f t="shared" si="144"/>
        <v>Leesa O'connor</v>
      </c>
      <c r="E329" s="44">
        <v>42104.606249999997</v>
      </c>
      <c r="F329" t="s">
        <v>2508</v>
      </c>
      <c r="G329" t="str">
        <f t="shared" si="142"/>
        <v>published</v>
      </c>
      <c r="H329" s="45">
        <v>42125</v>
      </c>
      <c r="I329" s="45">
        <v>42185</v>
      </c>
      <c r="J329" s="46">
        <v>16000</v>
      </c>
      <c r="K329" t="s">
        <v>1902</v>
      </c>
      <c r="L329" t="str">
        <f>"0004604914"</f>
        <v>0004604914</v>
      </c>
      <c r="M329" t="str">
        <f>"Human resources services"</f>
        <v>Human resources services</v>
      </c>
      <c r="N329" t="str">
        <f>"Limited tender"</f>
        <v>Limited tender</v>
      </c>
      <c r="O329" t="str">
        <f>""</f>
        <v/>
      </c>
      <c r="Q329" t="str">
        <f t="shared" si="138"/>
        <v>No</v>
      </c>
      <c r="R329" t="str">
        <f>""</f>
        <v/>
      </c>
      <c r="S329" t="str">
        <f t="shared" si="139"/>
        <v>No</v>
      </c>
      <c r="T329" t="str">
        <f>""</f>
        <v/>
      </c>
      <c r="U329" t="str">
        <f t="shared" si="140"/>
        <v>No</v>
      </c>
      <c r="V329" t="str">
        <f>""</f>
        <v/>
      </c>
      <c r="X329" t="str">
        <f>"Australian Public"</f>
        <v>Australian Public</v>
      </c>
      <c r="Y329" t="str">
        <f>"16 Furzer Street"</f>
        <v>16 Furzer Street</v>
      </c>
      <c r="Z329" t="str">
        <f>"Phillip"</f>
        <v>Phillip</v>
      </c>
      <c r="AA329" t="str">
        <f>"2606"</f>
        <v>2606</v>
      </c>
      <c r="AB329" t="str">
        <f t="shared" si="134"/>
        <v>Australia</v>
      </c>
      <c r="AC329" t="str">
        <f t="shared" si="133"/>
        <v>No</v>
      </c>
      <c r="AD329" t="str">
        <f>"99470863260"</f>
        <v>99470863260</v>
      </c>
      <c r="AE329" t="str">
        <f t="shared" si="136"/>
        <v>ADMIN OFFICER</v>
      </c>
      <c r="AF329" t="str">
        <f t="shared" si="126"/>
        <v>(02) 6271 1000</v>
      </c>
      <c r="AG329" t="str">
        <f>""</f>
        <v/>
      </c>
      <c r="AH329" t="str">
        <f>""</f>
        <v/>
      </c>
      <c r="AI329" t="str">
        <f t="shared" si="143"/>
        <v>CORPORATE TREASURY [OLD] Corporate Treasury</v>
      </c>
      <c r="AJ329" t="str">
        <f t="shared" si="137"/>
        <v>2603</v>
      </c>
    </row>
    <row r="330" spans="1:36" x14ac:dyDescent="0.25">
      <c r="A330" t="str">
        <f t="shared" si="141"/>
        <v>Department of Communications</v>
      </c>
      <c r="B330" t="str">
        <f>""</f>
        <v/>
      </c>
      <c r="C330" t="str">
        <f>"CN2978972"</f>
        <v>CN2978972</v>
      </c>
      <c r="D330" t="str">
        <f t="shared" si="144"/>
        <v>Leesa O'connor</v>
      </c>
      <c r="E330" s="44">
        <v>42104.606249999997</v>
      </c>
      <c r="F330" t="s">
        <v>2508</v>
      </c>
      <c r="G330" t="str">
        <f t="shared" si="142"/>
        <v>published</v>
      </c>
      <c r="H330" s="45">
        <v>42104</v>
      </c>
      <c r="I330" s="45">
        <v>42153</v>
      </c>
      <c r="J330" s="46">
        <v>32844.35</v>
      </c>
      <c r="K330" t="s">
        <v>1767</v>
      </c>
      <c r="L330" t="str">
        <f>"0004604915"</f>
        <v>0004604915</v>
      </c>
      <c r="M330" t="str">
        <f>"System administrators"</f>
        <v>System administrators</v>
      </c>
      <c r="N330" t="str">
        <f>"Open tender"</f>
        <v>Open tender</v>
      </c>
      <c r="O330" t="str">
        <f>"DCON/09/67"</f>
        <v>DCON/09/67</v>
      </c>
      <c r="P330" t="str">
        <f>"SON269193"</f>
        <v>SON269193</v>
      </c>
      <c r="Q330" t="str">
        <f t="shared" si="138"/>
        <v>No</v>
      </c>
      <c r="R330" t="str">
        <f>""</f>
        <v/>
      </c>
      <c r="S330" t="str">
        <f t="shared" si="139"/>
        <v>No</v>
      </c>
      <c r="T330" t="str">
        <f>""</f>
        <v/>
      </c>
      <c r="U330" t="str">
        <f t="shared" si="140"/>
        <v>No</v>
      </c>
      <c r="V330" t="str">
        <f>""</f>
        <v/>
      </c>
      <c r="X330" t="str">
        <f>"ASG Group Limited"</f>
        <v>ASG Group Limited</v>
      </c>
      <c r="Y330" t="str">
        <f>"Level 1, 267 Georges Terrace"</f>
        <v>Level 1, 267 Georges Terrace</v>
      </c>
      <c r="Z330" t="str">
        <f>"Perth"</f>
        <v>Perth</v>
      </c>
      <c r="AA330" t="str">
        <f>"6000"</f>
        <v>6000</v>
      </c>
      <c r="AB330" t="str">
        <f t="shared" si="134"/>
        <v>Australia</v>
      </c>
      <c r="AC330" t="str">
        <f t="shared" si="133"/>
        <v>No</v>
      </c>
      <c r="AD330" t="str">
        <f>"57070045117"</f>
        <v>57070045117</v>
      </c>
      <c r="AE330" t="str">
        <f t="shared" si="136"/>
        <v>ADMIN OFFICER</v>
      </c>
      <c r="AF330" t="str">
        <f t="shared" si="126"/>
        <v>(02) 6271 1000</v>
      </c>
      <c r="AG330" t="str">
        <f>""</f>
        <v/>
      </c>
      <c r="AH330" t="str">
        <f>""</f>
        <v/>
      </c>
      <c r="AI330" t="str">
        <f t="shared" si="143"/>
        <v>CORPORATE TREASURY [OLD] Corporate Treasury</v>
      </c>
      <c r="AJ330" t="str">
        <f t="shared" si="137"/>
        <v>2603</v>
      </c>
    </row>
    <row r="331" spans="1:36" x14ac:dyDescent="0.25">
      <c r="A331" t="str">
        <f t="shared" si="141"/>
        <v>Department of Communications</v>
      </c>
      <c r="B331" t="str">
        <f>""</f>
        <v/>
      </c>
      <c r="C331" t="str">
        <f>"CN2978962"</f>
        <v>CN2978962</v>
      </c>
      <c r="D331" t="str">
        <f t="shared" si="144"/>
        <v>Leesa O'connor</v>
      </c>
      <c r="E331" s="44">
        <v>42104.606249999997</v>
      </c>
      <c r="F331" t="s">
        <v>2508</v>
      </c>
      <c r="G331" t="str">
        <f t="shared" si="142"/>
        <v>published</v>
      </c>
      <c r="H331" s="45">
        <v>42102</v>
      </c>
      <c r="I331" s="45">
        <v>42104</v>
      </c>
      <c r="J331" s="46">
        <v>27808</v>
      </c>
      <c r="K331" t="s">
        <v>1896</v>
      </c>
      <c r="L331" t="str">
        <f>"0004604916"</f>
        <v>0004604916</v>
      </c>
      <c r="M331" t="str">
        <f>"System administrators"</f>
        <v>System administrators</v>
      </c>
      <c r="N331" t="str">
        <f>"Open tender"</f>
        <v>Open tender</v>
      </c>
      <c r="O331" t="str">
        <f>"DCON/09/67"</f>
        <v>DCON/09/67</v>
      </c>
      <c r="P331" t="str">
        <f>"SON269193"</f>
        <v>SON269193</v>
      </c>
      <c r="Q331" t="str">
        <f t="shared" si="138"/>
        <v>No</v>
      </c>
      <c r="R331" t="str">
        <f>""</f>
        <v/>
      </c>
      <c r="S331" t="str">
        <f t="shared" si="139"/>
        <v>No</v>
      </c>
      <c r="T331" t="str">
        <f>""</f>
        <v/>
      </c>
      <c r="U331" t="str">
        <f t="shared" si="140"/>
        <v>No</v>
      </c>
      <c r="V331" t="str">
        <f>""</f>
        <v/>
      </c>
      <c r="X331" t="str">
        <f>"ASG Group Limited"</f>
        <v>ASG Group Limited</v>
      </c>
      <c r="Y331" t="str">
        <f>"Level 1, 267 Georges Terrace"</f>
        <v>Level 1, 267 Georges Terrace</v>
      </c>
      <c r="Z331" t="str">
        <f>"Perth"</f>
        <v>Perth</v>
      </c>
      <c r="AA331" t="str">
        <f>"6000"</f>
        <v>6000</v>
      </c>
      <c r="AB331" t="str">
        <f t="shared" si="134"/>
        <v>Australia</v>
      </c>
      <c r="AC331" t="str">
        <f t="shared" si="133"/>
        <v>No</v>
      </c>
      <c r="AD331" t="str">
        <f>"57070045117"</f>
        <v>57070045117</v>
      </c>
      <c r="AE331" t="str">
        <f t="shared" si="136"/>
        <v>ADMIN OFFICER</v>
      </c>
      <c r="AF331" t="str">
        <f t="shared" si="126"/>
        <v>(02) 6271 1000</v>
      </c>
      <c r="AG331" t="str">
        <f>""</f>
        <v/>
      </c>
      <c r="AH331" t="str">
        <f>""</f>
        <v/>
      </c>
      <c r="AI331" t="str">
        <f t="shared" si="143"/>
        <v>CORPORATE TREASURY [OLD] Corporate Treasury</v>
      </c>
      <c r="AJ331" t="str">
        <f t="shared" si="137"/>
        <v>2603</v>
      </c>
    </row>
    <row r="332" spans="1:36" x14ac:dyDescent="0.25">
      <c r="A332" t="str">
        <f t="shared" si="141"/>
        <v>Department of Communications</v>
      </c>
      <c r="B332" t="str">
        <f>""</f>
        <v/>
      </c>
      <c r="C332" t="str">
        <f>"CN2988812"</f>
        <v>CN2988812</v>
      </c>
      <c r="D332" t="str">
        <f t="shared" si="144"/>
        <v>Leesa O'connor</v>
      </c>
      <c r="E332" s="44">
        <v>42109.617361111108</v>
      </c>
      <c r="F332" t="s">
        <v>2508</v>
      </c>
      <c r="G332" t="str">
        <f t="shared" si="142"/>
        <v>published</v>
      </c>
      <c r="H332" s="45">
        <v>42107</v>
      </c>
      <c r="I332" s="45">
        <v>42185</v>
      </c>
      <c r="J332" s="46">
        <v>33000</v>
      </c>
      <c r="K332" t="s">
        <v>1906</v>
      </c>
      <c r="L332" t="str">
        <f>"0004604918"</f>
        <v>0004604918</v>
      </c>
      <c r="M332" t="str">
        <f>"Software maintenance and support"</f>
        <v>Software maintenance and support</v>
      </c>
      <c r="N332" t="str">
        <f>"Open tender"</f>
        <v>Open tender</v>
      </c>
      <c r="O332" t="str">
        <f>"11/000006268"</f>
        <v>11/000006268</v>
      </c>
      <c r="P332" t="str">
        <f>"SON867801"</f>
        <v>SON867801</v>
      </c>
      <c r="Q332" t="str">
        <f t="shared" si="138"/>
        <v>No</v>
      </c>
      <c r="R332" t="str">
        <f>""</f>
        <v/>
      </c>
      <c r="S332" t="str">
        <f t="shared" si="139"/>
        <v>No</v>
      </c>
      <c r="T332" t="str">
        <f>""</f>
        <v/>
      </c>
      <c r="U332" t="str">
        <f t="shared" si="140"/>
        <v>No</v>
      </c>
      <c r="V332" t="str">
        <f>""</f>
        <v/>
      </c>
      <c r="X332" t="str">
        <f>"Omaha IT Services Pty Ltd"</f>
        <v>Omaha IT Services Pty Ltd</v>
      </c>
      <c r="Y332" t="str">
        <f>"PO Box 196"</f>
        <v>PO Box 196</v>
      </c>
      <c r="Z332" t="str">
        <f>"Calwell"</f>
        <v>Calwell</v>
      </c>
      <c r="AA332" t="str">
        <f>"2905"</f>
        <v>2905</v>
      </c>
      <c r="AB332" t="str">
        <f t="shared" si="134"/>
        <v>Australia</v>
      </c>
      <c r="AC332" t="str">
        <f t="shared" si="133"/>
        <v>No</v>
      </c>
      <c r="AD332" t="str">
        <f>"50050494196"</f>
        <v>50050494196</v>
      </c>
      <c r="AE332" t="str">
        <f t="shared" si="136"/>
        <v>ADMIN OFFICER</v>
      </c>
      <c r="AF332" t="str">
        <f t="shared" si="126"/>
        <v>(02) 6271 1000</v>
      </c>
      <c r="AG332" t="str">
        <f>""</f>
        <v/>
      </c>
      <c r="AH332" t="str">
        <f>""</f>
        <v/>
      </c>
      <c r="AI332" t="str">
        <f t="shared" si="143"/>
        <v>CORPORATE TREASURY [OLD] Corporate Treasury</v>
      </c>
      <c r="AJ332" t="str">
        <f t="shared" si="137"/>
        <v>2603</v>
      </c>
    </row>
    <row r="333" spans="1:36" x14ac:dyDescent="0.25">
      <c r="A333" t="str">
        <f t="shared" si="141"/>
        <v>Department of Communications</v>
      </c>
      <c r="B333" t="str">
        <f>""</f>
        <v/>
      </c>
      <c r="C333" t="str">
        <f>"CN2988802"</f>
        <v>CN2988802</v>
      </c>
      <c r="D333" t="str">
        <f t="shared" si="144"/>
        <v>Leesa O'connor</v>
      </c>
      <c r="E333" s="44">
        <v>42109.617361111108</v>
      </c>
      <c r="F333" t="s">
        <v>2508</v>
      </c>
      <c r="G333" t="str">
        <f t="shared" si="142"/>
        <v>published</v>
      </c>
      <c r="H333" s="45">
        <v>42054</v>
      </c>
      <c r="I333" s="45">
        <v>42185</v>
      </c>
      <c r="J333" s="46">
        <v>53262</v>
      </c>
      <c r="K333" t="s">
        <v>348</v>
      </c>
      <c r="L333" t="str">
        <f>"0004604920"</f>
        <v>0004604920</v>
      </c>
      <c r="M333" t="str">
        <f>"Public relation services"</f>
        <v>Public relation services</v>
      </c>
      <c r="N333" t="str">
        <f>"Limited tender"</f>
        <v>Limited tender</v>
      </c>
      <c r="O333" t="str">
        <f>""</f>
        <v/>
      </c>
      <c r="Q333" t="str">
        <f t="shared" si="138"/>
        <v>No</v>
      </c>
      <c r="R333" t="str">
        <f>""</f>
        <v/>
      </c>
      <c r="S333" t="str">
        <f t="shared" si="139"/>
        <v>No</v>
      </c>
      <c r="T333" t="str">
        <f>""</f>
        <v/>
      </c>
      <c r="U333" t="str">
        <f t="shared" si="140"/>
        <v>No</v>
      </c>
      <c r="V333" t="str">
        <f>""</f>
        <v/>
      </c>
      <c r="X333" t="str">
        <f>"MEDIA MONITORS T/A ISENTIA"</f>
        <v>MEDIA MONITORS T/A ISENTIA</v>
      </c>
      <c r="Y333" t="str">
        <f>"PO BOX 2110"</f>
        <v>PO BOX 2110</v>
      </c>
      <c r="Z333" t="str">
        <f>"STRAWBERRY HIL"</f>
        <v>STRAWBERRY HIL</v>
      </c>
      <c r="AA333" t="str">
        <f>"2012"</f>
        <v>2012</v>
      </c>
      <c r="AB333" t="str">
        <f t="shared" si="134"/>
        <v>Australia</v>
      </c>
      <c r="AC333" t="str">
        <f t="shared" si="133"/>
        <v>No</v>
      </c>
      <c r="AD333" t="str">
        <f>"11002533851"</f>
        <v>11002533851</v>
      </c>
      <c r="AE333" t="str">
        <f>"PROCUREMENT MANAGER"</f>
        <v>PROCUREMENT MANAGER</v>
      </c>
      <c r="AF333" t="str">
        <f t="shared" si="126"/>
        <v>(02) 6271 1000</v>
      </c>
      <c r="AG333" t="str">
        <f>""</f>
        <v/>
      </c>
      <c r="AH333" t="str">
        <f>""</f>
        <v/>
      </c>
      <c r="AI333" t="str">
        <f>"CONSUMER &amp; CONTENT Consumer and Content Division"</f>
        <v>CONSUMER &amp; CONTENT Consumer and Content Division</v>
      </c>
      <c r="AJ333" t="str">
        <f t="shared" si="137"/>
        <v>2603</v>
      </c>
    </row>
    <row r="334" spans="1:36" x14ac:dyDescent="0.25">
      <c r="A334" t="str">
        <f t="shared" si="141"/>
        <v>Department of Communications</v>
      </c>
      <c r="B334" t="str">
        <f>""</f>
        <v/>
      </c>
      <c r="C334" t="str">
        <f>"CN2988792"</f>
        <v>CN2988792</v>
      </c>
      <c r="D334" t="str">
        <f t="shared" si="144"/>
        <v>Leesa O'connor</v>
      </c>
      <c r="E334" s="44">
        <v>42109.617361111108</v>
      </c>
      <c r="F334" t="s">
        <v>2508</v>
      </c>
      <c r="G334" t="str">
        <f t="shared" si="142"/>
        <v>published</v>
      </c>
      <c r="H334" s="45">
        <v>42095</v>
      </c>
      <c r="I334" s="45">
        <v>42277</v>
      </c>
      <c r="J334" s="46">
        <v>64500</v>
      </c>
      <c r="K334" t="s">
        <v>503</v>
      </c>
      <c r="L334" t="str">
        <f>"0004604921"</f>
        <v>0004604921</v>
      </c>
      <c r="M334" t="str">
        <f>"Corporate objectives or policy development"</f>
        <v>Corporate objectives or policy development</v>
      </c>
      <c r="N334" t="str">
        <f>"Open tender"</f>
        <v>Open tender</v>
      </c>
      <c r="O334" t="str">
        <f>"DCON/15/3"</f>
        <v>DCON/15/3</v>
      </c>
      <c r="Q334" t="str">
        <f t="shared" si="138"/>
        <v>No</v>
      </c>
      <c r="R334" t="str">
        <f>""</f>
        <v/>
      </c>
      <c r="S334" t="str">
        <f t="shared" si="139"/>
        <v>No</v>
      </c>
      <c r="T334" t="str">
        <f>""</f>
        <v/>
      </c>
      <c r="U334" t="str">
        <f>"Yes"</f>
        <v>Yes</v>
      </c>
      <c r="V334" t="str">
        <f>"Need for specialised or professional skills"</f>
        <v>Need for specialised or professional skills</v>
      </c>
      <c r="X334" t="str">
        <f>"INTERNATIONAL ECONOMICS UNIT TRUST"</f>
        <v>INTERNATIONAL ECONOMICS UNIT TRUST</v>
      </c>
      <c r="Y334" t="str">
        <f>"PO Box 397"</f>
        <v>PO Box 397</v>
      </c>
      <c r="Z334" t="str">
        <f>"SYDNEY"</f>
        <v>SYDNEY</v>
      </c>
      <c r="AA334" t="str">
        <f>"1043"</f>
        <v>1043</v>
      </c>
      <c r="AB334" t="str">
        <f t="shared" si="134"/>
        <v>Australia</v>
      </c>
      <c r="AC334" t="str">
        <f t="shared" si="133"/>
        <v>No</v>
      </c>
      <c r="AD334" t="str">
        <f>"11705723812"</f>
        <v>11705723812</v>
      </c>
      <c r="AE334" t="str">
        <f>"PROCUREMENT MANAGER"</f>
        <v>PROCUREMENT MANAGER</v>
      </c>
      <c r="AF334" t="str">
        <f t="shared" si="126"/>
        <v>(02) 6271 1000</v>
      </c>
      <c r="AG334" t="str">
        <f>""</f>
        <v/>
      </c>
      <c r="AH334" t="str">
        <f>""</f>
        <v/>
      </c>
      <c r="AI334" t="str">
        <f>"COMMUNICATIONS RESEARCH Bureau of Communications Research"</f>
        <v>COMMUNICATIONS RESEARCH Bureau of Communications Research</v>
      </c>
      <c r="AJ334" t="str">
        <f t="shared" si="137"/>
        <v>2603</v>
      </c>
    </row>
    <row r="335" spans="1:36" x14ac:dyDescent="0.25">
      <c r="A335" t="str">
        <f t="shared" si="141"/>
        <v>Department of Communications</v>
      </c>
      <c r="B335" t="str">
        <f>""</f>
        <v/>
      </c>
      <c r="C335" t="str">
        <f>"CN2988782"</f>
        <v>CN2988782</v>
      </c>
      <c r="D335" t="str">
        <f t="shared" si="144"/>
        <v>Leesa O'connor</v>
      </c>
      <c r="E335" s="44">
        <v>42109.617361111108</v>
      </c>
      <c r="F335" t="s">
        <v>2508</v>
      </c>
      <c r="G335" t="str">
        <f t="shared" si="142"/>
        <v>published</v>
      </c>
      <c r="H335" s="45">
        <v>42104</v>
      </c>
      <c r="I335" s="45">
        <v>42185</v>
      </c>
      <c r="J335" s="46">
        <v>62696.7</v>
      </c>
      <c r="K335" t="s">
        <v>1910</v>
      </c>
      <c r="L335" t="str">
        <f>"0004604923"</f>
        <v>0004604923</v>
      </c>
      <c r="M335" t="str">
        <f>"Strategic planning consultation services"</f>
        <v>Strategic planning consultation services</v>
      </c>
      <c r="N335" t="str">
        <f>"Limited tender"</f>
        <v>Limited tender</v>
      </c>
      <c r="O335" t="str">
        <f>""</f>
        <v/>
      </c>
      <c r="Q335" t="str">
        <f t="shared" si="138"/>
        <v>No</v>
      </c>
      <c r="R335" t="str">
        <f>""</f>
        <v/>
      </c>
      <c r="S335" t="str">
        <f t="shared" si="139"/>
        <v>No</v>
      </c>
      <c r="T335" t="str">
        <f>""</f>
        <v/>
      </c>
      <c r="U335" t="str">
        <f>"No"</f>
        <v>No</v>
      </c>
      <c r="V335" t="str">
        <f>""</f>
        <v/>
      </c>
      <c r="X335" t="str">
        <f>"Enable Development"</f>
        <v>Enable Development</v>
      </c>
      <c r="Y335" t="str">
        <f>"87 Capel Street"</f>
        <v>87 Capel Street</v>
      </c>
      <c r="Z335" t="str">
        <f>"West melbourne"</f>
        <v>West melbourne</v>
      </c>
      <c r="AA335" t="str">
        <f>"3003"</f>
        <v>3003</v>
      </c>
      <c r="AB335" t="str">
        <f t="shared" si="134"/>
        <v>Australia</v>
      </c>
      <c r="AC335" t="str">
        <f t="shared" si="133"/>
        <v>No</v>
      </c>
      <c r="AD335" t="str">
        <f>"87163307917"</f>
        <v>87163307917</v>
      </c>
      <c r="AE335" t="str">
        <f>"ADMIN OFFICER"</f>
        <v>ADMIN OFFICER</v>
      </c>
      <c r="AF335" t="str">
        <f t="shared" si="126"/>
        <v>(02) 6271 1000</v>
      </c>
      <c r="AG335" t="str">
        <f>""</f>
        <v/>
      </c>
      <c r="AH335" t="str">
        <f>""</f>
        <v/>
      </c>
      <c r="AI335" t="str">
        <f>"CORPORATE TREASURY [OLD] Corporate Treasury"</f>
        <v>CORPORATE TREASURY [OLD] Corporate Treasury</v>
      </c>
      <c r="AJ335" t="str">
        <f t="shared" si="137"/>
        <v>2603</v>
      </c>
    </row>
    <row r="336" spans="1:36" x14ac:dyDescent="0.25">
      <c r="A336" t="str">
        <f t="shared" si="141"/>
        <v>Department of Communications</v>
      </c>
      <c r="B336" t="str">
        <f>""</f>
        <v/>
      </c>
      <c r="C336" t="str">
        <f>"CN2988772"</f>
        <v>CN2988772</v>
      </c>
      <c r="D336" t="str">
        <f t="shared" si="144"/>
        <v>Leesa O'connor</v>
      </c>
      <c r="E336" s="44">
        <v>42109.616666666669</v>
      </c>
      <c r="F336" t="s">
        <v>2508</v>
      </c>
      <c r="G336" t="str">
        <f t="shared" si="142"/>
        <v>published</v>
      </c>
      <c r="H336" s="45">
        <v>42095</v>
      </c>
      <c r="I336" s="45">
        <v>42277</v>
      </c>
      <c r="J336" s="46">
        <v>79500</v>
      </c>
      <c r="K336" t="s">
        <v>503</v>
      </c>
      <c r="L336" t="str">
        <f>"0004604924"</f>
        <v>0004604924</v>
      </c>
      <c r="M336" t="str">
        <f>"Corporate objectives or policy development"</f>
        <v>Corporate objectives or policy development</v>
      </c>
      <c r="N336" t="str">
        <f>"Open tender"</f>
        <v>Open tender</v>
      </c>
      <c r="O336" t="str">
        <f>"DCON15/1"</f>
        <v>DCON15/1</v>
      </c>
      <c r="Q336" t="str">
        <f t="shared" si="138"/>
        <v>No</v>
      </c>
      <c r="R336" t="str">
        <f>""</f>
        <v/>
      </c>
      <c r="S336" t="str">
        <f t="shared" si="139"/>
        <v>No</v>
      </c>
      <c r="T336" t="str">
        <f>""</f>
        <v/>
      </c>
      <c r="U336" t="str">
        <f>"Yes"</f>
        <v>Yes</v>
      </c>
      <c r="V336" t="str">
        <f>"Need for specialised or professional skills"</f>
        <v>Need for specialised or professional skills</v>
      </c>
      <c r="X336" t="str">
        <f>"Analysys Mason Limited T/as"</f>
        <v>Analysys Mason Limited T/as</v>
      </c>
      <c r="Y336" t="str">
        <f>"St Giles Court"</f>
        <v>St Giles Court</v>
      </c>
      <c r="Z336" t="str">
        <f>"Cambridge"</f>
        <v>Cambridge</v>
      </c>
      <c r="AA336" t="str">
        <f>"CB30AJ"</f>
        <v>CB30AJ</v>
      </c>
      <c r="AB336" t="str">
        <f>"UNITED KINGDOM"</f>
        <v>UNITED KINGDOM</v>
      </c>
      <c r="AC336" t="str">
        <f>"Yes"</f>
        <v>Yes</v>
      </c>
      <c r="AD336" t="str">
        <f>""</f>
        <v/>
      </c>
      <c r="AE336" t="str">
        <f>"PROCUREMENT MANAGER"</f>
        <v>PROCUREMENT MANAGER</v>
      </c>
      <c r="AF336" t="str">
        <f t="shared" si="126"/>
        <v>(02) 6271 1000</v>
      </c>
      <c r="AG336" t="str">
        <f>""</f>
        <v/>
      </c>
      <c r="AH336" t="str">
        <f>""</f>
        <v/>
      </c>
      <c r="AI336" t="str">
        <f>"COMMUNICATIONS RESEARCH Bureau of Communications Research"</f>
        <v>COMMUNICATIONS RESEARCH Bureau of Communications Research</v>
      </c>
      <c r="AJ336" t="str">
        <f t="shared" si="137"/>
        <v>2603</v>
      </c>
    </row>
    <row r="337" spans="1:36" x14ac:dyDescent="0.25">
      <c r="A337" t="str">
        <f t="shared" si="141"/>
        <v>Department of Communications</v>
      </c>
      <c r="B337" t="str">
        <f>""</f>
        <v/>
      </c>
      <c r="C337" t="str">
        <f>"CN2988762"</f>
        <v>CN2988762</v>
      </c>
      <c r="D337" t="str">
        <f t="shared" si="144"/>
        <v>Leesa O'connor</v>
      </c>
      <c r="E337" s="44">
        <v>42109.616666666669</v>
      </c>
      <c r="F337" t="s">
        <v>2508</v>
      </c>
      <c r="G337" t="str">
        <f t="shared" si="142"/>
        <v>published</v>
      </c>
      <c r="H337" s="45">
        <v>42108</v>
      </c>
      <c r="I337" s="45">
        <v>42181</v>
      </c>
      <c r="J337" s="46">
        <v>11000</v>
      </c>
      <c r="K337" t="s">
        <v>2404</v>
      </c>
      <c r="L337" t="str">
        <f>"0004604926"</f>
        <v>0004604926</v>
      </c>
      <c r="M337" t="str">
        <f>"Legal services"</f>
        <v>Legal services</v>
      </c>
      <c r="N337" t="str">
        <f>"Open tender"</f>
        <v>Open tender</v>
      </c>
      <c r="O337" t="str">
        <f>"DCON/10/65"</f>
        <v>DCON/10/65</v>
      </c>
      <c r="P337" t="str">
        <f>"SON347233"</f>
        <v>SON347233</v>
      </c>
      <c r="Q337" t="str">
        <f>"Yes"</f>
        <v>Yes</v>
      </c>
      <c r="R337" t="str">
        <f>"Costing/profit information"</f>
        <v>Costing/profit information</v>
      </c>
      <c r="S337" t="str">
        <f>"Yes"</f>
        <v>Yes</v>
      </c>
      <c r="T337" t="str">
        <f>"Intellectual property"</f>
        <v>Intellectual property</v>
      </c>
      <c r="U337" t="str">
        <f>"Yes"</f>
        <v>Yes</v>
      </c>
      <c r="V337" t="str">
        <f>"Need for specialised or professional skills"</f>
        <v>Need for specialised or professional skills</v>
      </c>
      <c r="X337" t="str">
        <f>"AUSTRALIAN GOVERNMENT SOLICITOR"</f>
        <v>AUSTRALIAN GOVERNMENT SOLICITOR</v>
      </c>
      <c r="Y337" t="str">
        <f>"Locked Bag 7246"</f>
        <v>Locked Bag 7246</v>
      </c>
      <c r="Z337" t="str">
        <f>"Canberra Mail Centre"</f>
        <v>Canberra Mail Centre</v>
      </c>
      <c r="AA337" t="str">
        <f>"2610"</f>
        <v>2610</v>
      </c>
      <c r="AB337" t="str">
        <f t="shared" ref="AB337:AB352" si="145">"Australia"</f>
        <v>Australia</v>
      </c>
      <c r="AC337" t="str">
        <f t="shared" ref="AC337:AC358" si="146">"No"</f>
        <v>No</v>
      </c>
      <c r="AD337" t="str">
        <f>"69405937639"</f>
        <v>69405937639</v>
      </c>
      <c r="AE337" t="str">
        <f>"PROCUREMENT MANAGER"</f>
        <v>PROCUREMENT MANAGER</v>
      </c>
      <c r="AF337" t="str">
        <f t="shared" si="126"/>
        <v>(02) 6271 1000</v>
      </c>
      <c r="AG337" t="str">
        <f>""</f>
        <v/>
      </c>
      <c r="AH337" t="str">
        <f>""</f>
        <v/>
      </c>
      <c r="AI337" t="str">
        <f>"GENERAL COUNSEL Office of the General Counsel"</f>
        <v>GENERAL COUNSEL Office of the General Counsel</v>
      </c>
      <c r="AJ337" t="str">
        <f t="shared" si="137"/>
        <v>2603</v>
      </c>
    </row>
    <row r="338" spans="1:36" x14ac:dyDescent="0.25">
      <c r="A338" t="str">
        <f t="shared" si="141"/>
        <v>Department of Communications</v>
      </c>
      <c r="B338" t="str">
        <f>""</f>
        <v/>
      </c>
      <c r="C338" t="str">
        <f>"CN2988752"</f>
        <v>CN2988752</v>
      </c>
      <c r="D338" t="str">
        <f t="shared" si="144"/>
        <v>Leesa O'connor</v>
      </c>
      <c r="E338" s="44">
        <v>42109.616666666669</v>
      </c>
      <c r="F338" t="s">
        <v>2508</v>
      </c>
      <c r="G338" t="str">
        <f t="shared" si="142"/>
        <v>published</v>
      </c>
      <c r="H338" s="45">
        <v>42108</v>
      </c>
      <c r="I338" s="45">
        <v>42185</v>
      </c>
      <c r="J338" s="46">
        <v>11750</v>
      </c>
      <c r="K338" t="s">
        <v>1915</v>
      </c>
      <c r="L338" t="str">
        <f>"0004604927"</f>
        <v>0004604927</v>
      </c>
      <c r="M338" t="str">
        <f>"Education and Training Services"</f>
        <v>Education and Training Services</v>
      </c>
      <c r="N338" t="str">
        <f>"Limited tender"</f>
        <v>Limited tender</v>
      </c>
      <c r="O338" t="str">
        <f>""</f>
        <v/>
      </c>
      <c r="Q338" t="str">
        <f>"No"</f>
        <v>No</v>
      </c>
      <c r="R338" t="str">
        <f>""</f>
        <v/>
      </c>
      <c r="S338" t="str">
        <f>"No"</f>
        <v>No</v>
      </c>
      <c r="T338" t="str">
        <f>""</f>
        <v/>
      </c>
      <c r="U338" t="str">
        <f>"No"</f>
        <v>No</v>
      </c>
      <c r="V338" t="str">
        <f>""</f>
        <v/>
      </c>
      <c r="X338" t="str">
        <f>"Australian Public"</f>
        <v>Australian Public</v>
      </c>
      <c r="Y338" t="str">
        <f>"16 Furzer Street"</f>
        <v>16 Furzer Street</v>
      </c>
      <c r="Z338" t="str">
        <f>"Phillip"</f>
        <v>Phillip</v>
      </c>
      <c r="AA338" t="str">
        <f>"2606"</f>
        <v>2606</v>
      </c>
      <c r="AB338" t="str">
        <f t="shared" si="145"/>
        <v>Australia</v>
      </c>
      <c r="AC338" t="str">
        <f t="shared" si="146"/>
        <v>No</v>
      </c>
      <c r="AD338" t="str">
        <f>"99470863260"</f>
        <v>99470863260</v>
      </c>
      <c r="AE338" t="str">
        <f>"ADMIN OFFICER"</f>
        <v>ADMIN OFFICER</v>
      </c>
      <c r="AF338" t="str">
        <f t="shared" si="126"/>
        <v>(02) 6271 1000</v>
      </c>
      <c r="AG338" t="str">
        <f>""</f>
        <v/>
      </c>
      <c r="AH338" t="str">
        <f>""</f>
        <v/>
      </c>
      <c r="AI338" t="str">
        <f>"CORPORATE TREASURY [OLD] Corporate Treasury"</f>
        <v>CORPORATE TREASURY [OLD] Corporate Treasury</v>
      </c>
      <c r="AJ338" t="str">
        <f t="shared" si="137"/>
        <v>2603</v>
      </c>
    </row>
    <row r="339" spans="1:36" x14ac:dyDescent="0.25">
      <c r="A339" t="str">
        <f t="shared" si="141"/>
        <v>Department of Communications</v>
      </c>
      <c r="B339" t="str">
        <f>""</f>
        <v/>
      </c>
      <c r="C339" t="str">
        <f>"CN2988742"</f>
        <v>CN2988742</v>
      </c>
      <c r="D339" t="str">
        <f t="shared" si="144"/>
        <v>Leesa O'connor</v>
      </c>
      <c r="E339" s="44">
        <v>42109.616666666669</v>
      </c>
      <c r="F339" t="s">
        <v>2508</v>
      </c>
      <c r="G339" t="str">
        <f t="shared" si="142"/>
        <v>published</v>
      </c>
      <c r="H339" s="45">
        <v>42109</v>
      </c>
      <c r="I339" s="45">
        <v>42185</v>
      </c>
      <c r="J339" s="46">
        <v>33000</v>
      </c>
      <c r="K339" t="s">
        <v>2301</v>
      </c>
      <c r="L339" t="str">
        <f>"0004604929"</f>
        <v>0004604929</v>
      </c>
      <c r="M339" t="str">
        <f>"Legal services"</f>
        <v>Legal services</v>
      </c>
      <c r="N339" t="str">
        <f>"Prequalified tender"</f>
        <v>Prequalified tender</v>
      </c>
      <c r="O339" t="str">
        <f>""</f>
        <v/>
      </c>
      <c r="Q339" t="str">
        <f>"Yes"</f>
        <v>Yes</v>
      </c>
      <c r="R339" t="str">
        <f>"Intellectual property"</f>
        <v>Intellectual property</v>
      </c>
      <c r="S339" t="str">
        <f>"Yes"</f>
        <v>Yes</v>
      </c>
      <c r="T339" t="str">
        <f>"Intellectual property"</f>
        <v>Intellectual property</v>
      </c>
      <c r="U339" t="str">
        <f>"Yes"</f>
        <v>Yes</v>
      </c>
      <c r="V339" t="str">
        <f>"Need for specialised or professional skills"</f>
        <v>Need for specialised or professional skills</v>
      </c>
      <c r="X339" t="str">
        <f>"DLA  Piper"</f>
        <v>DLA  Piper</v>
      </c>
      <c r="Y339" t="str">
        <f>"PO Box 172"</f>
        <v>PO Box 172</v>
      </c>
      <c r="Z339" t="str">
        <f>"Canberra"</f>
        <v>Canberra</v>
      </c>
      <c r="AA339" t="str">
        <f>"2601"</f>
        <v>2601</v>
      </c>
      <c r="AB339" t="str">
        <f t="shared" si="145"/>
        <v>Australia</v>
      </c>
      <c r="AC339" t="str">
        <f t="shared" si="146"/>
        <v>No</v>
      </c>
      <c r="AD339" t="str">
        <f>"83508451308"</f>
        <v>83508451308</v>
      </c>
      <c r="AE339" t="str">
        <f t="shared" ref="AE339:AE345" si="147">"PROCUREMENT MANAGER"</f>
        <v>PROCUREMENT MANAGER</v>
      </c>
      <c r="AF339" t="str">
        <f t="shared" si="126"/>
        <v>(02) 6271 1000</v>
      </c>
      <c r="AG339" t="str">
        <f>""</f>
        <v/>
      </c>
      <c r="AH339" t="str">
        <f>""</f>
        <v/>
      </c>
      <c r="AI339" t="str">
        <f>"GENERAL COUNSEL Office of the General Counsel"</f>
        <v>GENERAL COUNSEL Office of the General Counsel</v>
      </c>
      <c r="AJ339" t="str">
        <f t="shared" si="137"/>
        <v>2603</v>
      </c>
    </row>
    <row r="340" spans="1:36" x14ac:dyDescent="0.25">
      <c r="A340" t="str">
        <f t="shared" si="141"/>
        <v>Department of Communications</v>
      </c>
      <c r="B340" t="str">
        <f>""</f>
        <v/>
      </c>
      <c r="C340" t="str">
        <f>"CN3037972"</f>
        <v>CN3037972</v>
      </c>
      <c r="D340" t="str">
        <f t="shared" si="144"/>
        <v>Leesa O'connor</v>
      </c>
      <c r="E340" s="44">
        <v>42130.607638888891</v>
      </c>
      <c r="F340" t="s">
        <v>2508</v>
      </c>
      <c r="G340" t="str">
        <f t="shared" si="142"/>
        <v>published</v>
      </c>
      <c r="H340" s="45">
        <v>42109</v>
      </c>
      <c r="I340" s="45">
        <v>42185</v>
      </c>
      <c r="J340" s="46">
        <v>12000</v>
      </c>
      <c r="K340" t="s">
        <v>2301</v>
      </c>
      <c r="L340" t="str">
        <f>"0004604929"</f>
        <v>0004604929</v>
      </c>
      <c r="M340" t="str">
        <f>"Legal services"</f>
        <v>Legal services</v>
      </c>
      <c r="N340" t="str">
        <f>"Prequalified tender"</f>
        <v>Prequalified tender</v>
      </c>
      <c r="O340" t="str">
        <f>""</f>
        <v/>
      </c>
      <c r="Q340" t="str">
        <f>"Yes"</f>
        <v>Yes</v>
      </c>
      <c r="R340" t="str">
        <f>"Intellectual property"</f>
        <v>Intellectual property</v>
      </c>
      <c r="S340" t="str">
        <f>"Yes"</f>
        <v>Yes</v>
      </c>
      <c r="T340" t="str">
        <f>"Intellectual property"</f>
        <v>Intellectual property</v>
      </c>
      <c r="U340" t="str">
        <f>"Yes"</f>
        <v>Yes</v>
      </c>
      <c r="V340" t="str">
        <f>"Need for specialised or professional skills"</f>
        <v>Need for specialised or professional skills</v>
      </c>
      <c r="X340" t="str">
        <f>"DLA  Piper"</f>
        <v>DLA  Piper</v>
      </c>
      <c r="Y340" t="str">
        <f>"PO Box 172"</f>
        <v>PO Box 172</v>
      </c>
      <c r="Z340" t="str">
        <f>"Canberra"</f>
        <v>Canberra</v>
      </c>
      <c r="AA340" t="str">
        <f>"2601"</f>
        <v>2601</v>
      </c>
      <c r="AB340" t="str">
        <f t="shared" si="145"/>
        <v>Australia</v>
      </c>
      <c r="AC340" t="str">
        <f t="shared" si="146"/>
        <v>No</v>
      </c>
      <c r="AD340" t="str">
        <f>"83508451308"</f>
        <v>83508451308</v>
      </c>
      <c r="AE340" t="str">
        <f t="shared" si="147"/>
        <v>PROCUREMENT MANAGER</v>
      </c>
      <c r="AF340" t="str">
        <f t="shared" si="126"/>
        <v>(02) 6271 1000</v>
      </c>
      <c r="AG340" t="str">
        <f>""</f>
        <v/>
      </c>
      <c r="AH340" t="str">
        <f>""</f>
        <v/>
      </c>
      <c r="AI340" t="str">
        <f>"GENERAL COUNSEL Office of the General Counsel"</f>
        <v>GENERAL COUNSEL Office of the General Counsel</v>
      </c>
      <c r="AJ340" t="str">
        <f t="shared" si="137"/>
        <v>2603</v>
      </c>
    </row>
    <row r="341" spans="1:36" x14ac:dyDescent="0.25">
      <c r="A341" t="str">
        <f t="shared" si="141"/>
        <v>Department of Communications</v>
      </c>
      <c r="B341" t="str">
        <f>""</f>
        <v/>
      </c>
      <c r="C341" t="str">
        <f>"CN3015822"</f>
        <v>CN3015822</v>
      </c>
      <c r="D341" t="str">
        <f t="shared" si="144"/>
        <v>Leesa O'connor</v>
      </c>
      <c r="E341" s="44">
        <v>42122.407638888886</v>
      </c>
      <c r="F341" t="s">
        <v>2508</v>
      </c>
      <c r="G341" t="str">
        <f t="shared" si="142"/>
        <v>published</v>
      </c>
      <c r="H341" s="45">
        <v>42037</v>
      </c>
      <c r="I341" s="45">
        <v>42185</v>
      </c>
      <c r="J341" s="46">
        <v>73000</v>
      </c>
      <c r="K341" t="s">
        <v>438</v>
      </c>
      <c r="L341" t="str">
        <f>"0004604932"</f>
        <v>0004604932</v>
      </c>
      <c r="M341" t="str">
        <f>"Temporary personnel services"</f>
        <v>Temporary personnel services</v>
      </c>
      <c r="N341" t="str">
        <f>"Limited tender"</f>
        <v>Limited tender</v>
      </c>
      <c r="O341" t="str">
        <f>""</f>
        <v/>
      </c>
      <c r="Q341" t="str">
        <f t="shared" ref="Q341:Q378" si="148">"No"</f>
        <v>No</v>
      </c>
      <c r="R341" t="str">
        <f>""</f>
        <v/>
      </c>
      <c r="S341" t="str">
        <f t="shared" ref="S341:S378" si="149">"No"</f>
        <v>No</v>
      </c>
      <c r="T341" t="str">
        <f>""</f>
        <v/>
      </c>
      <c r="U341" t="str">
        <f>"No"</f>
        <v>No</v>
      </c>
      <c r="V341" t="str">
        <f>""</f>
        <v/>
      </c>
      <c r="X341" t="str">
        <f>"AUSTRADE"</f>
        <v>AUSTRADE</v>
      </c>
      <c r="Y341" t="str">
        <f>"GPO BOX 2386"</f>
        <v>GPO BOX 2386</v>
      </c>
      <c r="Z341" t="str">
        <f>"CANBERRA"</f>
        <v>CANBERRA</v>
      </c>
      <c r="AA341" t="str">
        <f>"2601"</f>
        <v>2601</v>
      </c>
      <c r="AB341" t="str">
        <f t="shared" si="145"/>
        <v>Australia</v>
      </c>
      <c r="AC341" t="str">
        <f t="shared" si="146"/>
        <v>No</v>
      </c>
      <c r="AD341" t="str">
        <f>"11764698227"</f>
        <v>11764698227</v>
      </c>
      <c r="AE341" t="str">
        <f t="shared" si="147"/>
        <v>PROCUREMENT MANAGER</v>
      </c>
      <c r="AF341" t="str">
        <f t="shared" si="126"/>
        <v>(02) 6271 1000</v>
      </c>
      <c r="AG341" t="str">
        <f>""</f>
        <v/>
      </c>
      <c r="AH341" t="str">
        <f>""</f>
        <v/>
      </c>
      <c r="AI341" t="str">
        <f>"COMMUNICATIONS RESEARCH Bureau of Communications Research"</f>
        <v>COMMUNICATIONS RESEARCH Bureau of Communications Research</v>
      </c>
      <c r="AJ341" t="str">
        <f t="shared" si="137"/>
        <v>2603</v>
      </c>
    </row>
    <row r="342" spans="1:36" x14ac:dyDescent="0.25">
      <c r="A342" t="str">
        <f t="shared" si="141"/>
        <v>Department of Communications</v>
      </c>
      <c r="B342" t="str">
        <f>""</f>
        <v/>
      </c>
      <c r="C342" t="str">
        <f>"CN3165032"</f>
        <v>CN3165032</v>
      </c>
      <c r="D342" t="str">
        <f>"David Kenny"</f>
        <v>David Kenny</v>
      </c>
      <c r="E342" s="44">
        <v>42172.487500000003</v>
      </c>
      <c r="F342" t="s">
        <v>2508</v>
      </c>
      <c r="G342" t="str">
        <f t="shared" si="142"/>
        <v>published</v>
      </c>
      <c r="H342" s="45">
        <v>42037</v>
      </c>
      <c r="I342" s="45">
        <v>42277</v>
      </c>
      <c r="J342" s="46">
        <v>42000</v>
      </c>
      <c r="K342" t="s">
        <v>438</v>
      </c>
      <c r="L342" t="str">
        <f>"0004604932"</f>
        <v>0004604932</v>
      </c>
      <c r="M342" t="str">
        <f>"Temporary personnel services"</f>
        <v>Temporary personnel services</v>
      </c>
      <c r="N342" t="str">
        <f>"Limited tender"</f>
        <v>Limited tender</v>
      </c>
      <c r="O342" t="str">
        <f>""</f>
        <v/>
      </c>
      <c r="Q342" t="str">
        <f t="shared" si="148"/>
        <v>No</v>
      </c>
      <c r="R342" t="str">
        <f>""</f>
        <v/>
      </c>
      <c r="S342" t="str">
        <f t="shared" si="149"/>
        <v>No</v>
      </c>
      <c r="T342" t="str">
        <f>""</f>
        <v/>
      </c>
      <c r="U342" t="str">
        <f>"No"</f>
        <v>No</v>
      </c>
      <c r="V342" t="str">
        <f>""</f>
        <v/>
      </c>
      <c r="X342" t="str">
        <f>"AUSTRADE"</f>
        <v>AUSTRADE</v>
      </c>
      <c r="Y342" t="str">
        <f>"GPO BOX 2386"</f>
        <v>GPO BOX 2386</v>
      </c>
      <c r="Z342" t="str">
        <f>"CANBERRA"</f>
        <v>CANBERRA</v>
      </c>
      <c r="AA342" t="str">
        <f>"2601"</f>
        <v>2601</v>
      </c>
      <c r="AB342" t="str">
        <f t="shared" si="145"/>
        <v>Australia</v>
      </c>
      <c r="AC342" t="str">
        <f t="shared" si="146"/>
        <v>No</v>
      </c>
      <c r="AD342" t="str">
        <f>"11764698227"</f>
        <v>11764698227</v>
      </c>
      <c r="AE342" t="str">
        <f t="shared" si="147"/>
        <v>PROCUREMENT MANAGER</v>
      </c>
      <c r="AF342" t="str">
        <f t="shared" si="126"/>
        <v>(02) 6271 1000</v>
      </c>
      <c r="AG342" t="str">
        <f>""</f>
        <v/>
      </c>
      <c r="AH342" t="str">
        <f>""</f>
        <v/>
      </c>
      <c r="AI342" t="str">
        <f>"COMMUNICATIONS RESEARCH Bureau of Communications Research"</f>
        <v>COMMUNICATIONS RESEARCH Bureau of Communications Research</v>
      </c>
      <c r="AJ342" t="str">
        <f t="shared" si="137"/>
        <v>2603</v>
      </c>
    </row>
    <row r="343" spans="1:36" x14ac:dyDescent="0.25">
      <c r="A343" t="str">
        <f t="shared" si="141"/>
        <v>Department of Communications</v>
      </c>
      <c r="B343" t="str">
        <f>""</f>
        <v/>
      </c>
      <c r="C343" t="str">
        <f>"CN3015812"</f>
        <v>CN3015812</v>
      </c>
      <c r="D343" t="str">
        <f t="shared" ref="D343:D374" si="150">"Leesa O'connor"</f>
        <v>Leesa O'connor</v>
      </c>
      <c r="E343" s="44">
        <v>42122.407638888886</v>
      </c>
      <c r="F343" t="s">
        <v>2508</v>
      </c>
      <c r="G343" t="str">
        <f t="shared" si="142"/>
        <v>published</v>
      </c>
      <c r="H343" s="45">
        <v>42095</v>
      </c>
      <c r="I343" s="45">
        <v>42277</v>
      </c>
      <c r="J343" s="46">
        <v>130650</v>
      </c>
      <c r="K343" t="s">
        <v>2123</v>
      </c>
      <c r="L343" t="str">
        <f>"0004604933"</f>
        <v>0004604933</v>
      </c>
      <c r="M343" t="str">
        <f>"Professional procurement services"</f>
        <v>Professional procurement services</v>
      </c>
      <c r="N343" t="str">
        <f>"Open tender"</f>
        <v>Open tender</v>
      </c>
      <c r="O343" t="str">
        <f>"DCON/15/30"</f>
        <v>DCON/15/30</v>
      </c>
      <c r="Q343" t="str">
        <f t="shared" si="148"/>
        <v>No</v>
      </c>
      <c r="R343" t="str">
        <f>""</f>
        <v/>
      </c>
      <c r="S343" t="str">
        <f t="shared" si="149"/>
        <v>No</v>
      </c>
      <c r="T343" t="str">
        <f>""</f>
        <v/>
      </c>
      <c r="U343" t="str">
        <f>"No"</f>
        <v>No</v>
      </c>
      <c r="V343" t="str">
        <f>""</f>
        <v/>
      </c>
      <c r="X343" t="str">
        <f>"Address Exchange Pty Ltd"</f>
        <v>Address Exchange Pty Ltd</v>
      </c>
      <c r="Y343" t="str">
        <f>"404/598 St Kilda Road"</f>
        <v>404/598 St Kilda Road</v>
      </c>
      <c r="Z343" t="str">
        <f>"Melbourne"</f>
        <v>Melbourne</v>
      </c>
      <c r="AA343" t="str">
        <f>"3004"</f>
        <v>3004</v>
      </c>
      <c r="AB343" t="str">
        <f t="shared" si="145"/>
        <v>Australia</v>
      </c>
      <c r="AC343" t="str">
        <f t="shared" si="146"/>
        <v>No</v>
      </c>
      <c r="AD343" t="str">
        <f>"93604974236"</f>
        <v>93604974236</v>
      </c>
      <c r="AE343" t="str">
        <f t="shared" si="147"/>
        <v>PROCUREMENT MANAGER</v>
      </c>
      <c r="AF343" t="str">
        <f t="shared" si="126"/>
        <v>(02) 6271 1000</v>
      </c>
      <c r="AG343" t="str">
        <f>""</f>
        <v/>
      </c>
      <c r="AH343" t="str">
        <f>""</f>
        <v/>
      </c>
      <c r="AI343" t="str">
        <f>"DIGITAL PRODUCTIVITY Digital Productivity Division"</f>
        <v>DIGITAL PRODUCTIVITY Digital Productivity Division</v>
      </c>
      <c r="AJ343" t="str">
        <f t="shared" si="137"/>
        <v>2603</v>
      </c>
    </row>
    <row r="344" spans="1:36" x14ac:dyDescent="0.25">
      <c r="A344" t="str">
        <f t="shared" si="141"/>
        <v>Department of Communications</v>
      </c>
      <c r="B344" t="str">
        <f>""</f>
        <v/>
      </c>
      <c r="C344" t="str">
        <f>"CN3015802"</f>
        <v>CN3015802</v>
      </c>
      <c r="D344" t="str">
        <f t="shared" si="150"/>
        <v>Leesa O'connor</v>
      </c>
      <c r="E344" s="44">
        <v>42122.406944444447</v>
      </c>
      <c r="F344" t="s">
        <v>2508</v>
      </c>
      <c r="G344" t="str">
        <f t="shared" si="142"/>
        <v>published</v>
      </c>
      <c r="H344" s="45">
        <v>42107</v>
      </c>
      <c r="I344" s="45">
        <v>42244</v>
      </c>
      <c r="J344" s="46">
        <v>140000</v>
      </c>
      <c r="K344" t="s">
        <v>2125</v>
      </c>
      <c r="L344" t="str">
        <f>"0004604934"</f>
        <v>0004604934</v>
      </c>
      <c r="M344" t="str">
        <f>"Professional procurement services"</f>
        <v>Professional procurement services</v>
      </c>
      <c r="N344" t="str">
        <f>"Limited tender"</f>
        <v>Limited tender</v>
      </c>
      <c r="O344" t="str">
        <f>"DCON/15/30"</f>
        <v>DCON/15/30</v>
      </c>
      <c r="Q344" t="str">
        <f t="shared" si="148"/>
        <v>No</v>
      </c>
      <c r="R344" t="str">
        <f>""</f>
        <v/>
      </c>
      <c r="S344" t="str">
        <f t="shared" si="149"/>
        <v>No</v>
      </c>
      <c r="T344" t="str">
        <f>""</f>
        <v/>
      </c>
      <c r="U344" t="str">
        <f>"No"</f>
        <v>No</v>
      </c>
      <c r="V344" t="str">
        <f>""</f>
        <v/>
      </c>
      <c r="X344" t="str">
        <f>"NATIONAL ICT AUSTRALIA LTD"</f>
        <v>NATIONAL ICT AUSTRALIA LTD</v>
      </c>
      <c r="Y344" t="str">
        <f>"Locked Bag 9013"</f>
        <v>Locked Bag 9013</v>
      </c>
      <c r="Z344" t="str">
        <f>"Alexandria"</f>
        <v>Alexandria</v>
      </c>
      <c r="AA344" t="str">
        <f>"1435"</f>
        <v>1435</v>
      </c>
      <c r="AB344" t="str">
        <f t="shared" si="145"/>
        <v>Australia</v>
      </c>
      <c r="AC344" t="str">
        <f t="shared" si="146"/>
        <v>No</v>
      </c>
      <c r="AD344" t="str">
        <f>"62102206173"</f>
        <v>62102206173</v>
      </c>
      <c r="AE344" t="str">
        <f t="shared" si="147"/>
        <v>PROCUREMENT MANAGER</v>
      </c>
      <c r="AF344" t="str">
        <f t="shared" si="126"/>
        <v>(02) 6271 1000</v>
      </c>
      <c r="AG344" t="str">
        <f>""</f>
        <v/>
      </c>
      <c r="AH344" t="str">
        <f>""</f>
        <v/>
      </c>
      <c r="AI344" t="str">
        <f>"DIGITAL PRODUCTIVITY Digital Productivity Division"</f>
        <v>DIGITAL PRODUCTIVITY Digital Productivity Division</v>
      </c>
      <c r="AJ344" t="str">
        <f t="shared" si="137"/>
        <v>2603</v>
      </c>
    </row>
    <row r="345" spans="1:36" x14ac:dyDescent="0.25">
      <c r="A345" t="str">
        <f t="shared" si="141"/>
        <v>Department of Communications</v>
      </c>
      <c r="B345" t="str">
        <f>""</f>
        <v/>
      </c>
      <c r="C345" t="str">
        <f>"CN3015792"</f>
        <v>CN3015792</v>
      </c>
      <c r="D345" t="str">
        <f t="shared" si="150"/>
        <v>Leesa O'connor</v>
      </c>
      <c r="E345" s="44">
        <v>42122.406944444447</v>
      </c>
      <c r="F345" t="s">
        <v>2508</v>
      </c>
      <c r="G345" t="str">
        <f t="shared" si="142"/>
        <v>published</v>
      </c>
      <c r="H345" s="45">
        <v>42093</v>
      </c>
      <c r="I345" s="45">
        <v>42459</v>
      </c>
      <c r="J345" s="46">
        <v>117000</v>
      </c>
      <c r="K345" t="s">
        <v>2127</v>
      </c>
      <c r="L345" t="str">
        <f>"0004604935"</f>
        <v>0004604935</v>
      </c>
      <c r="M345" t="str">
        <f>"Human resources services"</f>
        <v>Human resources services</v>
      </c>
      <c r="N345" t="str">
        <f>"Limited tender"</f>
        <v>Limited tender</v>
      </c>
      <c r="O345" t="str">
        <f>"DCON-15-012"</f>
        <v>DCON-15-012</v>
      </c>
      <c r="Q345" t="str">
        <f t="shared" si="148"/>
        <v>No</v>
      </c>
      <c r="R345" t="str">
        <f>""</f>
        <v/>
      </c>
      <c r="S345" t="str">
        <f t="shared" si="149"/>
        <v>No</v>
      </c>
      <c r="T345" t="str">
        <f>""</f>
        <v/>
      </c>
      <c r="U345" t="str">
        <f>"No"</f>
        <v>No</v>
      </c>
      <c r="V345" t="str">
        <f>""</f>
        <v/>
      </c>
      <c r="X345" t="str">
        <f>"Russell Reynolds Associates, Inc"</f>
        <v>Russell Reynolds Associates, Inc</v>
      </c>
      <c r="Y345" t="str">
        <f>"Level 40 Aurora Place"</f>
        <v>Level 40 Aurora Place</v>
      </c>
      <c r="Z345" t="str">
        <f>"Sydney"</f>
        <v>Sydney</v>
      </c>
      <c r="AA345" t="str">
        <f>"2000"</f>
        <v>2000</v>
      </c>
      <c r="AB345" t="str">
        <f t="shared" si="145"/>
        <v>Australia</v>
      </c>
      <c r="AC345" t="str">
        <f t="shared" si="146"/>
        <v>No</v>
      </c>
      <c r="AD345" t="str">
        <f>"16165010980"</f>
        <v>16165010980</v>
      </c>
      <c r="AE345" t="str">
        <f t="shared" si="147"/>
        <v>PROCUREMENT MANAGER</v>
      </c>
      <c r="AF345" t="str">
        <f t="shared" si="126"/>
        <v>(02) 6271 1000</v>
      </c>
      <c r="AG345" t="str">
        <f>""</f>
        <v/>
      </c>
      <c r="AH345" t="str">
        <f>""</f>
        <v/>
      </c>
      <c r="AI345" t="str">
        <f>"DIGITAL PRODUCTIVITY Digital Productivity Division"</f>
        <v>DIGITAL PRODUCTIVITY Digital Productivity Division</v>
      </c>
      <c r="AJ345" t="str">
        <f t="shared" si="137"/>
        <v>2603</v>
      </c>
    </row>
    <row r="346" spans="1:36" x14ac:dyDescent="0.25">
      <c r="A346" t="str">
        <f t="shared" si="141"/>
        <v>Department of Communications</v>
      </c>
      <c r="B346" t="str">
        <f>""</f>
        <v/>
      </c>
      <c r="C346" t="str">
        <f>"CN3015782"</f>
        <v>CN3015782</v>
      </c>
      <c r="D346" t="str">
        <f t="shared" si="150"/>
        <v>Leesa O'connor</v>
      </c>
      <c r="E346" s="44">
        <v>42122.406944444447</v>
      </c>
      <c r="F346" t="s">
        <v>2508</v>
      </c>
      <c r="G346" t="str">
        <f t="shared" si="142"/>
        <v>published</v>
      </c>
      <c r="H346" s="45">
        <v>42103</v>
      </c>
      <c r="I346" s="45">
        <v>42153</v>
      </c>
      <c r="J346" s="46">
        <v>18000</v>
      </c>
      <c r="K346" t="s">
        <v>1917</v>
      </c>
      <c r="L346" t="str">
        <f>"0004604936"</f>
        <v>0004604936</v>
      </c>
      <c r="M346" t="str">
        <f>"Management advisory services"</f>
        <v>Management advisory services</v>
      </c>
      <c r="N346" t="str">
        <f>"Limited tender"</f>
        <v>Limited tender</v>
      </c>
      <c r="O346" t="str">
        <f>""</f>
        <v/>
      </c>
      <c r="Q346" t="str">
        <f t="shared" si="148"/>
        <v>No</v>
      </c>
      <c r="R346" t="str">
        <f>""</f>
        <v/>
      </c>
      <c r="S346" t="str">
        <f t="shared" si="149"/>
        <v>No</v>
      </c>
      <c r="T346" t="str">
        <f>""</f>
        <v/>
      </c>
      <c r="U346" t="str">
        <f>"Yes"</f>
        <v>Yes</v>
      </c>
      <c r="V346" t="str">
        <f>"Need for specialised or professional skills"</f>
        <v>Need for specialised or professional skills</v>
      </c>
      <c r="X346" t="str">
        <f>"Conlon Consulting"</f>
        <v>Conlon Consulting</v>
      </c>
      <c r="Y346" t="str">
        <f>"21 Gurner Street"</f>
        <v>21 Gurner Street</v>
      </c>
      <c r="Z346" t="str">
        <f>"Paddington"</f>
        <v>Paddington</v>
      </c>
      <c r="AA346" t="str">
        <f>"2021"</f>
        <v>2021</v>
      </c>
      <c r="AB346" t="str">
        <f t="shared" si="145"/>
        <v>Australia</v>
      </c>
      <c r="AC346" t="str">
        <f t="shared" si="146"/>
        <v>No</v>
      </c>
      <c r="AD346" t="str">
        <f>"21564025411"</f>
        <v>21564025411</v>
      </c>
      <c r="AE346" t="str">
        <f>"ADMIN OFFICER"</f>
        <v>ADMIN OFFICER</v>
      </c>
      <c r="AF346" t="str">
        <f t="shared" si="126"/>
        <v>(02) 6271 1000</v>
      </c>
      <c r="AG346" t="str">
        <f>""</f>
        <v/>
      </c>
      <c r="AH346" t="str">
        <f>""</f>
        <v/>
      </c>
      <c r="AI346" t="str">
        <f>"CORPORATE TREASURY [OLD] Corporate Treasury"</f>
        <v>CORPORATE TREASURY [OLD] Corporate Treasury</v>
      </c>
      <c r="AJ346" t="str">
        <f t="shared" si="137"/>
        <v>2603</v>
      </c>
    </row>
    <row r="347" spans="1:36" x14ac:dyDescent="0.25">
      <c r="A347" t="str">
        <f t="shared" si="141"/>
        <v>Department of Communications</v>
      </c>
      <c r="B347" t="str">
        <f>""</f>
        <v/>
      </c>
      <c r="C347" t="str">
        <f>"CN3015772"</f>
        <v>CN3015772</v>
      </c>
      <c r="D347" t="str">
        <f t="shared" si="150"/>
        <v>Leesa O'connor</v>
      </c>
      <c r="E347" s="44">
        <v>42122.406944444447</v>
      </c>
      <c r="F347" t="s">
        <v>2508</v>
      </c>
      <c r="G347" t="str">
        <f t="shared" si="142"/>
        <v>published</v>
      </c>
      <c r="H347" s="45">
        <v>42114</v>
      </c>
      <c r="I347" s="45">
        <v>42185</v>
      </c>
      <c r="J347" s="46">
        <v>461571</v>
      </c>
      <c r="K347" t="s">
        <v>520</v>
      </c>
      <c r="L347" t="str">
        <f>"0004604938"</f>
        <v>0004604938</v>
      </c>
      <c r="M347" t="str">
        <f>"Software"</f>
        <v>Software</v>
      </c>
      <c r="N347" t="str">
        <f>"Open tender"</f>
        <v>Open tender</v>
      </c>
      <c r="O347" t="str">
        <f>"FIN14BPAM2098"</f>
        <v>FIN14BPAM2098</v>
      </c>
      <c r="P347" t="str">
        <f>"SON2914302"</f>
        <v>SON2914302</v>
      </c>
      <c r="Q347" t="str">
        <f t="shared" si="148"/>
        <v>No</v>
      </c>
      <c r="R347" t="str">
        <f>""</f>
        <v/>
      </c>
      <c r="S347" t="str">
        <f t="shared" si="149"/>
        <v>No</v>
      </c>
      <c r="T347" t="str">
        <f>""</f>
        <v/>
      </c>
      <c r="U347" t="str">
        <f>"No"</f>
        <v>No</v>
      </c>
      <c r="V347" t="str">
        <f>""</f>
        <v/>
      </c>
      <c r="X347" t="str">
        <f>"Sliced Tech Pty Ltd"</f>
        <v>Sliced Tech Pty Ltd</v>
      </c>
      <c r="Y347" t="str">
        <f>"PO Box 90"</f>
        <v>PO Box 90</v>
      </c>
      <c r="Z347" t="str">
        <f>"Waramanga"</f>
        <v>Waramanga</v>
      </c>
      <c r="AA347" t="str">
        <f>"2611"</f>
        <v>2611</v>
      </c>
      <c r="AB347" t="str">
        <f t="shared" si="145"/>
        <v>Australia</v>
      </c>
      <c r="AC347" t="str">
        <f t="shared" si="146"/>
        <v>No</v>
      </c>
      <c r="AD347" t="str">
        <f>"53165997008"</f>
        <v>53165997008</v>
      </c>
      <c r="AE347" t="str">
        <f>"PROCUREMENT MANAGER"</f>
        <v>PROCUREMENT MANAGER</v>
      </c>
      <c r="AF347" t="str">
        <f t="shared" si="126"/>
        <v>(02) 6271 1000</v>
      </c>
      <c r="AG347" t="str">
        <f>""</f>
        <v/>
      </c>
      <c r="AH347" t="str">
        <f>""</f>
        <v/>
      </c>
      <c r="AI347" t="str">
        <f>"COMMUNICATIONS RESEARCH Bureau of Communications Research"</f>
        <v>COMMUNICATIONS RESEARCH Bureau of Communications Research</v>
      </c>
      <c r="AJ347" t="str">
        <f t="shared" si="137"/>
        <v>2603</v>
      </c>
    </row>
    <row r="348" spans="1:36" x14ac:dyDescent="0.25">
      <c r="A348" t="str">
        <f t="shared" si="141"/>
        <v>Department of Communications</v>
      </c>
      <c r="B348" t="str">
        <f>""</f>
        <v/>
      </c>
      <c r="C348" t="str">
        <f>"CN3071002"</f>
        <v>CN3071002</v>
      </c>
      <c r="D348" t="str">
        <f t="shared" si="150"/>
        <v>Leesa O'connor</v>
      </c>
      <c r="E348" s="44">
        <v>42143.462500000001</v>
      </c>
      <c r="F348" t="s">
        <v>2508</v>
      </c>
      <c r="G348" t="str">
        <f t="shared" si="142"/>
        <v>published</v>
      </c>
      <c r="H348" s="45">
        <v>42114</v>
      </c>
      <c r="I348" s="45">
        <v>42143</v>
      </c>
      <c r="J348" s="46">
        <v>36000</v>
      </c>
      <c r="K348" t="s">
        <v>2133</v>
      </c>
      <c r="L348" t="str">
        <f>"0004604941"</f>
        <v>0004604941</v>
      </c>
      <c r="M348" t="str">
        <f>"Information technology consultation services"</f>
        <v>Information technology consultation services</v>
      </c>
      <c r="N348" t="str">
        <f>"Limited tender"</f>
        <v>Limited tender</v>
      </c>
      <c r="O348" t="str">
        <f>""</f>
        <v/>
      </c>
      <c r="Q348" t="str">
        <f t="shared" si="148"/>
        <v>No</v>
      </c>
      <c r="R348" t="str">
        <f>""</f>
        <v/>
      </c>
      <c r="S348" t="str">
        <f t="shared" si="149"/>
        <v>No</v>
      </c>
      <c r="T348" t="str">
        <f>""</f>
        <v/>
      </c>
      <c r="U348" t="str">
        <f>"No"</f>
        <v>No</v>
      </c>
      <c r="V348" t="str">
        <f>""</f>
        <v/>
      </c>
      <c r="X348" t="str">
        <f>"NATIONAL ICT AUSTRALIA LTD"</f>
        <v>NATIONAL ICT AUSTRALIA LTD</v>
      </c>
      <c r="Y348" t="str">
        <f>"Locked Bag 9013"</f>
        <v>Locked Bag 9013</v>
      </c>
      <c r="Z348" t="str">
        <f>"Alexandria"</f>
        <v>Alexandria</v>
      </c>
      <c r="AA348" t="str">
        <f>"1435"</f>
        <v>1435</v>
      </c>
      <c r="AB348" t="str">
        <f t="shared" si="145"/>
        <v>Australia</v>
      </c>
      <c r="AC348" t="str">
        <f t="shared" si="146"/>
        <v>No</v>
      </c>
      <c r="AD348" t="str">
        <f>"62102206173"</f>
        <v>62102206173</v>
      </c>
      <c r="AE348" t="str">
        <f>"PROCUREMENT MANAGER"</f>
        <v>PROCUREMENT MANAGER</v>
      </c>
      <c r="AF348" t="str">
        <f t="shared" si="126"/>
        <v>(02) 6271 1000</v>
      </c>
      <c r="AG348" t="str">
        <f>""</f>
        <v/>
      </c>
      <c r="AH348" t="str">
        <f>""</f>
        <v/>
      </c>
      <c r="AI348" t="str">
        <f>"DIGITAL PRODUCTIVITY Digital Productivity Division"</f>
        <v>DIGITAL PRODUCTIVITY Digital Productivity Division</v>
      </c>
      <c r="AJ348" t="str">
        <f t="shared" si="137"/>
        <v>2603</v>
      </c>
    </row>
    <row r="349" spans="1:36" x14ac:dyDescent="0.25">
      <c r="A349" t="str">
        <f t="shared" si="141"/>
        <v>Department of Communications</v>
      </c>
      <c r="B349" t="str">
        <f>""</f>
        <v/>
      </c>
      <c r="C349" t="str">
        <f>"CN3015762"</f>
        <v>CN3015762</v>
      </c>
      <c r="D349" t="str">
        <f t="shared" si="150"/>
        <v>Leesa O'connor</v>
      </c>
      <c r="E349" s="44">
        <v>42122.406944444447</v>
      </c>
      <c r="F349" t="s">
        <v>2508</v>
      </c>
      <c r="G349" t="str">
        <f t="shared" si="142"/>
        <v>published</v>
      </c>
      <c r="H349" s="45">
        <v>42114</v>
      </c>
      <c r="I349" s="45">
        <v>42185</v>
      </c>
      <c r="J349" s="46">
        <v>79200</v>
      </c>
      <c r="K349" t="s">
        <v>1919</v>
      </c>
      <c r="L349" t="str">
        <f>"0004604942"</f>
        <v>0004604942</v>
      </c>
      <c r="M349" t="str">
        <f>"Strategic planning consultation services"</f>
        <v>Strategic planning consultation services</v>
      </c>
      <c r="N349" t="str">
        <f>"Limited tender"</f>
        <v>Limited tender</v>
      </c>
      <c r="O349" t="str">
        <f>""</f>
        <v/>
      </c>
      <c r="Q349" t="str">
        <f t="shared" si="148"/>
        <v>No</v>
      </c>
      <c r="R349" t="str">
        <f>""</f>
        <v/>
      </c>
      <c r="S349" t="str">
        <f t="shared" si="149"/>
        <v>No</v>
      </c>
      <c r="T349" t="str">
        <f>""</f>
        <v/>
      </c>
      <c r="U349" t="str">
        <f>"No"</f>
        <v>No</v>
      </c>
      <c r="V349" t="str">
        <f>""</f>
        <v/>
      </c>
      <c r="X349" t="str">
        <f>"Cast Professional Services"</f>
        <v>Cast Professional Services</v>
      </c>
      <c r="Y349" t="str">
        <f>"PO Box 5453"</f>
        <v>PO Box 5453</v>
      </c>
      <c r="Z349" t="str">
        <f>"Sydney"</f>
        <v>Sydney</v>
      </c>
      <c r="AA349" t="str">
        <f>"2001"</f>
        <v>2001</v>
      </c>
      <c r="AB349" t="str">
        <f t="shared" si="145"/>
        <v>Australia</v>
      </c>
      <c r="AC349" t="str">
        <f t="shared" si="146"/>
        <v>No</v>
      </c>
      <c r="AD349" t="str">
        <f>"98194416875"</f>
        <v>98194416875</v>
      </c>
      <c r="AE349" t="str">
        <f>"ADMIN OFFICER"</f>
        <v>ADMIN OFFICER</v>
      </c>
      <c r="AF349" t="str">
        <f t="shared" si="126"/>
        <v>(02) 6271 1000</v>
      </c>
      <c r="AG349" t="str">
        <f>""</f>
        <v/>
      </c>
      <c r="AH349" t="str">
        <f>""</f>
        <v/>
      </c>
      <c r="AI349" t="str">
        <f>"CORPORATE TREASURY [OLD] Corporate Treasury"</f>
        <v>CORPORATE TREASURY [OLD] Corporate Treasury</v>
      </c>
      <c r="AJ349" t="str">
        <f t="shared" si="137"/>
        <v>2603</v>
      </c>
    </row>
    <row r="350" spans="1:36" x14ac:dyDescent="0.25">
      <c r="A350" t="str">
        <f t="shared" si="141"/>
        <v>Department of Communications</v>
      </c>
      <c r="B350" t="str">
        <f>""</f>
        <v/>
      </c>
      <c r="C350" t="str">
        <f>"CN3015752"</f>
        <v>CN3015752</v>
      </c>
      <c r="D350" t="str">
        <f t="shared" si="150"/>
        <v>Leesa O'connor</v>
      </c>
      <c r="E350" s="44">
        <v>42122.406944444447</v>
      </c>
      <c r="F350" t="s">
        <v>2508</v>
      </c>
      <c r="G350" t="str">
        <f t="shared" si="142"/>
        <v>published</v>
      </c>
      <c r="H350" s="45">
        <v>42109</v>
      </c>
      <c r="I350" s="45">
        <v>42181</v>
      </c>
      <c r="J350" s="46">
        <v>18700</v>
      </c>
      <c r="K350" t="s">
        <v>2136</v>
      </c>
      <c r="L350" t="str">
        <f>"0004604943"</f>
        <v>0004604943</v>
      </c>
      <c r="M350" t="str">
        <f>"Professional procurement services"</f>
        <v>Professional procurement services</v>
      </c>
      <c r="N350" t="str">
        <f>"Limited tender"</f>
        <v>Limited tender</v>
      </c>
      <c r="O350" t="str">
        <f>"NA"</f>
        <v>NA</v>
      </c>
      <c r="Q350" t="str">
        <f t="shared" si="148"/>
        <v>No</v>
      </c>
      <c r="R350" t="str">
        <f>""</f>
        <v/>
      </c>
      <c r="S350" t="str">
        <f t="shared" si="149"/>
        <v>No</v>
      </c>
      <c r="T350" t="str">
        <f>""</f>
        <v/>
      </c>
      <c r="U350" t="str">
        <f>"No"</f>
        <v>No</v>
      </c>
      <c r="V350" t="str">
        <f>""</f>
        <v/>
      </c>
      <c r="X350" t="str">
        <f>"CRC for Spatial Information"</f>
        <v>CRC for Spatial Information</v>
      </c>
      <c r="Y350" t="str">
        <f>"PO Box 672"</f>
        <v>PO Box 672</v>
      </c>
      <c r="Z350" t="str">
        <f>"Carlton South"</f>
        <v>Carlton South</v>
      </c>
      <c r="AA350" t="str">
        <f>"3053"</f>
        <v>3053</v>
      </c>
      <c r="AB350" t="str">
        <f t="shared" si="145"/>
        <v>Australia</v>
      </c>
      <c r="AC350" t="str">
        <f t="shared" si="146"/>
        <v>No</v>
      </c>
      <c r="AD350" t="str">
        <f>"12708071466"</f>
        <v>12708071466</v>
      </c>
      <c r="AE350" t="str">
        <f>"PROCUREMENT MANAGER"</f>
        <v>PROCUREMENT MANAGER</v>
      </c>
      <c r="AF350" t="str">
        <f t="shared" si="126"/>
        <v>(02) 6271 1000</v>
      </c>
      <c r="AG350" t="str">
        <f>""</f>
        <v/>
      </c>
      <c r="AH350" t="str">
        <f>""</f>
        <v/>
      </c>
      <c r="AI350" t="str">
        <f>"DIGITAL PRODUCTIVITY Digital Productivity Division"</f>
        <v>DIGITAL PRODUCTIVITY Digital Productivity Division</v>
      </c>
      <c r="AJ350" t="str">
        <f t="shared" si="137"/>
        <v>2603</v>
      </c>
    </row>
    <row r="351" spans="1:36" x14ac:dyDescent="0.25">
      <c r="A351" t="str">
        <f t="shared" si="141"/>
        <v>Department of Communications</v>
      </c>
      <c r="B351" t="str">
        <f>""</f>
        <v/>
      </c>
      <c r="C351" t="str">
        <f>"CN3015732"</f>
        <v>CN3015732</v>
      </c>
      <c r="D351" t="str">
        <f t="shared" si="150"/>
        <v>Leesa O'connor</v>
      </c>
      <c r="E351" s="44">
        <v>42122.406944444447</v>
      </c>
      <c r="F351" t="s">
        <v>2508</v>
      </c>
      <c r="G351" t="str">
        <f t="shared" si="142"/>
        <v>published</v>
      </c>
      <c r="H351" s="45">
        <v>42107</v>
      </c>
      <c r="I351" s="45">
        <v>42185</v>
      </c>
      <c r="J351" s="46">
        <v>85410.7</v>
      </c>
      <c r="K351" t="s">
        <v>1920</v>
      </c>
      <c r="L351" t="str">
        <f>"0004604944"</f>
        <v>0004604944</v>
      </c>
      <c r="M351" t="str">
        <f>"Information technology consultation services"</f>
        <v>Information technology consultation services</v>
      </c>
      <c r="N351" t="str">
        <f>"Open tender"</f>
        <v>Open tender</v>
      </c>
      <c r="O351" t="str">
        <f>"ACBPS127074"</f>
        <v>ACBPS127074</v>
      </c>
      <c r="P351" t="str">
        <f>"SON1837491"</f>
        <v>SON1837491</v>
      </c>
      <c r="Q351" t="str">
        <f t="shared" si="148"/>
        <v>No</v>
      </c>
      <c r="R351" t="str">
        <f>""</f>
        <v/>
      </c>
      <c r="S351" t="str">
        <f t="shared" si="149"/>
        <v>No</v>
      </c>
      <c r="T351" t="str">
        <f>""</f>
        <v/>
      </c>
      <c r="U351" t="str">
        <f>"Yes"</f>
        <v>Yes</v>
      </c>
      <c r="V351" t="str">
        <f>"Need for independent research or assessment"</f>
        <v>Need for independent research or assessment</v>
      </c>
      <c r="X351" t="str">
        <f>"Cordelta Pty Ltd"</f>
        <v>Cordelta Pty Ltd</v>
      </c>
      <c r="Y351" t="str">
        <f>"Level 1, 44-52 Townshend Street"</f>
        <v>Level 1, 44-52 Townshend Street</v>
      </c>
      <c r="Z351" t="str">
        <f>"Phillip"</f>
        <v>Phillip</v>
      </c>
      <c r="AA351" t="str">
        <f>"2606"</f>
        <v>2606</v>
      </c>
      <c r="AB351" t="str">
        <f t="shared" si="145"/>
        <v>Australia</v>
      </c>
      <c r="AC351" t="str">
        <f t="shared" si="146"/>
        <v>No</v>
      </c>
      <c r="AD351" t="str">
        <f>"69107788401"</f>
        <v>69107788401</v>
      </c>
      <c r="AE351" t="str">
        <f>"ADMIN OFFICER"</f>
        <v>ADMIN OFFICER</v>
      </c>
      <c r="AF351" t="str">
        <f t="shared" si="126"/>
        <v>(02) 6271 1000</v>
      </c>
      <c r="AG351" t="str">
        <f>""</f>
        <v/>
      </c>
      <c r="AH351" t="str">
        <f>""</f>
        <v/>
      </c>
      <c r="AI351" t="str">
        <f>"CORPORATE TREASURY [OLD] Corporate Treasury"</f>
        <v>CORPORATE TREASURY [OLD] Corporate Treasury</v>
      </c>
      <c r="AJ351" t="str">
        <f t="shared" si="137"/>
        <v>2603</v>
      </c>
    </row>
    <row r="352" spans="1:36" x14ac:dyDescent="0.25">
      <c r="A352" t="str">
        <f t="shared" si="141"/>
        <v>Department of Communications</v>
      </c>
      <c r="B352" t="str">
        <f>""</f>
        <v/>
      </c>
      <c r="C352" t="str">
        <f>"CN3015722"</f>
        <v>CN3015722</v>
      </c>
      <c r="D352" t="str">
        <f t="shared" si="150"/>
        <v>Leesa O'connor</v>
      </c>
      <c r="E352" s="44">
        <v>42122.40625</v>
      </c>
      <c r="F352" t="s">
        <v>2508</v>
      </c>
      <c r="G352" t="str">
        <f t="shared" si="142"/>
        <v>published</v>
      </c>
      <c r="H352" s="45">
        <v>42122</v>
      </c>
      <c r="I352" s="45">
        <v>42195</v>
      </c>
      <c r="J352" s="46">
        <v>394481.12</v>
      </c>
      <c r="K352" t="s">
        <v>1923</v>
      </c>
      <c r="L352" t="str">
        <f>"0004604945"</f>
        <v>0004604945</v>
      </c>
      <c r="M352" t="str">
        <f>"Project management"</f>
        <v>Project management</v>
      </c>
      <c r="N352" t="str">
        <f>"Open tender"</f>
        <v>Open tender</v>
      </c>
      <c r="O352" t="str">
        <f>"ACBPS127074"</f>
        <v>ACBPS127074</v>
      </c>
      <c r="P352" t="str">
        <f>"SON1837491"</f>
        <v>SON1837491</v>
      </c>
      <c r="Q352" t="str">
        <f t="shared" si="148"/>
        <v>No</v>
      </c>
      <c r="R352" t="str">
        <f>""</f>
        <v/>
      </c>
      <c r="S352" t="str">
        <f t="shared" si="149"/>
        <v>No</v>
      </c>
      <c r="T352" t="str">
        <f>""</f>
        <v/>
      </c>
      <c r="U352" t="str">
        <f>"No"</f>
        <v>No</v>
      </c>
      <c r="V352" t="str">
        <f>""</f>
        <v/>
      </c>
      <c r="X352" t="str">
        <f>"ERNST &amp; YOUNG"</f>
        <v>ERNST &amp; YOUNG</v>
      </c>
      <c r="Y352" t="str">
        <f>"PO Box 2646"</f>
        <v>PO Box 2646</v>
      </c>
      <c r="Z352" t="str">
        <f>"Sydney"</f>
        <v>Sydney</v>
      </c>
      <c r="AA352" t="str">
        <f>"2001"</f>
        <v>2001</v>
      </c>
      <c r="AB352" t="str">
        <f t="shared" si="145"/>
        <v>Australia</v>
      </c>
      <c r="AC352" t="str">
        <f t="shared" si="146"/>
        <v>No</v>
      </c>
      <c r="AD352" t="str">
        <f>"75288172749"</f>
        <v>75288172749</v>
      </c>
      <c r="AE352" t="str">
        <f>"ADMIN OFFICER"</f>
        <v>ADMIN OFFICER</v>
      </c>
      <c r="AF352" t="str">
        <f t="shared" si="126"/>
        <v>(02) 6271 1000</v>
      </c>
      <c r="AG352" t="str">
        <f>""</f>
        <v/>
      </c>
      <c r="AH352" t="str">
        <f>""</f>
        <v/>
      </c>
      <c r="AI352" t="str">
        <f>"CORPORATE TREASURY [OLD] Corporate Treasury"</f>
        <v>CORPORATE TREASURY [OLD] Corporate Treasury</v>
      </c>
      <c r="AJ352" t="str">
        <f t="shared" si="137"/>
        <v>2603</v>
      </c>
    </row>
    <row r="353" spans="1:36" x14ac:dyDescent="0.25">
      <c r="A353" t="str">
        <f t="shared" si="141"/>
        <v>Department of Communications</v>
      </c>
      <c r="B353" t="str">
        <f>""</f>
        <v/>
      </c>
      <c r="C353" t="str">
        <f>"CN3037962"</f>
        <v>CN3037962</v>
      </c>
      <c r="D353" t="str">
        <f t="shared" si="150"/>
        <v>Leesa O'connor</v>
      </c>
      <c r="E353" s="44">
        <v>42130.607638888891</v>
      </c>
      <c r="F353" t="s">
        <v>2508</v>
      </c>
      <c r="G353" t="str">
        <f t="shared" si="142"/>
        <v>published</v>
      </c>
      <c r="H353" s="45">
        <v>41992</v>
      </c>
      <c r="I353" s="45">
        <v>42185</v>
      </c>
      <c r="J353" s="46">
        <v>649000</v>
      </c>
      <c r="K353" t="s">
        <v>2527</v>
      </c>
      <c r="L353" t="str">
        <f>"0004604946"</f>
        <v>0004604946</v>
      </c>
      <c r="M353" t="str">
        <f>"Information technology consultation services"</f>
        <v>Information technology consultation services</v>
      </c>
      <c r="N353" t="str">
        <f>"Prequalified tender"</f>
        <v>Prequalified tender</v>
      </c>
      <c r="O353" t="str">
        <f>"FIN10/AGI001"</f>
        <v>FIN10/AGI001</v>
      </c>
      <c r="Q353" t="str">
        <f t="shared" si="148"/>
        <v>No</v>
      </c>
      <c r="R353" t="str">
        <f>""</f>
        <v/>
      </c>
      <c r="S353" t="str">
        <f t="shared" si="149"/>
        <v>No</v>
      </c>
      <c r="T353" t="str">
        <f>""</f>
        <v/>
      </c>
      <c r="U353" t="str">
        <f>"No"</f>
        <v>No</v>
      </c>
      <c r="V353" t="str">
        <f>""</f>
        <v/>
      </c>
      <c r="X353" t="str">
        <f>"DEPARTMENT OF FINANCE"</f>
        <v>DEPARTMENT OF FINANCE</v>
      </c>
      <c r="Y353" t="str">
        <f>"KING EDWARD TERRACE,"</f>
        <v>KING EDWARD TERRACE,</v>
      </c>
      <c r="Z353" t="str">
        <f>"PARKES"</f>
        <v>PARKES</v>
      </c>
      <c r="AA353" t="str">
        <f>"2600"</f>
        <v>2600</v>
      </c>
      <c r="AB353" t="str">
        <f>"AUSTRALIA"</f>
        <v>AUSTRALIA</v>
      </c>
      <c r="AC353" t="str">
        <f t="shared" si="146"/>
        <v>No</v>
      </c>
      <c r="AD353" t="str">
        <f>"61970632495"</f>
        <v>61970632495</v>
      </c>
      <c r="AE353" t="str">
        <f>"ADMIN OFFICER"</f>
        <v>ADMIN OFFICER</v>
      </c>
      <c r="AF353" t="str">
        <f t="shared" si="126"/>
        <v>(02) 6271 1000</v>
      </c>
      <c r="AG353" t="str">
        <f>""</f>
        <v/>
      </c>
      <c r="AH353" t="str">
        <f>""</f>
        <v/>
      </c>
      <c r="AI353" t="str">
        <f>"CORPORATE TREASURY [OLD] Corporate Treasury"</f>
        <v>CORPORATE TREASURY [OLD] Corporate Treasury</v>
      </c>
      <c r="AJ353" t="str">
        <f t="shared" si="137"/>
        <v>2603</v>
      </c>
    </row>
    <row r="354" spans="1:36" x14ac:dyDescent="0.25">
      <c r="A354" t="str">
        <f t="shared" si="141"/>
        <v>Department of Communications</v>
      </c>
      <c r="B354" t="str">
        <f>""</f>
        <v/>
      </c>
      <c r="C354" t="str">
        <f>"CN3037952"</f>
        <v>CN3037952</v>
      </c>
      <c r="D354" t="str">
        <f t="shared" si="150"/>
        <v>Leesa O'connor</v>
      </c>
      <c r="E354" s="44">
        <v>42130.607638888891</v>
      </c>
      <c r="F354" t="s">
        <v>2508</v>
      </c>
      <c r="G354" t="str">
        <f t="shared" si="142"/>
        <v>published</v>
      </c>
      <c r="H354" s="45">
        <v>42122</v>
      </c>
      <c r="I354" s="45">
        <v>42216</v>
      </c>
      <c r="J354" s="46">
        <v>72380</v>
      </c>
      <c r="K354" t="s">
        <v>1933</v>
      </c>
      <c r="L354" t="str">
        <f>"0004604948"</f>
        <v>0004604948</v>
      </c>
      <c r="M354" t="str">
        <f>"Management advisory services"</f>
        <v>Management advisory services</v>
      </c>
      <c r="N354" t="str">
        <f>"Limited tender"</f>
        <v>Limited tender</v>
      </c>
      <c r="O354" t="str">
        <f>""</f>
        <v/>
      </c>
      <c r="Q354" t="str">
        <f t="shared" si="148"/>
        <v>No</v>
      </c>
      <c r="R354" t="str">
        <f>""</f>
        <v/>
      </c>
      <c r="S354" t="str">
        <f t="shared" si="149"/>
        <v>No</v>
      </c>
      <c r="T354" t="str">
        <f>""</f>
        <v/>
      </c>
      <c r="U354" t="str">
        <f>"No"</f>
        <v>No</v>
      </c>
      <c r="V354" t="str">
        <f>""</f>
        <v/>
      </c>
      <c r="X354" t="str">
        <f>"KPMG"</f>
        <v>KPMG</v>
      </c>
      <c r="Y354" t="str">
        <f>"PO BOX 7396"</f>
        <v>PO BOX 7396</v>
      </c>
      <c r="Z354" t="str">
        <f>"Canberra Business Centre"</f>
        <v>Canberra Business Centre</v>
      </c>
      <c r="AA354" t="str">
        <f>"2610"</f>
        <v>2610</v>
      </c>
      <c r="AB354" t="str">
        <f>"Australia"</f>
        <v>Australia</v>
      </c>
      <c r="AC354" t="str">
        <f t="shared" si="146"/>
        <v>No</v>
      </c>
      <c r="AD354" t="str">
        <f>"51194660183"</f>
        <v>51194660183</v>
      </c>
      <c r="AE354" t="str">
        <f>"ADMIN OFFICER"</f>
        <v>ADMIN OFFICER</v>
      </c>
      <c r="AF354" t="str">
        <f t="shared" si="126"/>
        <v>(02) 6271 1000</v>
      </c>
      <c r="AG354" t="str">
        <f>""</f>
        <v/>
      </c>
      <c r="AH354" t="str">
        <f>""</f>
        <v/>
      </c>
      <c r="AI354" t="str">
        <f>"CORPORATE TREASURY [OLD] Corporate Treasury"</f>
        <v>CORPORATE TREASURY [OLD] Corporate Treasury</v>
      </c>
      <c r="AJ354" t="str">
        <f t="shared" ref="AJ354:AJ385" si="151">"2603"</f>
        <v>2603</v>
      </c>
    </row>
    <row r="355" spans="1:36" x14ac:dyDescent="0.25">
      <c r="A355" t="str">
        <f t="shared" si="141"/>
        <v>Department of Communications</v>
      </c>
      <c r="B355" t="str">
        <f>""</f>
        <v/>
      </c>
      <c r="C355" t="str">
        <f>"CN3037942"</f>
        <v>CN3037942</v>
      </c>
      <c r="D355" t="str">
        <f t="shared" si="150"/>
        <v>Leesa O'connor</v>
      </c>
      <c r="E355" s="44">
        <v>42130.607638888891</v>
      </c>
      <c r="F355" t="s">
        <v>2508</v>
      </c>
      <c r="G355" t="str">
        <f t="shared" si="142"/>
        <v>published</v>
      </c>
      <c r="H355" s="45">
        <v>41913</v>
      </c>
      <c r="I355" s="45">
        <v>42185</v>
      </c>
      <c r="J355" s="46">
        <v>390000</v>
      </c>
      <c r="K355" t="s">
        <v>2424</v>
      </c>
      <c r="L355" t="str">
        <f>"0004604949"</f>
        <v>0004604949</v>
      </c>
      <c r="M355" t="str">
        <f>"Management advisory services"</f>
        <v>Management advisory services</v>
      </c>
      <c r="N355" t="str">
        <f>"Limited tender"</f>
        <v>Limited tender</v>
      </c>
      <c r="O355" t="str">
        <f>""</f>
        <v/>
      </c>
      <c r="Q355" t="str">
        <f t="shared" si="148"/>
        <v>No</v>
      </c>
      <c r="R355" t="str">
        <f>""</f>
        <v/>
      </c>
      <c r="S355" t="str">
        <f t="shared" si="149"/>
        <v>No</v>
      </c>
      <c r="T355" t="str">
        <f>""</f>
        <v/>
      </c>
      <c r="U355" t="str">
        <f>"Yes"</f>
        <v>Yes</v>
      </c>
      <c r="V355" t="str">
        <f>"Need for independent research or assessment"</f>
        <v>Need for independent research or assessment</v>
      </c>
      <c r="X355" t="str">
        <f>"Australian Public"</f>
        <v>Australian Public</v>
      </c>
      <c r="Y355" t="str">
        <f>"16 Furzer Street"</f>
        <v>16 Furzer Street</v>
      </c>
      <c r="Z355" t="str">
        <f>"Phillip"</f>
        <v>Phillip</v>
      </c>
      <c r="AA355" t="str">
        <f>"2606"</f>
        <v>2606</v>
      </c>
      <c r="AB355" t="str">
        <f>"Australia"</f>
        <v>Australia</v>
      </c>
      <c r="AC355" t="str">
        <f t="shared" si="146"/>
        <v>No</v>
      </c>
      <c r="AD355" t="str">
        <f>"99470863260"</f>
        <v>99470863260</v>
      </c>
      <c r="AE355" t="str">
        <f>"PROCUREMENT MANAGER"</f>
        <v>PROCUREMENT MANAGER</v>
      </c>
      <c r="AF355" t="str">
        <f t="shared" si="126"/>
        <v>(02) 6271 1000</v>
      </c>
      <c r="AG355" t="str">
        <f>""</f>
        <v/>
      </c>
      <c r="AH355" t="str">
        <f>""</f>
        <v/>
      </c>
      <c r="AI355" t="str">
        <f>"STRATEGY Strategy Division"</f>
        <v>STRATEGY Strategy Division</v>
      </c>
      <c r="AJ355" t="str">
        <f t="shared" si="151"/>
        <v>2603</v>
      </c>
    </row>
    <row r="356" spans="1:36" x14ac:dyDescent="0.25">
      <c r="A356" t="str">
        <f t="shared" si="141"/>
        <v>Department of Communications</v>
      </c>
      <c r="B356" t="str">
        <f>""</f>
        <v/>
      </c>
      <c r="C356" t="str">
        <f>"CN3037922"</f>
        <v>CN3037922</v>
      </c>
      <c r="D356" t="str">
        <f t="shared" si="150"/>
        <v>Leesa O'connor</v>
      </c>
      <c r="E356" s="44">
        <v>42130.607638888891</v>
      </c>
      <c r="F356" t="s">
        <v>2508</v>
      </c>
      <c r="G356" t="str">
        <f t="shared" si="142"/>
        <v>published</v>
      </c>
      <c r="H356" s="45">
        <v>42122</v>
      </c>
      <c r="I356" s="45">
        <v>42947</v>
      </c>
      <c r="J356" s="46">
        <v>10752.5</v>
      </c>
      <c r="K356" t="s">
        <v>1937</v>
      </c>
      <c r="L356" t="str">
        <f>"0004604950"</f>
        <v>0004604950</v>
      </c>
      <c r="M356" t="str">
        <f>"Management advisory services"</f>
        <v>Management advisory services</v>
      </c>
      <c r="N356" t="str">
        <f>"Limited tender"</f>
        <v>Limited tender</v>
      </c>
      <c r="O356" t="str">
        <f>""</f>
        <v/>
      </c>
      <c r="Q356" t="str">
        <f t="shared" si="148"/>
        <v>No</v>
      </c>
      <c r="R356" t="str">
        <f>""</f>
        <v/>
      </c>
      <c r="S356" t="str">
        <f t="shared" si="149"/>
        <v>No</v>
      </c>
      <c r="T356" t="str">
        <f>""</f>
        <v/>
      </c>
      <c r="U356" t="str">
        <f>"No"</f>
        <v>No</v>
      </c>
      <c r="V356" t="str">
        <f>""</f>
        <v/>
      </c>
      <c r="X356" t="str">
        <f>"Australian Valution Solutions"</f>
        <v>Australian Valution Solutions</v>
      </c>
      <c r="Y356" t="str">
        <f>"PO Box GPO BOX 14"</f>
        <v>PO Box GPO BOX 14</v>
      </c>
      <c r="Z356" t="str">
        <f>"Canberra"</f>
        <v>Canberra</v>
      </c>
      <c r="AA356" t="str">
        <f>"2601"</f>
        <v>2601</v>
      </c>
      <c r="AB356" t="str">
        <f>"Australia"</f>
        <v>Australia</v>
      </c>
      <c r="AC356" t="str">
        <f t="shared" si="146"/>
        <v>No</v>
      </c>
      <c r="AD356" t="str">
        <f>"39167493889"</f>
        <v>39167493889</v>
      </c>
      <c r="AE356" t="str">
        <f>"ADMIN OFFICER"</f>
        <v>ADMIN OFFICER</v>
      </c>
      <c r="AF356" t="str">
        <f t="shared" si="126"/>
        <v>(02) 6271 1000</v>
      </c>
      <c r="AG356" t="str">
        <f>""</f>
        <v/>
      </c>
      <c r="AH356" t="str">
        <f>""</f>
        <v/>
      </c>
      <c r="AI356" t="str">
        <f>"CORPORATE TREASURY [OLD] Corporate Treasury"</f>
        <v>CORPORATE TREASURY [OLD] Corporate Treasury</v>
      </c>
      <c r="AJ356" t="str">
        <f t="shared" si="151"/>
        <v>2603</v>
      </c>
    </row>
    <row r="357" spans="1:36" x14ac:dyDescent="0.25">
      <c r="A357" t="str">
        <f t="shared" si="141"/>
        <v>Department of Communications</v>
      </c>
      <c r="B357" t="str">
        <f>""</f>
        <v/>
      </c>
      <c r="C357" t="str">
        <f>"CN3037912"</f>
        <v>CN3037912</v>
      </c>
      <c r="D357" t="str">
        <f t="shared" si="150"/>
        <v>Leesa O'connor</v>
      </c>
      <c r="E357" s="44">
        <v>42130.607638888891</v>
      </c>
      <c r="F357" t="s">
        <v>2508</v>
      </c>
      <c r="G357" t="str">
        <f t="shared" si="142"/>
        <v>published</v>
      </c>
      <c r="H357" s="45">
        <v>42125</v>
      </c>
      <c r="I357" s="45">
        <v>42490</v>
      </c>
      <c r="J357" s="46">
        <v>44989.95</v>
      </c>
      <c r="K357" t="s">
        <v>1939</v>
      </c>
      <c r="L357" t="str">
        <f>"0004604951"</f>
        <v>0004604951</v>
      </c>
      <c r="M357" t="str">
        <f>"Computer servers"</f>
        <v>Computer servers</v>
      </c>
      <c r="N357" t="str">
        <f>"Open tender"</f>
        <v>Open tender</v>
      </c>
      <c r="O357" t="str">
        <f>"DCON/09/67"</f>
        <v>DCON/09/67</v>
      </c>
      <c r="P357" t="str">
        <f>"SON269193"</f>
        <v>SON269193</v>
      </c>
      <c r="Q357" t="str">
        <f t="shared" si="148"/>
        <v>No</v>
      </c>
      <c r="R357" t="str">
        <f>""</f>
        <v/>
      </c>
      <c r="S357" t="str">
        <f t="shared" si="149"/>
        <v>No</v>
      </c>
      <c r="T357" t="str">
        <f>""</f>
        <v/>
      </c>
      <c r="U357" t="str">
        <f>"No"</f>
        <v>No</v>
      </c>
      <c r="V357" t="str">
        <f>""</f>
        <v/>
      </c>
      <c r="X357" t="str">
        <f>"ASG Group Limited"</f>
        <v>ASG Group Limited</v>
      </c>
      <c r="Y357" t="str">
        <f>"Level 1, 267 Georges Terrace"</f>
        <v>Level 1, 267 Georges Terrace</v>
      </c>
      <c r="Z357" t="str">
        <f>"Perth"</f>
        <v>Perth</v>
      </c>
      <c r="AA357" t="str">
        <f>"6000"</f>
        <v>6000</v>
      </c>
      <c r="AB357" t="str">
        <f>"Australia"</f>
        <v>Australia</v>
      </c>
      <c r="AC357" t="str">
        <f t="shared" si="146"/>
        <v>No</v>
      </c>
      <c r="AD357" t="str">
        <f>"57070045117"</f>
        <v>57070045117</v>
      </c>
      <c r="AE357" t="str">
        <f>"ADMIN OFFICER"</f>
        <v>ADMIN OFFICER</v>
      </c>
      <c r="AF357" t="str">
        <f t="shared" si="126"/>
        <v>(02) 6271 1000</v>
      </c>
      <c r="AG357" t="str">
        <f>""</f>
        <v/>
      </c>
      <c r="AH357" t="str">
        <f>""</f>
        <v/>
      </c>
      <c r="AI357" t="str">
        <f>"CORPORATE TREASURY [OLD] Corporate Treasury"</f>
        <v>CORPORATE TREASURY [OLD] Corporate Treasury</v>
      </c>
      <c r="AJ357" t="str">
        <f t="shared" si="151"/>
        <v>2603</v>
      </c>
    </row>
    <row r="358" spans="1:36" x14ac:dyDescent="0.25">
      <c r="A358" t="str">
        <f t="shared" si="141"/>
        <v>Department of Communications</v>
      </c>
      <c r="B358" t="str">
        <f>""</f>
        <v/>
      </c>
      <c r="C358" t="str">
        <f>"CN3037902"</f>
        <v>CN3037902</v>
      </c>
      <c r="D358" t="str">
        <f t="shared" si="150"/>
        <v>Leesa O'connor</v>
      </c>
      <c r="E358" s="44">
        <v>42130.607638888891</v>
      </c>
      <c r="F358" t="s">
        <v>2508</v>
      </c>
      <c r="G358" t="str">
        <f t="shared" si="142"/>
        <v>published</v>
      </c>
      <c r="H358" s="45">
        <v>42095</v>
      </c>
      <c r="I358" s="45">
        <v>42277</v>
      </c>
      <c r="J358" s="46">
        <v>135500</v>
      </c>
      <c r="K358" t="s">
        <v>503</v>
      </c>
      <c r="L358" t="str">
        <f>"0004604953"</f>
        <v>0004604953</v>
      </c>
      <c r="M358" t="str">
        <f>"Corporate objectives or policy development"</f>
        <v>Corporate objectives or policy development</v>
      </c>
      <c r="N358" t="str">
        <f>"Open tender"</f>
        <v>Open tender</v>
      </c>
      <c r="O358" t="str">
        <f>"DCON 15/2"</f>
        <v>DCON 15/2</v>
      </c>
      <c r="Q358" t="str">
        <f t="shared" si="148"/>
        <v>No</v>
      </c>
      <c r="R358" t="str">
        <f>""</f>
        <v/>
      </c>
      <c r="S358" t="str">
        <f t="shared" si="149"/>
        <v>No</v>
      </c>
      <c r="T358" t="str">
        <f>""</f>
        <v/>
      </c>
      <c r="U358" t="str">
        <f>"Yes"</f>
        <v>Yes</v>
      </c>
      <c r="V358" t="str">
        <f>"Need for specialised or professional skills"</f>
        <v>Need for specialised or professional skills</v>
      </c>
      <c r="X358" t="str">
        <f>"PPB Pty Ltd"</f>
        <v>PPB Pty Ltd</v>
      </c>
      <c r="Y358" t="str">
        <f>"8-12 Level 7, Chifley Square"</f>
        <v>8-12 Level 7, Chifley Square</v>
      </c>
      <c r="Z358" t="str">
        <f>"Sydney"</f>
        <v>Sydney</v>
      </c>
      <c r="AA358" t="str">
        <f>"2000"</f>
        <v>2000</v>
      </c>
      <c r="AB358" t="str">
        <f>"Australia"</f>
        <v>Australia</v>
      </c>
      <c r="AC358" t="str">
        <f t="shared" si="146"/>
        <v>No</v>
      </c>
      <c r="AD358" t="str">
        <f>"67972164718"</f>
        <v>67972164718</v>
      </c>
      <c r="AE358" t="str">
        <f>"PROCUREMENT MANAGER"</f>
        <v>PROCUREMENT MANAGER</v>
      </c>
      <c r="AF358" t="str">
        <f t="shared" si="126"/>
        <v>(02) 6271 1000</v>
      </c>
      <c r="AG358" t="str">
        <f>""</f>
        <v/>
      </c>
      <c r="AH358" t="str">
        <f>""</f>
        <v/>
      </c>
      <c r="AI358" t="str">
        <f>"COMMUNICATIONS RESEARCH Bureau of Communications Research"</f>
        <v>COMMUNICATIONS RESEARCH Bureau of Communications Research</v>
      </c>
      <c r="AJ358" t="str">
        <f t="shared" si="151"/>
        <v>2603</v>
      </c>
    </row>
    <row r="359" spans="1:36" x14ac:dyDescent="0.25">
      <c r="A359" t="str">
        <f t="shared" si="141"/>
        <v>Department of Communications</v>
      </c>
      <c r="B359" t="str">
        <f>""</f>
        <v/>
      </c>
      <c r="C359" t="str">
        <f>"CN3037892"</f>
        <v>CN3037892</v>
      </c>
      <c r="D359" t="str">
        <f t="shared" si="150"/>
        <v>Leesa O'connor</v>
      </c>
      <c r="E359" s="44">
        <v>42130.606944444444</v>
      </c>
      <c r="F359" t="s">
        <v>2508</v>
      </c>
      <c r="G359" t="str">
        <f t="shared" si="142"/>
        <v>published</v>
      </c>
      <c r="H359" s="45">
        <v>42135</v>
      </c>
      <c r="I359" s="45">
        <v>42154</v>
      </c>
      <c r="J359" s="46">
        <v>47500</v>
      </c>
      <c r="K359" t="s">
        <v>1942</v>
      </c>
      <c r="L359" t="str">
        <f>"0004604954"</f>
        <v>0004604954</v>
      </c>
      <c r="M359" t="str">
        <f>"Human resources services"</f>
        <v>Human resources services</v>
      </c>
      <c r="N359" t="str">
        <f>"Limited tender"</f>
        <v>Limited tender</v>
      </c>
      <c r="O359" t="str">
        <f>""</f>
        <v/>
      </c>
      <c r="Q359" t="str">
        <f t="shared" si="148"/>
        <v>No</v>
      </c>
      <c r="R359" t="str">
        <f>""</f>
        <v/>
      </c>
      <c r="S359" t="str">
        <f t="shared" si="149"/>
        <v>No</v>
      </c>
      <c r="T359" t="str">
        <f>""</f>
        <v/>
      </c>
      <c r="U359" t="str">
        <f t="shared" ref="U359:U378" si="152">"No"</f>
        <v>No</v>
      </c>
      <c r="V359" t="str">
        <f>""</f>
        <v/>
      </c>
      <c r="X359" t="str">
        <f>"Corporate Executive Board"</f>
        <v>Corporate Executive Board</v>
      </c>
      <c r="Y359" t="str">
        <f>"1919 N. Lynn Street"</f>
        <v>1919 N. Lynn Street</v>
      </c>
      <c r="Z359" t="str">
        <f>"Arlington"</f>
        <v>Arlington</v>
      </c>
      <c r="AA359" t="str">
        <f>""</f>
        <v/>
      </c>
      <c r="AB359" t="str">
        <f>"United States"</f>
        <v>United States</v>
      </c>
      <c r="AC359" t="str">
        <f>"Yes"</f>
        <v>Yes</v>
      </c>
      <c r="AD359" t="str">
        <f>""</f>
        <v/>
      </c>
      <c r="AE359" t="str">
        <f t="shared" ref="AE359:AE365" si="153">"ADMIN OFFICER"</f>
        <v>ADMIN OFFICER</v>
      </c>
      <c r="AF359" t="str">
        <f t="shared" si="126"/>
        <v>(02) 6271 1000</v>
      </c>
      <c r="AG359" t="str">
        <f>""</f>
        <v/>
      </c>
      <c r="AH359" t="str">
        <f>""</f>
        <v/>
      </c>
      <c r="AI359" t="str">
        <f t="shared" ref="AI359:AI365" si="154">"CORPORATE TREASURY [OLD] Corporate Treasury"</f>
        <v>CORPORATE TREASURY [OLD] Corporate Treasury</v>
      </c>
      <c r="AJ359" t="str">
        <f t="shared" si="151"/>
        <v>2603</v>
      </c>
    </row>
    <row r="360" spans="1:36" x14ac:dyDescent="0.25">
      <c r="A360" t="str">
        <f t="shared" si="141"/>
        <v>Department of Communications</v>
      </c>
      <c r="B360" t="str">
        <f>""</f>
        <v/>
      </c>
      <c r="C360" t="str">
        <f>"CN3070962"</f>
        <v>CN3070962</v>
      </c>
      <c r="D360" t="str">
        <f t="shared" si="150"/>
        <v>Leesa O'connor</v>
      </c>
      <c r="E360" s="44">
        <v>42143.462500000001</v>
      </c>
      <c r="F360" t="s">
        <v>2508</v>
      </c>
      <c r="G360" t="str">
        <f t="shared" si="142"/>
        <v>published</v>
      </c>
      <c r="H360" s="45">
        <v>42186</v>
      </c>
      <c r="I360" s="45">
        <v>42551</v>
      </c>
      <c r="J360" s="46">
        <v>266786.71999999997</v>
      </c>
      <c r="K360" t="s">
        <v>2528</v>
      </c>
      <c r="L360" t="str">
        <f>"0004604956"</f>
        <v>0004604956</v>
      </c>
      <c r="M360" t="str">
        <f>"Computer servers"</f>
        <v>Computer servers</v>
      </c>
      <c r="N360" t="str">
        <f>"Open tender"</f>
        <v>Open tender</v>
      </c>
      <c r="O360" t="str">
        <f>"DCON/09/67"</f>
        <v>DCON/09/67</v>
      </c>
      <c r="P360" t="str">
        <f>"SON269193"</f>
        <v>SON269193</v>
      </c>
      <c r="Q360" t="str">
        <f t="shared" si="148"/>
        <v>No</v>
      </c>
      <c r="R360" t="str">
        <f>""</f>
        <v/>
      </c>
      <c r="S360" t="str">
        <f t="shared" si="149"/>
        <v>No</v>
      </c>
      <c r="T360" t="str">
        <f>""</f>
        <v/>
      </c>
      <c r="U360" t="str">
        <f t="shared" si="152"/>
        <v>No</v>
      </c>
      <c r="V360" t="str">
        <f>""</f>
        <v/>
      </c>
      <c r="X360" t="str">
        <f>"ASG Group Limited"</f>
        <v>ASG Group Limited</v>
      </c>
      <c r="Y360" t="str">
        <f>"Level 1, 267 Georges Terrace"</f>
        <v>Level 1, 267 Georges Terrace</v>
      </c>
      <c r="Z360" t="str">
        <f>"Perth"</f>
        <v>Perth</v>
      </c>
      <c r="AA360" t="str">
        <f>"6000"</f>
        <v>6000</v>
      </c>
      <c r="AB360" t="str">
        <f t="shared" ref="AB360:AB370" si="155">"Australia"</f>
        <v>Australia</v>
      </c>
      <c r="AC360" t="str">
        <f t="shared" ref="AC360:AC370" si="156">"No"</f>
        <v>No</v>
      </c>
      <c r="AD360" t="str">
        <f>"57070045117"</f>
        <v>57070045117</v>
      </c>
      <c r="AE360" t="str">
        <f t="shared" si="153"/>
        <v>ADMIN OFFICER</v>
      </c>
      <c r="AF360" t="str">
        <f t="shared" si="126"/>
        <v>(02) 6271 1000</v>
      </c>
      <c r="AG360" t="str">
        <f>""</f>
        <v/>
      </c>
      <c r="AH360" t="str">
        <f>""</f>
        <v/>
      </c>
      <c r="AI360" t="str">
        <f t="shared" si="154"/>
        <v>CORPORATE TREASURY [OLD] Corporate Treasury</v>
      </c>
      <c r="AJ360" t="str">
        <f t="shared" si="151"/>
        <v>2603</v>
      </c>
    </row>
    <row r="361" spans="1:36" x14ac:dyDescent="0.25">
      <c r="A361" t="str">
        <f t="shared" si="141"/>
        <v>Department of Communications</v>
      </c>
      <c r="B361" t="str">
        <f>""</f>
        <v/>
      </c>
      <c r="C361" t="str">
        <f>"CN3070932"</f>
        <v>CN3070932</v>
      </c>
      <c r="D361" t="str">
        <f t="shared" si="150"/>
        <v>Leesa O'connor</v>
      </c>
      <c r="E361" s="44">
        <v>42143.462500000001</v>
      </c>
      <c r="F361" t="s">
        <v>2508</v>
      </c>
      <c r="G361" t="str">
        <f t="shared" si="142"/>
        <v>published</v>
      </c>
      <c r="H361" s="45">
        <v>42132</v>
      </c>
      <c r="I361" s="45">
        <v>42185</v>
      </c>
      <c r="J361" s="46">
        <v>163206.47</v>
      </c>
      <c r="K361" t="s">
        <v>1294</v>
      </c>
      <c r="L361" t="str">
        <f>"0004604957"</f>
        <v>0004604957</v>
      </c>
      <c r="M361" t="str">
        <f>"Software"</f>
        <v>Software</v>
      </c>
      <c r="N361" t="str">
        <f>"Open tender"</f>
        <v>Open tender</v>
      </c>
      <c r="O361" t="str">
        <f>"FIN10/AGI001"</f>
        <v>FIN10/AGI001</v>
      </c>
      <c r="P361" t="str">
        <f>"SON335550"</f>
        <v>SON335550</v>
      </c>
      <c r="Q361" t="str">
        <f t="shared" si="148"/>
        <v>No</v>
      </c>
      <c r="R361" t="str">
        <f>""</f>
        <v/>
      </c>
      <c r="S361" t="str">
        <f t="shared" si="149"/>
        <v>No</v>
      </c>
      <c r="T361" t="str">
        <f>""</f>
        <v/>
      </c>
      <c r="U361" t="str">
        <f t="shared" si="152"/>
        <v>No</v>
      </c>
      <c r="V361" t="str">
        <f>""</f>
        <v/>
      </c>
      <c r="X361" t="str">
        <f>"DATA#3 Limited"</f>
        <v>DATA#3 Limited</v>
      </c>
      <c r="Y361" t="str">
        <f>"Level 2, Data#3 Centre 80-88 Jephso"</f>
        <v>Level 2, Data#3 Centre 80-88 Jephso</v>
      </c>
      <c r="Z361" t="str">
        <f>"Toowong"</f>
        <v>Toowong</v>
      </c>
      <c r="AA361" t="str">
        <f>"4066"</f>
        <v>4066</v>
      </c>
      <c r="AB361" t="str">
        <f t="shared" si="155"/>
        <v>Australia</v>
      </c>
      <c r="AC361" t="str">
        <f t="shared" si="156"/>
        <v>No</v>
      </c>
      <c r="AD361" t="str">
        <f>"31010545267"</f>
        <v>31010545267</v>
      </c>
      <c r="AE361" t="str">
        <f t="shared" si="153"/>
        <v>ADMIN OFFICER</v>
      </c>
      <c r="AF361" t="str">
        <f t="shared" ref="AF361:AF396" si="157">"(02) 6271 1000"</f>
        <v>(02) 6271 1000</v>
      </c>
      <c r="AG361" t="str">
        <f>""</f>
        <v/>
      </c>
      <c r="AH361" t="str">
        <f>""</f>
        <v/>
      </c>
      <c r="AI361" t="str">
        <f t="shared" si="154"/>
        <v>CORPORATE TREASURY [OLD] Corporate Treasury</v>
      </c>
      <c r="AJ361" t="str">
        <f t="shared" si="151"/>
        <v>2603</v>
      </c>
    </row>
    <row r="362" spans="1:36" x14ac:dyDescent="0.25">
      <c r="A362" t="str">
        <f t="shared" si="141"/>
        <v>Department of Communications</v>
      </c>
      <c r="B362" t="str">
        <f>""</f>
        <v/>
      </c>
      <c r="C362" t="str">
        <f>"CN3070892"</f>
        <v>CN3070892</v>
      </c>
      <c r="D362" t="str">
        <f t="shared" si="150"/>
        <v>Leesa O'connor</v>
      </c>
      <c r="E362" s="44">
        <v>42143.461805555555</v>
      </c>
      <c r="F362" t="s">
        <v>2508</v>
      </c>
      <c r="G362" t="str">
        <f t="shared" si="142"/>
        <v>published</v>
      </c>
      <c r="H362" s="45">
        <v>42131</v>
      </c>
      <c r="I362" s="45">
        <v>42185</v>
      </c>
      <c r="J362" s="46">
        <v>20000</v>
      </c>
      <c r="K362" t="s">
        <v>1947</v>
      </c>
      <c r="L362" t="str">
        <f>"0004604958"</f>
        <v>0004604958</v>
      </c>
      <c r="M362" t="str">
        <f>"Personnel recruitment"</f>
        <v>Personnel recruitment</v>
      </c>
      <c r="N362" t="str">
        <f>"Open tender"</f>
        <v>Open tender</v>
      </c>
      <c r="O362" t="str">
        <f>"C11/0403"</f>
        <v>C11/0403</v>
      </c>
      <c r="Q362" t="str">
        <f t="shared" si="148"/>
        <v>No</v>
      </c>
      <c r="R362" t="str">
        <f>""</f>
        <v/>
      </c>
      <c r="S362" t="str">
        <f t="shared" si="149"/>
        <v>No</v>
      </c>
      <c r="T362" t="str">
        <f>""</f>
        <v/>
      </c>
      <c r="U362" t="str">
        <f t="shared" si="152"/>
        <v>No</v>
      </c>
      <c r="V362" t="str">
        <f>""</f>
        <v/>
      </c>
      <c r="X362" t="str">
        <f>"NGA.NET Pty Ltd"</f>
        <v>NGA.NET Pty Ltd</v>
      </c>
      <c r="Y362" t="str">
        <f>"Lvl 2, 17 Reglan Street"</f>
        <v>Lvl 2, 17 Reglan Street</v>
      </c>
      <c r="Z362" t="str">
        <f>"SOUTH MELBOURNE"</f>
        <v>SOUTH MELBOURNE</v>
      </c>
      <c r="AA362" t="str">
        <f>"3205"</f>
        <v>3205</v>
      </c>
      <c r="AB362" t="str">
        <f t="shared" si="155"/>
        <v>Australia</v>
      </c>
      <c r="AC362" t="str">
        <f t="shared" si="156"/>
        <v>No</v>
      </c>
      <c r="AD362" t="str">
        <f>"26079099282"</f>
        <v>26079099282</v>
      </c>
      <c r="AE362" t="str">
        <f t="shared" si="153"/>
        <v>ADMIN OFFICER</v>
      </c>
      <c r="AF362" t="str">
        <f t="shared" si="157"/>
        <v>(02) 6271 1000</v>
      </c>
      <c r="AG362" t="str">
        <f>""</f>
        <v/>
      </c>
      <c r="AH362" t="str">
        <f>""</f>
        <v/>
      </c>
      <c r="AI362" t="str">
        <f t="shared" si="154"/>
        <v>CORPORATE TREASURY [OLD] Corporate Treasury</v>
      </c>
      <c r="AJ362" t="str">
        <f t="shared" si="151"/>
        <v>2603</v>
      </c>
    </row>
    <row r="363" spans="1:36" x14ac:dyDescent="0.25">
      <c r="A363" t="str">
        <f t="shared" si="141"/>
        <v>Department of Communications</v>
      </c>
      <c r="B363" t="str">
        <f>""</f>
        <v/>
      </c>
      <c r="C363" t="str">
        <f>"CN3070862"</f>
        <v>CN3070862</v>
      </c>
      <c r="D363" t="str">
        <f t="shared" si="150"/>
        <v>Leesa O'connor</v>
      </c>
      <c r="E363" s="44">
        <v>42143.461805555555</v>
      </c>
      <c r="F363" t="s">
        <v>2508</v>
      </c>
      <c r="G363" t="str">
        <f t="shared" si="142"/>
        <v>published</v>
      </c>
      <c r="H363" s="45">
        <v>42132</v>
      </c>
      <c r="I363" s="45">
        <v>42185</v>
      </c>
      <c r="J363" s="46">
        <v>26150</v>
      </c>
      <c r="K363" t="s">
        <v>1950</v>
      </c>
      <c r="L363" t="str">
        <f>"0004604959"</f>
        <v>0004604959</v>
      </c>
      <c r="M363" t="str">
        <f>"Human resources services"</f>
        <v>Human resources services</v>
      </c>
      <c r="N363" t="str">
        <f>"Limited tender"</f>
        <v>Limited tender</v>
      </c>
      <c r="O363" t="str">
        <f>""</f>
        <v/>
      </c>
      <c r="Q363" t="str">
        <f t="shared" si="148"/>
        <v>No</v>
      </c>
      <c r="R363" t="str">
        <f>""</f>
        <v/>
      </c>
      <c r="S363" t="str">
        <f t="shared" si="149"/>
        <v>No</v>
      </c>
      <c r="T363" t="str">
        <f>""</f>
        <v/>
      </c>
      <c r="U363" t="str">
        <f t="shared" si="152"/>
        <v>No</v>
      </c>
      <c r="V363" t="str">
        <f>""</f>
        <v/>
      </c>
      <c r="X363" t="str">
        <f>"Department of Employment"</f>
        <v>Department of Employment</v>
      </c>
      <c r="Y363" t="str">
        <f>"GPO Box 9880"</f>
        <v>GPO Box 9880</v>
      </c>
      <c r="Z363" t="str">
        <f>"Canberra"</f>
        <v>Canberra</v>
      </c>
      <c r="AA363" t="str">
        <f>"2601"</f>
        <v>2601</v>
      </c>
      <c r="AB363" t="str">
        <f t="shared" si="155"/>
        <v>Australia</v>
      </c>
      <c r="AC363" t="str">
        <f t="shared" si="156"/>
        <v>No</v>
      </c>
      <c r="AD363" t="str">
        <f>"54201218474"</f>
        <v>54201218474</v>
      </c>
      <c r="AE363" t="str">
        <f t="shared" si="153"/>
        <v>ADMIN OFFICER</v>
      </c>
      <c r="AF363" t="str">
        <f t="shared" si="157"/>
        <v>(02) 6271 1000</v>
      </c>
      <c r="AG363" t="str">
        <f>""</f>
        <v/>
      </c>
      <c r="AH363" t="str">
        <f>""</f>
        <v/>
      </c>
      <c r="AI363" t="str">
        <f t="shared" si="154"/>
        <v>CORPORATE TREASURY [OLD] Corporate Treasury</v>
      </c>
      <c r="AJ363" t="str">
        <f t="shared" si="151"/>
        <v>2603</v>
      </c>
    </row>
    <row r="364" spans="1:36" x14ac:dyDescent="0.25">
      <c r="A364" t="str">
        <f t="shared" si="141"/>
        <v>Department of Communications</v>
      </c>
      <c r="B364" t="str">
        <f>""</f>
        <v/>
      </c>
      <c r="C364" t="str">
        <f>"CN3070832"</f>
        <v>CN3070832</v>
      </c>
      <c r="D364" t="str">
        <f t="shared" si="150"/>
        <v>Leesa O'connor</v>
      </c>
      <c r="E364" s="44">
        <v>42143.461805555555</v>
      </c>
      <c r="F364" t="s">
        <v>2508</v>
      </c>
      <c r="G364" t="str">
        <f t="shared" si="142"/>
        <v>published</v>
      </c>
      <c r="H364" s="45">
        <v>41957</v>
      </c>
      <c r="I364" s="45">
        <v>42154</v>
      </c>
      <c r="J364" s="46">
        <v>38392.199999999997</v>
      </c>
      <c r="K364" t="s">
        <v>1952</v>
      </c>
      <c r="L364" t="str">
        <f>"0004604960"</f>
        <v>0004604960</v>
      </c>
      <c r="M364" t="str">
        <f>"Office machines and their supplies and accessories"</f>
        <v>Office machines and their supplies and accessories</v>
      </c>
      <c r="N364" t="str">
        <f>"Open tender"</f>
        <v>Open tender</v>
      </c>
      <c r="O364" t="str">
        <f>"FIN10/FMG018"</f>
        <v>FIN10/FMG018</v>
      </c>
      <c r="P364" t="str">
        <f>"SON588441"</f>
        <v>SON588441</v>
      </c>
      <c r="Q364" t="str">
        <f t="shared" si="148"/>
        <v>No</v>
      </c>
      <c r="R364" t="str">
        <f>""</f>
        <v/>
      </c>
      <c r="S364" t="str">
        <f t="shared" si="149"/>
        <v>No</v>
      </c>
      <c r="T364" t="str">
        <f>""</f>
        <v/>
      </c>
      <c r="U364" t="str">
        <f t="shared" si="152"/>
        <v>No</v>
      </c>
      <c r="V364" t="str">
        <f>""</f>
        <v/>
      </c>
      <c r="X364" t="str">
        <f>"FUJI XEROX AUSTRALIA"</f>
        <v>FUJI XEROX AUSTRALIA</v>
      </c>
      <c r="Y364" t="str">
        <f>"PO BOX 1154"</f>
        <v>PO BOX 1154</v>
      </c>
      <c r="Z364" t="str">
        <f>"FYSHWICK"</f>
        <v>FYSHWICK</v>
      </c>
      <c r="AA364" t="str">
        <f>"2609"</f>
        <v>2609</v>
      </c>
      <c r="AB364" t="str">
        <f t="shared" si="155"/>
        <v>Australia</v>
      </c>
      <c r="AC364" t="str">
        <f t="shared" si="156"/>
        <v>No</v>
      </c>
      <c r="AD364" t="str">
        <f>"63000341819"</f>
        <v>63000341819</v>
      </c>
      <c r="AE364" t="str">
        <f t="shared" si="153"/>
        <v>ADMIN OFFICER</v>
      </c>
      <c r="AF364" t="str">
        <f t="shared" si="157"/>
        <v>(02) 6271 1000</v>
      </c>
      <c r="AG364" t="str">
        <f>""</f>
        <v/>
      </c>
      <c r="AH364" t="str">
        <f>""</f>
        <v/>
      </c>
      <c r="AI364" t="str">
        <f t="shared" si="154"/>
        <v>CORPORATE TREASURY [OLD] Corporate Treasury</v>
      </c>
      <c r="AJ364" t="str">
        <f t="shared" si="151"/>
        <v>2603</v>
      </c>
    </row>
    <row r="365" spans="1:36" x14ac:dyDescent="0.25">
      <c r="A365" t="str">
        <f t="shared" si="141"/>
        <v>Department of Communications</v>
      </c>
      <c r="B365" t="str">
        <f>""</f>
        <v/>
      </c>
      <c r="C365" t="str">
        <f>"CN3070792"</f>
        <v>CN3070792</v>
      </c>
      <c r="D365" t="str">
        <f t="shared" si="150"/>
        <v>Leesa O'connor</v>
      </c>
      <c r="E365" s="44">
        <v>42143.461805555555</v>
      </c>
      <c r="F365" t="s">
        <v>2508</v>
      </c>
      <c r="G365" t="str">
        <f t="shared" si="142"/>
        <v>published</v>
      </c>
      <c r="H365" s="45">
        <v>42167</v>
      </c>
      <c r="I365" s="45">
        <v>42534</v>
      </c>
      <c r="J365" s="46">
        <v>13660.9</v>
      </c>
      <c r="K365" t="s">
        <v>1955</v>
      </c>
      <c r="L365" t="str">
        <f>"0004604961"</f>
        <v>0004604961</v>
      </c>
      <c r="M365" t="str">
        <f>"Software"</f>
        <v>Software</v>
      </c>
      <c r="N365" t="str">
        <f>"Limited tender"</f>
        <v>Limited tender</v>
      </c>
      <c r="O365" t="str">
        <f>""</f>
        <v/>
      </c>
      <c r="Q365" t="str">
        <f t="shared" si="148"/>
        <v>No</v>
      </c>
      <c r="R365" t="str">
        <f>""</f>
        <v/>
      </c>
      <c r="S365" t="str">
        <f t="shared" si="149"/>
        <v>No</v>
      </c>
      <c r="T365" t="str">
        <f>""</f>
        <v/>
      </c>
      <c r="U365" t="str">
        <f t="shared" si="152"/>
        <v>No</v>
      </c>
      <c r="V365" t="str">
        <f>""</f>
        <v/>
      </c>
      <c r="X365" t="str">
        <f>"OPEN SYSTEMS AUSTRALIA P/L"</f>
        <v>OPEN SYSTEMS AUSTRALIA P/L</v>
      </c>
      <c r="Y365" t="str">
        <f>"218 NORTHBOURNE AVENUE"</f>
        <v>218 NORTHBOURNE AVENUE</v>
      </c>
      <c r="Z365" t="str">
        <f>"CANBERRA"</f>
        <v>CANBERRA</v>
      </c>
      <c r="AA365" t="str">
        <f>"2600"</f>
        <v>2600</v>
      </c>
      <c r="AB365" t="str">
        <f t="shared" si="155"/>
        <v>Australia</v>
      </c>
      <c r="AC365" t="str">
        <f t="shared" si="156"/>
        <v>No</v>
      </c>
      <c r="AD365" t="str">
        <f>"27141363592"</f>
        <v>27141363592</v>
      </c>
      <c r="AE365" t="str">
        <f t="shared" si="153"/>
        <v>ADMIN OFFICER</v>
      </c>
      <c r="AF365" t="str">
        <f t="shared" si="157"/>
        <v>(02) 6271 1000</v>
      </c>
      <c r="AG365" t="str">
        <f>""</f>
        <v/>
      </c>
      <c r="AH365" t="str">
        <f>""</f>
        <v/>
      </c>
      <c r="AI365" t="str">
        <f t="shared" si="154"/>
        <v>CORPORATE TREASURY [OLD] Corporate Treasury</v>
      </c>
      <c r="AJ365" t="str">
        <f t="shared" si="151"/>
        <v>2603</v>
      </c>
    </row>
    <row r="366" spans="1:36" x14ac:dyDescent="0.25">
      <c r="A366" t="str">
        <f t="shared" si="141"/>
        <v>Department of Communications</v>
      </c>
      <c r="B366" t="str">
        <f>""</f>
        <v/>
      </c>
      <c r="C366" t="str">
        <f>"CN3070762"</f>
        <v>CN3070762</v>
      </c>
      <c r="D366" t="str">
        <f t="shared" si="150"/>
        <v>Leesa O'connor</v>
      </c>
      <c r="E366" s="44">
        <v>42143.461805555555</v>
      </c>
      <c r="F366" t="s">
        <v>2508</v>
      </c>
      <c r="G366" t="str">
        <f t="shared" si="142"/>
        <v>published</v>
      </c>
      <c r="H366" s="45">
        <v>42123</v>
      </c>
      <c r="I366" s="45">
        <v>42185</v>
      </c>
      <c r="J366" s="46">
        <v>16000</v>
      </c>
      <c r="K366" t="s">
        <v>355</v>
      </c>
      <c r="L366" t="str">
        <f>"0004604963"</f>
        <v>0004604963</v>
      </c>
      <c r="M366" t="str">
        <f>"Market research"</f>
        <v>Market research</v>
      </c>
      <c r="N366" t="str">
        <f>"Open tender"</f>
        <v>Open tender</v>
      </c>
      <c r="O366" t="str">
        <f>"DCON/12/133"</f>
        <v>DCON/12/133</v>
      </c>
      <c r="P366" t="str">
        <f>"SON1143842"</f>
        <v>SON1143842</v>
      </c>
      <c r="Q366" t="str">
        <f t="shared" si="148"/>
        <v>No</v>
      </c>
      <c r="R366" t="str">
        <f>""</f>
        <v/>
      </c>
      <c r="S366" t="str">
        <f t="shared" si="149"/>
        <v>No</v>
      </c>
      <c r="T366" t="str">
        <f>""</f>
        <v/>
      </c>
      <c r="U366" t="str">
        <f t="shared" si="152"/>
        <v>No</v>
      </c>
      <c r="V366" t="str">
        <f>""</f>
        <v/>
      </c>
      <c r="X366" t="str">
        <f>"Cudex Pty Ltd T/A Newspoll"</f>
        <v>Cudex Pty Ltd T/A Newspoll</v>
      </c>
      <c r="Y366" t="str">
        <f>"407 Level 5 Newspoll House Elizabet"</f>
        <v>407 Level 5 Newspoll House Elizabet</v>
      </c>
      <c r="Z366" t="str">
        <f>"Surry Hills"</f>
        <v>Surry Hills</v>
      </c>
      <c r="AA366" t="str">
        <f>"2010"</f>
        <v>2010</v>
      </c>
      <c r="AB366" t="str">
        <f t="shared" si="155"/>
        <v>Australia</v>
      </c>
      <c r="AC366" t="str">
        <f t="shared" si="156"/>
        <v>No</v>
      </c>
      <c r="AD366" t="str">
        <f>"12002987920"</f>
        <v>12002987920</v>
      </c>
      <c r="AE366" t="str">
        <f>"PROCUREMENT MANAGER"</f>
        <v>PROCUREMENT MANAGER</v>
      </c>
      <c r="AF366" t="str">
        <f t="shared" si="157"/>
        <v>(02) 6271 1000</v>
      </c>
      <c r="AG366" t="str">
        <f>""</f>
        <v/>
      </c>
      <c r="AH366" t="str">
        <f>""</f>
        <v/>
      </c>
      <c r="AI366" t="str">
        <f>"CONSUMER &amp; CONTENT Consumer and Content Division"</f>
        <v>CONSUMER &amp; CONTENT Consumer and Content Division</v>
      </c>
      <c r="AJ366" t="str">
        <f t="shared" si="151"/>
        <v>2603</v>
      </c>
    </row>
    <row r="367" spans="1:36" x14ac:dyDescent="0.25">
      <c r="A367" t="str">
        <f t="shared" si="141"/>
        <v>Department of Communications</v>
      </c>
      <c r="B367" t="str">
        <f>""</f>
        <v/>
      </c>
      <c r="C367" t="str">
        <f>"CN3070732"</f>
        <v>CN3070732</v>
      </c>
      <c r="D367" t="str">
        <f t="shared" si="150"/>
        <v>Leesa O'connor</v>
      </c>
      <c r="E367" s="44">
        <v>42143.461805555555</v>
      </c>
      <c r="F367" t="s">
        <v>2508</v>
      </c>
      <c r="G367" t="str">
        <f t="shared" si="142"/>
        <v>published</v>
      </c>
      <c r="H367" s="45">
        <v>42139</v>
      </c>
      <c r="I367" s="45">
        <v>42185</v>
      </c>
      <c r="J367" s="46">
        <v>38500</v>
      </c>
      <c r="K367" t="s">
        <v>1595</v>
      </c>
      <c r="L367" t="str">
        <f>"0004604964"</f>
        <v>0004604964</v>
      </c>
      <c r="M367" t="str">
        <f>"Information technology consultation services"</f>
        <v>Information technology consultation services</v>
      </c>
      <c r="N367" t="str">
        <f>"Limited tender"</f>
        <v>Limited tender</v>
      </c>
      <c r="O367" t="str">
        <f>""</f>
        <v/>
      </c>
      <c r="Q367" t="str">
        <f t="shared" si="148"/>
        <v>No</v>
      </c>
      <c r="R367" t="str">
        <f>""</f>
        <v/>
      </c>
      <c r="S367" t="str">
        <f t="shared" si="149"/>
        <v>No</v>
      </c>
      <c r="T367" t="str">
        <f>""</f>
        <v/>
      </c>
      <c r="U367" t="str">
        <f t="shared" si="152"/>
        <v>No</v>
      </c>
      <c r="V367" t="str">
        <f>""</f>
        <v/>
      </c>
      <c r="X367" t="str">
        <f>"Squiz Australia Pty Ltd"</f>
        <v>Squiz Australia Pty Ltd</v>
      </c>
      <c r="Y367" t="str">
        <f>"Unit 3, 19 Napier Close"</f>
        <v>Unit 3, 19 Napier Close</v>
      </c>
      <c r="Z367" t="str">
        <f>"Deakin"</f>
        <v>Deakin</v>
      </c>
      <c r="AA367" t="str">
        <f>"2600"</f>
        <v>2600</v>
      </c>
      <c r="AB367" t="str">
        <f t="shared" si="155"/>
        <v>Australia</v>
      </c>
      <c r="AC367" t="str">
        <f t="shared" si="156"/>
        <v>No</v>
      </c>
      <c r="AD367" t="str">
        <f>"53131581247"</f>
        <v>53131581247</v>
      </c>
      <c r="AE367" t="str">
        <f t="shared" ref="AE367:AE374" si="158">"ADMIN OFFICER"</f>
        <v>ADMIN OFFICER</v>
      </c>
      <c r="AF367" t="str">
        <f t="shared" si="157"/>
        <v>(02) 6271 1000</v>
      </c>
      <c r="AG367" t="str">
        <f>""</f>
        <v/>
      </c>
      <c r="AH367" t="str">
        <f>""</f>
        <v/>
      </c>
      <c r="AI367" t="str">
        <f>"CORPORATE TREASURY [OLD] Corporate Treasury"</f>
        <v>CORPORATE TREASURY [OLD] Corporate Treasury</v>
      </c>
      <c r="AJ367" t="str">
        <f t="shared" si="151"/>
        <v>2603</v>
      </c>
    </row>
    <row r="368" spans="1:36" x14ac:dyDescent="0.25">
      <c r="A368" t="str">
        <f t="shared" si="141"/>
        <v>Department of Communications</v>
      </c>
      <c r="B368" t="str">
        <f>""</f>
        <v/>
      </c>
      <c r="C368" t="str">
        <f>"CN3070682"</f>
        <v>CN3070682</v>
      </c>
      <c r="D368" t="str">
        <f t="shared" si="150"/>
        <v>Leesa O'connor</v>
      </c>
      <c r="E368" s="44">
        <v>42143.461111111108</v>
      </c>
      <c r="F368" t="s">
        <v>2508</v>
      </c>
      <c r="G368" t="str">
        <f t="shared" si="142"/>
        <v>published</v>
      </c>
      <c r="H368" s="45">
        <v>42061</v>
      </c>
      <c r="I368" s="45">
        <v>42153</v>
      </c>
      <c r="J368" s="46">
        <v>56595</v>
      </c>
      <c r="K368" t="s">
        <v>1961</v>
      </c>
      <c r="L368" t="str">
        <f>"0004604965"</f>
        <v>0004604965</v>
      </c>
      <c r="M368" t="str">
        <f>"Information retrieval systems"</f>
        <v>Information retrieval systems</v>
      </c>
      <c r="N368" t="str">
        <f>"Open tender"</f>
        <v>Open tender</v>
      </c>
      <c r="O368" t="str">
        <f>"20000194"</f>
        <v>20000194</v>
      </c>
      <c r="P368" t="str">
        <f>"SON466625"</f>
        <v>SON466625</v>
      </c>
      <c r="Q368" t="str">
        <f t="shared" si="148"/>
        <v>No</v>
      </c>
      <c r="R368" t="str">
        <f>""</f>
        <v/>
      </c>
      <c r="S368" t="str">
        <f t="shared" si="149"/>
        <v>No</v>
      </c>
      <c r="T368" t="str">
        <f>""</f>
        <v/>
      </c>
      <c r="U368" t="str">
        <f t="shared" si="152"/>
        <v>No</v>
      </c>
      <c r="V368" t="str">
        <f>""</f>
        <v/>
      </c>
      <c r="X368" t="str">
        <f>"FUJITSU AUSTRALIA LTD"</f>
        <v>FUJITSU AUSTRALIA LTD</v>
      </c>
      <c r="Y368" t="str">
        <f>"LOCKED BAG 2062"</f>
        <v>LOCKED BAG 2062</v>
      </c>
      <c r="Z368" t="str">
        <f>"NORTH RYDE"</f>
        <v>NORTH RYDE</v>
      </c>
      <c r="AA368" t="str">
        <f>"1670"</f>
        <v>1670</v>
      </c>
      <c r="AB368" t="str">
        <f t="shared" si="155"/>
        <v>Australia</v>
      </c>
      <c r="AC368" t="str">
        <f t="shared" si="156"/>
        <v>No</v>
      </c>
      <c r="AD368" t="str">
        <f>"19001011427"</f>
        <v>19001011427</v>
      </c>
      <c r="AE368" t="str">
        <f t="shared" si="158"/>
        <v>ADMIN OFFICER</v>
      </c>
      <c r="AF368" t="str">
        <f t="shared" si="157"/>
        <v>(02) 6271 1000</v>
      </c>
      <c r="AG368" t="str">
        <f>""</f>
        <v/>
      </c>
      <c r="AH368" t="str">
        <f>""</f>
        <v/>
      </c>
      <c r="AI368" t="str">
        <f>"CORPORATE TREASURY [OLD] Corporate Treasury"</f>
        <v>CORPORATE TREASURY [OLD] Corporate Treasury</v>
      </c>
      <c r="AJ368" t="str">
        <f t="shared" si="151"/>
        <v>2603</v>
      </c>
    </row>
    <row r="369" spans="1:36" x14ac:dyDescent="0.25">
      <c r="A369" t="str">
        <f t="shared" si="141"/>
        <v>Department of Communications</v>
      </c>
      <c r="B369" t="str">
        <f>""</f>
        <v/>
      </c>
      <c r="C369" t="str">
        <f>"CN3129512"</f>
        <v>CN3129512</v>
      </c>
      <c r="D369" t="str">
        <f t="shared" si="150"/>
        <v>Leesa O'connor</v>
      </c>
      <c r="E369" s="44">
        <v>42160.526388888888</v>
      </c>
      <c r="F369" t="s">
        <v>2508</v>
      </c>
      <c r="G369" t="str">
        <f t="shared" si="142"/>
        <v>published</v>
      </c>
      <c r="H369" s="45">
        <v>42186</v>
      </c>
      <c r="I369" s="45">
        <v>42551</v>
      </c>
      <c r="J369" s="46">
        <v>52601.61</v>
      </c>
      <c r="K369" t="s">
        <v>2529</v>
      </c>
      <c r="L369" t="str">
        <f>"0004604970"</f>
        <v>0004604970</v>
      </c>
      <c r="M369" t="str">
        <f>"Software"</f>
        <v>Software</v>
      </c>
      <c r="N369" t="str">
        <f>"Open tender"</f>
        <v>Open tender</v>
      </c>
      <c r="O369" t="str">
        <f>"DCON/09/67"</f>
        <v>DCON/09/67</v>
      </c>
      <c r="P369" t="str">
        <f>"SON269193"</f>
        <v>SON269193</v>
      </c>
      <c r="Q369" t="str">
        <f t="shared" si="148"/>
        <v>No</v>
      </c>
      <c r="R369" t="str">
        <f>""</f>
        <v/>
      </c>
      <c r="S369" t="str">
        <f t="shared" si="149"/>
        <v>No</v>
      </c>
      <c r="T369" t="str">
        <f>""</f>
        <v/>
      </c>
      <c r="U369" t="str">
        <f t="shared" si="152"/>
        <v>No</v>
      </c>
      <c r="V369" t="str">
        <f>""</f>
        <v/>
      </c>
      <c r="X369" t="str">
        <f>"ASG Group Limited"</f>
        <v>ASG Group Limited</v>
      </c>
      <c r="Y369" t="str">
        <f>"Level 1, 267 Georges Terrace"</f>
        <v>Level 1, 267 Georges Terrace</v>
      </c>
      <c r="Z369" t="str">
        <f>"Perth"</f>
        <v>Perth</v>
      </c>
      <c r="AA369" t="str">
        <f>"6000"</f>
        <v>6000</v>
      </c>
      <c r="AB369" t="str">
        <f t="shared" si="155"/>
        <v>Australia</v>
      </c>
      <c r="AC369" t="str">
        <f t="shared" si="156"/>
        <v>No</v>
      </c>
      <c r="AD369" t="str">
        <f>"57070045117"</f>
        <v>57070045117</v>
      </c>
      <c r="AE369" t="str">
        <f t="shared" si="158"/>
        <v>ADMIN OFFICER</v>
      </c>
      <c r="AF369" t="str">
        <f t="shared" si="157"/>
        <v>(02) 6271 1000</v>
      </c>
      <c r="AG369" t="str">
        <f>""</f>
        <v/>
      </c>
      <c r="AH369" t="str">
        <f>""</f>
        <v/>
      </c>
      <c r="AI369" t="str">
        <f>"CORPORATE TREASURY [OLD] Corporate Treasury"</f>
        <v>CORPORATE TREASURY [OLD] Corporate Treasury</v>
      </c>
      <c r="AJ369" t="str">
        <f t="shared" si="151"/>
        <v>2603</v>
      </c>
    </row>
    <row r="370" spans="1:36" x14ac:dyDescent="0.25">
      <c r="A370" t="str">
        <f t="shared" si="141"/>
        <v>Department of Communications</v>
      </c>
      <c r="B370" t="str">
        <f>""</f>
        <v/>
      </c>
      <c r="C370" t="str">
        <f>"CN3129502"</f>
        <v>CN3129502</v>
      </c>
      <c r="D370" t="str">
        <f t="shared" si="150"/>
        <v>Leesa O'connor</v>
      </c>
      <c r="E370" s="44">
        <v>42160.526388888888</v>
      </c>
      <c r="F370" t="s">
        <v>2508</v>
      </c>
      <c r="G370" t="str">
        <f t="shared" si="142"/>
        <v>published</v>
      </c>
      <c r="H370" s="45">
        <v>42166</v>
      </c>
      <c r="I370" s="45">
        <v>42531</v>
      </c>
      <c r="J370" s="46">
        <v>84859.5</v>
      </c>
      <c r="K370" t="s">
        <v>1386</v>
      </c>
      <c r="L370" t="str">
        <f>"0004604972"</f>
        <v>0004604972</v>
      </c>
      <c r="M370" t="str">
        <f>"Software"</f>
        <v>Software</v>
      </c>
      <c r="N370" t="str">
        <f>"Limited tender"</f>
        <v>Limited tender</v>
      </c>
      <c r="O370" t="str">
        <f>""</f>
        <v/>
      </c>
      <c r="Q370" t="str">
        <f t="shared" si="148"/>
        <v>No</v>
      </c>
      <c r="R370" t="str">
        <f>""</f>
        <v/>
      </c>
      <c r="S370" t="str">
        <f t="shared" si="149"/>
        <v>No</v>
      </c>
      <c r="T370" t="str">
        <f>""</f>
        <v/>
      </c>
      <c r="U370" t="str">
        <f t="shared" si="152"/>
        <v>No</v>
      </c>
      <c r="V370" t="str">
        <f>""</f>
        <v/>
      </c>
      <c r="X370" t="str">
        <f>"Microsoft Pty Limited"</f>
        <v>Microsoft Pty Limited</v>
      </c>
      <c r="Y370" t="str">
        <f>"1 Epping Road"</f>
        <v>1 Epping Road</v>
      </c>
      <c r="Z370" t="str">
        <f>"North Ryde"</f>
        <v>North Ryde</v>
      </c>
      <c r="AA370" t="str">
        <f>"2113"</f>
        <v>2113</v>
      </c>
      <c r="AB370" t="str">
        <f t="shared" si="155"/>
        <v>Australia</v>
      </c>
      <c r="AC370" t="str">
        <f t="shared" si="156"/>
        <v>No</v>
      </c>
      <c r="AD370" t="str">
        <f>"29002589460"</f>
        <v>29002589460</v>
      </c>
      <c r="AE370" t="str">
        <f t="shared" si="158"/>
        <v>ADMIN OFFICER</v>
      </c>
      <c r="AF370" t="str">
        <f t="shared" si="157"/>
        <v>(02) 6271 1000</v>
      </c>
      <c r="AG370" t="str">
        <f>""</f>
        <v/>
      </c>
      <c r="AH370" t="str">
        <f>""</f>
        <v/>
      </c>
      <c r="AI370" t="str">
        <f>"CORPORATE TREASURY [OLD] Corporate Treasury"</f>
        <v>CORPORATE TREASURY [OLD] Corporate Treasury</v>
      </c>
      <c r="AJ370" t="str">
        <f t="shared" si="151"/>
        <v>2603</v>
      </c>
    </row>
    <row r="371" spans="1:36" x14ac:dyDescent="0.25">
      <c r="A371" t="str">
        <f t="shared" si="141"/>
        <v>Department of Communications</v>
      </c>
      <c r="B371" t="str">
        <f>""</f>
        <v/>
      </c>
      <c r="C371" t="str">
        <f>"CN3129492"</f>
        <v>CN3129492</v>
      </c>
      <c r="D371" t="str">
        <f t="shared" si="150"/>
        <v>Leesa O'connor</v>
      </c>
      <c r="E371" s="44">
        <v>42160.526388888888</v>
      </c>
      <c r="F371" t="s">
        <v>2508</v>
      </c>
      <c r="G371" t="str">
        <f t="shared" si="142"/>
        <v>published</v>
      </c>
      <c r="H371" s="45">
        <v>42093</v>
      </c>
      <c r="I371" s="45">
        <v>42146</v>
      </c>
      <c r="J371" s="46">
        <v>25000</v>
      </c>
      <c r="K371" t="s">
        <v>2263</v>
      </c>
      <c r="L371" t="str">
        <f>"0004604973"</f>
        <v>0004604973</v>
      </c>
      <c r="M371" t="str">
        <f>"Strategic planning consultation services"</f>
        <v>Strategic planning consultation services</v>
      </c>
      <c r="N371" t="str">
        <f>"Limited tender"</f>
        <v>Limited tender</v>
      </c>
      <c r="O371" t="str">
        <f>""</f>
        <v/>
      </c>
      <c r="Q371" t="str">
        <f t="shared" si="148"/>
        <v>No</v>
      </c>
      <c r="R371" t="str">
        <f>""</f>
        <v/>
      </c>
      <c r="S371" t="str">
        <f t="shared" si="149"/>
        <v>No</v>
      </c>
      <c r="T371" t="str">
        <f>""</f>
        <v/>
      </c>
      <c r="U371" t="str">
        <f t="shared" si="152"/>
        <v>No</v>
      </c>
      <c r="V371" t="str">
        <f>""</f>
        <v/>
      </c>
      <c r="X371" t="str">
        <f>"Communications Chambers RK Ltd"</f>
        <v>Communications Chambers RK Ltd</v>
      </c>
      <c r="Y371" t="str">
        <f>"51 Brockswood Lane"</f>
        <v>51 Brockswood Lane</v>
      </c>
      <c r="Z371" t="str">
        <f>"Welwyn Garden City"</f>
        <v>Welwyn Garden City</v>
      </c>
      <c r="AA371" t="str">
        <f>"AL8 7BU"</f>
        <v>AL8 7BU</v>
      </c>
      <c r="AB371" t="str">
        <f>"UNITED KINGDOM"</f>
        <v>UNITED KINGDOM</v>
      </c>
      <c r="AC371" t="str">
        <f>"Yes"</f>
        <v>Yes</v>
      </c>
      <c r="AD371" t="str">
        <f>""</f>
        <v/>
      </c>
      <c r="AE371" t="str">
        <f t="shared" si="158"/>
        <v>ADMIN OFFICER</v>
      </c>
      <c r="AF371" t="str">
        <f t="shared" si="157"/>
        <v>(02) 6271 1000</v>
      </c>
      <c r="AG371" t="str">
        <f>""</f>
        <v/>
      </c>
      <c r="AH371" t="str">
        <f>""</f>
        <v/>
      </c>
      <c r="AI371" t="str">
        <f>"NPAR"</f>
        <v>NPAR</v>
      </c>
      <c r="AJ371" t="str">
        <f t="shared" si="151"/>
        <v>2603</v>
      </c>
    </row>
    <row r="372" spans="1:36" x14ac:dyDescent="0.25">
      <c r="A372" t="str">
        <f t="shared" si="141"/>
        <v>Department of Communications</v>
      </c>
      <c r="B372" t="str">
        <f>""</f>
        <v/>
      </c>
      <c r="C372" t="str">
        <f>"CN3129482"</f>
        <v>CN3129482</v>
      </c>
      <c r="D372" t="str">
        <f t="shared" si="150"/>
        <v>Leesa O'connor</v>
      </c>
      <c r="E372" s="44">
        <v>42160.526388888888</v>
      </c>
      <c r="F372" t="s">
        <v>2508</v>
      </c>
      <c r="G372" t="str">
        <f t="shared" si="142"/>
        <v>published</v>
      </c>
      <c r="H372" s="45">
        <v>42144</v>
      </c>
      <c r="I372" s="45">
        <v>42551</v>
      </c>
      <c r="J372" s="46">
        <v>531630</v>
      </c>
      <c r="K372" t="s">
        <v>1974</v>
      </c>
      <c r="L372" t="str">
        <f>"0004604974"</f>
        <v>0004604974</v>
      </c>
      <c r="M372" t="str">
        <f>"News and publicity services"</f>
        <v>News and publicity services</v>
      </c>
      <c r="N372" t="str">
        <f>"Open tender"</f>
        <v>Open tender</v>
      </c>
      <c r="O372" t="str">
        <f>"SENTIA"</f>
        <v>SENTIA</v>
      </c>
      <c r="P372" t="str">
        <f>"SON355951"</f>
        <v>SON355951</v>
      </c>
      <c r="Q372" t="str">
        <f t="shared" si="148"/>
        <v>No</v>
      </c>
      <c r="R372" t="str">
        <f>""</f>
        <v/>
      </c>
      <c r="S372" t="str">
        <f t="shared" si="149"/>
        <v>No</v>
      </c>
      <c r="T372" t="str">
        <f>""</f>
        <v/>
      </c>
      <c r="U372" t="str">
        <f t="shared" si="152"/>
        <v>No</v>
      </c>
      <c r="V372" t="str">
        <f>""</f>
        <v/>
      </c>
      <c r="X372" t="str">
        <f>"MEDIA MONITORS T/A ISENTIA"</f>
        <v>MEDIA MONITORS T/A ISENTIA</v>
      </c>
      <c r="Y372" t="str">
        <f>"PO BOX 2110"</f>
        <v>PO BOX 2110</v>
      </c>
      <c r="Z372" t="str">
        <f>"STRAWBERRY HIL"</f>
        <v>STRAWBERRY HIL</v>
      </c>
      <c r="AA372" t="str">
        <f>"2012"</f>
        <v>2012</v>
      </c>
      <c r="AB372" t="str">
        <f t="shared" ref="AB372:AB388" si="159">"Australia"</f>
        <v>Australia</v>
      </c>
      <c r="AC372" t="str">
        <f t="shared" ref="AC372:AC388" si="160">"No"</f>
        <v>No</v>
      </c>
      <c r="AD372" t="str">
        <f>"11002533851"</f>
        <v>11002533851</v>
      </c>
      <c r="AE372" t="str">
        <f t="shared" si="158"/>
        <v>ADMIN OFFICER</v>
      </c>
      <c r="AF372" t="str">
        <f t="shared" si="157"/>
        <v>(02) 6271 1000</v>
      </c>
      <c r="AG372" t="str">
        <f>""</f>
        <v/>
      </c>
      <c r="AH372" t="str">
        <f>""</f>
        <v/>
      </c>
      <c r="AI372" t="str">
        <f>"CORPORATE TREASURY [OLD] Corporate Treasury"</f>
        <v>CORPORATE TREASURY [OLD] Corporate Treasury</v>
      </c>
      <c r="AJ372" t="str">
        <f t="shared" si="151"/>
        <v>2603</v>
      </c>
    </row>
    <row r="373" spans="1:36" x14ac:dyDescent="0.25">
      <c r="A373" t="str">
        <f t="shared" si="141"/>
        <v>Department of Communications</v>
      </c>
      <c r="B373" t="str">
        <f>""</f>
        <v/>
      </c>
      <c r="C373" t="str">
        <f>"CN3129472"</f>
        <v>CN3129472</v>
      </c>
      <c r="D373" t="str">
        <f t="shared" si="150"/>
        <v>Leesa O'connor</v>
      </c>
      <c r="E373" s="44">
        <v>42160.526388888888</v>
      </c>
      <c r="F373" t="s">
        <v>2508</v>
      </c>
      <c r="G373" t="str">
        <f t="shared" si="142"/>
        <v>published</v>
      </c>
      <c r="H373" s="45">
        <v>42125</v>
      </c>
      <c r="I373" s="45">
        <v>42185</v>
      </c>
      <c r="J373" s="46">
        <v>58500</v>
      </c>
      <c r="K373" t="s">
        <v>1979</v>
      </c>
      <c r="L373" t="str">
        <f>"0004604977"</f>
        <v>0004604977</v>
      </c>
      <c r="M373" t="str">
        <f>"Information technology consultation services"</f>
        <v>Information technology consultation services</v>
      </c>
      <c r="N373" t="str">
        <f>"Open tender"</f>
        <v>Open tender</v>
      </c>
      <c r="O373" t="str">
        <f>"FIN10/AGI001"</f>
        <v>FIN10/AGI001</v>
      </c>
      <c r="Q373" t="str">
        <f t="shared" si="148"/>
        <v>No</v>
      </c>
      <c r="R373" t="str">
        <f>""</f>
        <v/>
      </c>
      <c r="S373" t="str">
        <f t="shared" si="149"/>
        <v>No</v>
      </c>
      <c r="T373" t="str">
        <f>""</f>
        <v/>
      </c>
      <c r="U373" t="str">
        <f t="shared" si="152"/>
        <v>No</v>
      </c>
      <c r="V373" t="str">
        <f>""</f>
        <v/>
      </c>
      <c r="X373" t="str">
        <f>"DEPARTMENT OF FINANCE"</f>
        <v>DEPARTMENT OF FINANCE</v>
      </c>
      <c r="Y373" t="str">
        <f>"KING EDWARD TERRACE,"</f>
        <v>KING EDWARD TERRACE,</v>
      </c>
      <c r="Z373" t="str">
        <f>"PARKES"</f>
        <v>PARKES</v>
      </c>
      <c r="AA373" t="str">
        <f>"2600"</f>
        <v>2600</v>
      </c>
      <c r="AB373" t="str">
        <f t="shared" si="159"/>
        <v>Australia</v>
      </c>
      <c r="AC373" t="str">
        <f t="shared" si="160"/>
        <v>No</v>
      </c>
      <c r="AD373" t="str">
        <f>"61970632495"</f>
        <v>61970632495</v>
      </c>
      <c r="AE373" t="str">
        <f t="shared" si="158"/>
        <v>ADMIN OFFICER</v>
      </c>
      <c r="AF373" t="str">
        <f t="shared" si="157"/>
        <v>(02) 6271 1000</v>
      </c>
      <c r="AG373" t="str">
        <f>""</f>
        <v/>
      </c>
      <c r="AH373" t="str">
        <f>""</f>
        <v/>
      </c>
      <c r="AI373" t="str">
        <f>"CORPORATE TREASURY [OLD] Corporate Treasury"</f>
        <v>CORPORATE TREASURY [OLD] Corporate Treasury</v>
      </c>
      <c r="AJ373" t="str">
        <f t="shared" si="151"/>
        <v>2603</v>
      </c>
    </row>
    <row r="374" spans="1:36" x14ac:dyDescent="0.25">
      <c r="A374" t="str">
        <f t="shared" si="141"/>
        <v>Department of Communications</v>
      </c>
      <c r="B374" t="str">
        <f>""</f>
        <v/>
      </c>
      <c r="C374" t="str">
        <f>"CN3129462"</f>
        <v>CN3129462</v>
      </c>
      <c r="D374" t="str">
        <f t="shared" si="150"/>
        <v>Leesa O'connor</v>
      </c>
      <c r="E374" s="44">
        <v>42160.525694444441</v>
      </c>
      <c r="F374" t="s">
        <v>2508</v>
      </c>
      <c r="G374" t="str">
        <f t="shared" si="142"/>
        <v>published</v>
      </c>
      <c r="H374" s="45">
        <v>42125</v>
      </c>
      <c r="I374" s="45">
        <v>42185</v>
      </c>
      <c r="J374" s="46">
        <v>236000</v>
      </c>
      <c r="K374" t="s">
        <v>1981</v>
      </c>
      <c r="L374" t="str">
        <f>"0004604978"</f>
        <v>0004604978</v>
      </c>
      <c r="M374" t="str">
        <f>"Information technology consultation services"</f>
        <v>Information technology consultation services</v>
      </c>
      <c r="N374" t="str">
        <f>"Open tender"</f>
        <v>Open tender</v>
      </c>
      <c r="O374" t="str">
        <f>"FIN10/AGI001"</f>
        <v>FIN10/AGI001</v>
      </c>
      <c r="Q374" t="str">
        <f t="shared" si="148"/>
        <v>No</v>
      </c>
      <c r="R374" t="str">
        <f>""</f>
        <v/>
      </c>
      <c r="S374" t="str">
        <f t="shared" si="149"/>
        <v>No</v>
      </c>
      <c r="T374" t="str">
        <f>""</f>
        <v/>
      </c>
      <c r="U374" t="str">
        <f t="shared" si="152"/>
        <v>No</v>
      </c>
      <c r="V374" t="str">
        <f>""</f>
        <v/>
      </c>
      <c r="X374" t="str">
        <f>"DEPARTMENT OF FINANCE"</f>
        <v>DEPARTMENT OF FINANCE</v>
      </c>
      <c r="Y374" t="str">
        <f>"KING EDWARD TERRACE,"</f>
        <v>KING EDWARD TERRACE,</v>
      </c>
      <c r="Z374" t="str">
        <f>"PARKES"</f>
        <v>PARKES</v>
      </c>
      <c r="AA374" t="str">
        <f>"2600"</f>
        <v>2600</v>
      </c>
      <c r="AB374" t="str">
        <f t="shared" si="159"/>
        <v>Australia</v>
      </c>
      <c r="AC374" t="str">
        <f t="shared" si="160"/>
        <v>No</v>
      </c>
      <c r="AD374" t="str">
        <f>"61970632495"</f>
        <v>61970632495</v>
      </c>
      <c r="AE374" t="str">
        <f t="shared" si="158"/>
        <v>ADMIN OFFICER</v>
      </c>
      <c r="AF374" t="str">
        <f t="shared" si="157"/>
        <v>(02) 6271 1000</v>
      </c>
      <c r="AG374" t="str">
        <f>""</f>
        <v/>
      </c>
      <c r="AH374" t="str">
        <f>""</f>
        <v/>
      </c>
      <c r="AI374" t="str">
        <f>"CORPORATE TREASURY [OLD] Corporate Treasury"</f>
        <v>CORPORATE TREASURY [OLD] Corporate Treasury</v>
      </c>
      <c r="AJ374" t="str">
        <f t="shared" si="151"/>
        <v>2603</v>
      </c>
    </row>
    <row r="375" spans="1:36" x14ac:dyDescent="0.25">
      <c r="A375" t="str">
        <f t="shared" si="141"/>
        <v>Department of Communications</v>
      </c>
      <c r="B375" t="str">
        <f>""</f>
        <v/>
      </c>
      <c r="C375" t="str">
        <f>"CN3139692"</f>
        <v>CN3139692</v>
      </c>
      <c r="D375" t="str">
        <f t="shared" ref="D375:D396" si="161">"David Kenny"</f>
        <v>David Kenny</v>
      </c>
      <c r="E375" s="44">
        <v>42164.624305555553</v>
      </c>
      <c r="F375" t="s">
        <v>2508</v>
      </c>
      <c r="G375" t="str">
        <f t="shared" si="142"/>
        <v>published</v>
      </c>
      <c r="H375" s="45">
        <v>42149</v>
      </c>
      <c r="I375" s="45">
        <v>42185</v>
      </c>
      <c r="J375" s="46">
        <v>49000</v>
      </c>
      <c r="K375" t="s">
        <v>528</v>
      </c>
      <c r="L375" t="str">
        <f>"0004604980"</f>
        <v>0004604980</v>
      </c>
      <c r="M375" t="str">
        <f>"Software"</f>
        <v>Software</v>
      </c>
      <c r="N375" t="str">
        <f>"Open tender"</f>
        <v>Open tender</v>
      </c>
      <c r="O375" t="str">
        <f>"FIN14BPAM2098"</f>
        <v>FIN14BPAM2098</v>
      </c>
      <c r="P375" t="str">
        <f>"SON2914302"</f>
        <v>SON2914302</v>
      </c>
      <c r="Q375" t="str">
        <f t="shared" si="148"/>
        <v>No</v>
      </c>
      <c r="R375" t="str">
        <f>""</f>
        <v/>
      </c>
      <c r="S375" t="str">
        <f t="shared" si="149"/>
        <v>No</v>
      </c>
      <c r="T375" t="str">
        <f>""</f>
        <v/>
      </c>
      <c r="U375" t="str">
        <f t="shared" si="152"/>
        <v>No</v>
      </c>
      <c r="V375" t="str">
        <f>""</f>
        <v/>
      </c>
      <c r="X375" t="str">
        <f>"Sliced Tech Pty Ltd"</f>
        <v>Sliced Tech Pty Ltd</v>
      </c>
      <c r="Y375" t="str">
        <f>"PO Box 90"</f>
        <v>PO Box 90</v>
      </c>
      <c r="Z375" t="str">
        <f>"Waramanga"</f>
        <v>Waramanga</v>
      </c>
      <c r="AA375" t="str">
        <f>"2611"</f>
        <v>2611</v>
      </c>
      <c r="AB375" t="str">
        <f t="shared" si="159"/>
        <v>Australia</v>
      </c>
      <c r="AC375" t="str">
        <f t="shared" si="160"/>
        <v>No</v>
      </c>
      <c r="AD375" t="str">
        <f>"53165997008"</f>
        <v>53165997008</v>
      </c>
      <c r="AE375" t="str">
        <f>"PROCUREMENT MANAGER"</f>
        <v>PROCUREMENT MANAGER</v>
      </c>
      <c r="AF375" t="str">
        <f t="shared" si="157"/>
        <v>(02) 6271 1000</v>
      </c>
      <c r="AG375" t="str">
        <f>""</f>
        <v/>
      </c>
      <c r="AH375" t="str">
        <f>""</f>
        <v/>
      </c>
      <c r="AI375" t="str">
        <f>"COMMUNICATIONS RESEARCH Bureau of Communications Research"</f>
        <v>COMMUNICATIONS RESEARCH Bureau of Communications Research</v>
      </c>
      <c r="AJ375" t="str">
        <f t="shared" si="151"/>
        <v>2603</v>
      </c>
    </row>
    <row r="376" spans="1:36" x14ac:dyDescent="0.25">
      <c r="A376" t="str">
        <f t="shared" si="141"/>
        <v>Department of Communications</v>
      </c>
      <c r="B376" t="str">
        <f>""</f>
        <v/>
      </c>
      <c r="C376" t="str">
        <f>"CN3139682"</f>
        <v>CN3139682</v>
      </c>
      <c r="D376" t="str">
        <f t="shared" si="161"/>
        <v>David Kenny</v>
      </c>
      <c r="E376" s="44">
        <v>42164.624305555553</v>
      </c>
      <c r="F376" t="s">
        <v>2508</v>
      </c>
      <c r="G376" t="str">
        <f t="shared" si="142"/>
        <v>published</v>
      </c>
      <c r="H376" s="45">
        <v>42107</v>
      </c>
      <c r="I376" s="45">
        <v>42185</v>
      </c>
      <c r="J376" s="46">
        <v>24552</v>
      </c>
      <c r="K376" t="s">
        <v>1983</v>
      </c>
      <c r="L376" t="str">
        <f>"0004604981"</f>
        <v>0004604981</v>
      </c>
      <c r="M376" t="str">
        <f>"Human resources services"</f>
        <v>Human resources services</v>
      </c>
      <c r="N376" t="str">
        <f>"Limited tender"</f>
        <v>Limited tender</v>
      </c>
      <c r="O376" t="str">
        <f>""</f>
        <v/>
      </c>
      <c r="Q376" t="str">
        <f t="shared" si="148"/>
        <v>No</v>
      </c>
      <c r="R376" t="str">
        <f>""</f>
        <v/>
      </c>
      <c r="S376" t="str">
        <f t="shared" si="149"/>
        <v>No</v>
      </c>
      <c r="T376" t="str">
        <f>""</f>
        <v/>
      </c>
      <c r="U376" t="str">
        <f t="shared" si="152"/>
        <v>No</v>
      </c>
      <c r="V376" t="str">
        <f>""</f>
        <v/>
      </c>
      <c r="X376" t="str">
        <f>"Rehab Management Aust Pty Ltd"</f>
        <v>Rehab Management Aust Pty Ltd</v>
      </c>
      <c r="Y376" t="str">
        <f>"PO Box 2271"</f>
        <v>PO Box 2271</v>
      </c>
      <c r="Z376" t="str">
        <f>"Parramatta"</f>
        <v>Parramatta</v>
      </c>
      <c r="AA376" t="str">
        <f>"2151"</f>
        <v>2151</v>
      </c>
      <c r="AB376" t="str">
        <f t="shared" si="159"/>
        <v>Australia</v>
      </c>
      <c r="AC376" t="str">
        <f t="shared" si="160"/>
        <v>No</v>
      </c>
      <c r="AD376" t="str">
        <f>"51081207338"</f>
        <v>51081207338</v>
      </c>
      <c r="AE376" t="str">
        <f>"ADMIN OFFICER"</f>
        <v>ADMIN OFFICER</v>
      </c>
      <c r="AF376" t="str">
        <f t="shared" si="157"/>
        <v>(02) 6271 1000</v>
      </c>
      <c r="AG376" t="str">
        <f>""</f>
        <v/>
      </c>
      <c r="AH376" t="str">
        <f>""</f>
        <v/>
      </c>
      <c r="AI376" t="str">
        <f>"CORPORATE TREASURY [OLD] Corporate Treasury"</f>
        <v>CORPORATE TREASURY [OLD] Corporate Treasury</v>
      </c>
      <c r="AJ376" t="str">
        <f t="shared" si="151"/>
        <v>2603</v>
      </c>
    </row>
    <row r="377" spans="1:36" x14ac:dyDescent="0.25">
      <c r="A377" t="str">
        <f t="shared" si="141"/>
        <v>Department of Communications</v>
      </c>
      <c r="B377" t="str">
        <f>""</f>
        <v/>
      </c>
      <c r="C377" t="str">
        <f>"CN3139672"</f>
        <v>CN3139672</v>
      </c>
      <c r="D377" t="str">
        <f t="shared" si="161"/>
        <v>David Kenny</v>
      </c>
      <c r="E377" s="44">
        <v>42164.623611111114</v>
      </c>
      <c r="F377" t="s">
        <v>2508</v>
      </c>
      <c r="G377" t="str">
        <f t="shared" si="142"/>
        <v>published</v>
      </c>
      <c r="H377" s="45">
        <v>42144</v>
      </c>
      <c r="I377" s="45">
        <v>44104</v>
      </c>
      <c r="J377" s="46">
        <v>23520566</v>
      </c>
      <c r="K377" t="s">
        <v>1054</v>
      </c>
      <c r="L377" t="str">
        <f>"0004604983"</f>
        <v>0004604983</v>
      </c>
      <c r="M377" t="str">
        <f>"Management information systems MIS"</f>
        <v>Management information systems MIS</v>
      </c>
      <c r="N377" t="str">
        <f>"Limited tender"</f>
        <v>Limited tender</v>
      </c>
      <c r="O377" t="str">
        <f>""</f>
        <v/>
      </c>
      <c r="Q377" t="str">
        <f t="shared" si="148"/>
        <v>No</v>
      </c>
      <c r="R377" t="str">
        <f>""</f>
        <v/>
      </c>
      <c r="S377" t="str">
        <f t="shared" si="149"/>
        <v>No</v>
      </c>
      <c r="T377" t="str">
        <f>""</f>
        <v/>
      </c>
      <c r="U377" t="str">
        <f t="shared" si="152"/>
        <v>No</v>
      </c>
      <c r="V377" t="str">
        <f>""</f>
        <v/>
      </c>
      <c r="X377" t="str">
        <f>"ASG Group Limited"</f>
        <v>ASG Group Limited</v>
      </c>
      <c r="Y377" t="str">
        <f>"Level 1, 267 Georges Terrace"</f>
        <v>Level 1, 267 Georges Terrace</v>
      </c>
      <c r="Z377" t="str">
        <f>"Perth"</f>
        <v>Perth</v>
      </c>
      <c r="AA377" t="str">
        <f>"6000"</f>
        <v>6000</v>
      </c>
      <c r="AB377" t="str">
        <f t="shared" si="159"/>
        <v>Australia</v>
      </c>
      <c r="AC377" t="str">
        <f t="shared" si="160"/>
        <v>No</v>
      </c>
      <c r="AD377" t="str">
        <f>"57070045117"</f>
        <v>57070045117</v>
      </c>
      <c r="AE377" t="str">
        <f>"ADMIN OFFICER"</f>
        <v>ADMIN OFFICER</v>
      </c>
      <c r="AF377" t="str">
        <f t="shared" si="157"/>
        <v>(02) 6271 1000</v>
      </c>
      <c r="AG377" t="str">
        <f>""</f>
        <v/>
      </c>
      <c r="AH377" t="str">
        <f>""</f>
        <v/>
      </c>
      <c r="AI377" t="str">
        <f>"CORPORATE TREASURY [OLD] Corporate Treasury"</f>
        <v>CORPORATE TREASURY [OLD] Corporate Treasury</v>
      </c>
      <c r="AJ377" t="str">
        <f t="shared" si="151"/>
        <v>2603</v>
      </c>
    </row>
    <row r="378" spans="1:36" x14ac:dyDescent="0.25">
      <c r="A378" t="str">
        <f t="shared" si="141"/>
        <v>Department of Communications</v>
      </c>
      <c r="B378" t="str">
        <f>""</f>
        <v/>
      </c>
      <c r="C378" t="str">
        <f>"CN3139662"</f>
        <v>CN3139662</v>
      </c>
      <c r="D378" t="str">
        <f t="shared" si="161"/>
        <v>David Kenny</v>
      </c>
      <c r="E378" s="44">
        <v>42164.623611111114</v>
      </c>
      <c r="F378" t="s">
        <v>2508</v>
      </c>
      <c r="G378" t="str">
        <f t="shared" si="142"/>
        <v>published</v>
      </c>
      <c r="H378" s="45">
        <v>42149</v>
      </c>
      <c r="I378" s="45">
        <v>42185</v>
      </c>
      <c r="J378" s="46">
        <v>215000</v>
      </c>
      <c r="K378" t="s">
        <v>1987</v>
      </c>
      <c r="L378" t="str">
        <f>"0004604984"</f>
        <v>0004604984</v>
      </c>
      <c r="M378" t="str">
        <f>"System administrators"</f>
        <v>System administrators</v>
      </c>
      <c r="N378" t="str">
        <f>"Open tender"</f>
        <v>Open tender</v>
      </c>
      <c r="O378" t="str">
        <f>"DCON/09/67"</f>
        <v>DCON/09/67</v>
      </c>
      <c r="P378" t="str">
        <f>"SON269193"</f>
        <v>SON269193</v>
      </c>
      <c r="Q378" t="str">
        <f t="shared" si="148"/>
        <v>No</v>
      </c>
      <c r="R378" t="str">
        <f>""</f>
        <v/>
      </c>
      <c r="S378" t="str">
        <f t="shared" si="149"/>
        <v>No</v>
      </c>
      <c r="T378" t="str">
        <f>""</f>
        <v/>
      </c>
      <c r="U378" t="str">
        <f t="shared" si="152"/>
        <v>No</v>
      </c>
      <c r="V378" t="str">
        <f>""</f>
        <v/>
      </c>
      <c r="X378" t="str">
        <f>"ASG Group Limited"</f>
        <v>ASG Group Limited</v>
      </c>
      <c r="Y378" t="str">
        <f>"Level 1, 267 Georges Terrace"</f>
        <v>Level 1, 267 Georges Terrace</v>
      </c>
      <c r="Z378" t="str">
        <f>"Perth"</f>
        <v>Perth</v>
      </c>
      <c r="AA378" t="str">
        <f>"6000"</f>
        <v>6000</v>
      </c>
      <c r="AB378" t="str">
        <f t="shared" si="159"/>
        <v>Australia</v>
      </c>
      <c r="AC378" t="str">
        <f t="shared" si="160"/>
        <v>No</v>
      </c>
      <c r="AD378" t="str">
        <f>"57070045117"</f>
        <v>57070045117</v>
      </c>
      <c r="AE378" t="str">
        <f>"ADMIN OFFICER"</f>
        <v>ADMIN OFFICER</v>
      </c>
      <c r="AF378" t="str">
        <f t="shared" si="157"/>
        <v>(02) 6271 1000</v>
      </c>
      <c r="AG378" t="str">
        <f>""</f>
        <v/>
      </c>
      <c r="AH378" t="str">
        <f>""</f>
        <v/>
      </c>
      <c r="AI378" t="str">
        <f>"CORPORATE TREASURY [OLD] Corporate Treasury"</f>
        <v>CORPORATE TREASURY [OLD] Corporate Treasury</v>
      </c>
      <c r="AJ378" t="str">
        <f t="shared" si="151"/>
        <v>2603</v>
      </c>
    </row>
    <row r="379" spans="1:36" x14ac:dyDescent="0.25">
      <c r="A379" t="str">
        <f t="shared" si="141"/>
        <v>Department of Communications</v>
      </c>
      <c r="B379" t="str">
        <f>""</f>
        <v/>
      </c>
      <c r="C379" t="str">
        <f>"CN3139652"</f>
        <v>CN3139652</v>
      </c>
      <c r="D379" t="str">
        <f t="shared" si="161"/>
        <v>David Kenny</v>
      </c>
      <c r="E379" s="44">
        <v>42164.623611111114</v>
      </c>
      <c r="F379" t="s">
        <v>2508</v>
      </c>
      <c r="G379" t="str">
        <f t="shared" si="142"/>
        <v>published</v>
      </c>
      <c r="H379" s="45">
        <v>42109</v>
      </c>
      <c r="I379" s="45">
        <v>42185</v>
      </c>
      <c r="J379" s="46">
        <v>45000</v>
      </c>
      <c r="K379" t="s">
        <v>2301</v>
      </c>
      <c r="L379" t="str">
        <f>"0004604987"</f>
        <v>0004604987</v>
      </c>
      <c r="M379" t="str">
        <f>"Legal services"</f>
        <v>Legal services</v>
      </c>
      <c r="N379" t="str">
        <f>"Prequalified tender"</f>
        <v>Prequalified tender</v>
      </c>
      <c r="O379" t="str">
        <f>""</f>
        <v/>
      </c>
      <c r="Q379" t="str">
        <f>"Yes"</f>
        <v>Yes</v>
      </c>
      <c r="R379" t="str">
        <f>"Intellectual property"</f>
        <v>Intellectual property</v>
      </c>
      <c r="S379" t="str">
        <f>"Yes"</f>
        <v>Yes</v>
      </c>
      <c r="T379" t="str">
        <f>"Intellectual property"</f>
        <v>Intellectual property</v>
      </c>
      <c r="U379" t="str">
        <f>"Yes"</f>
        <v>Yes</v>
      </c>
      <c r="V379" t="str">
        <f>"Need for specialised or professional skills"</f>
        <v>Need for specialised or professional skills</v>
      </c>
      <c r="X379" t="str">
        <f>"DLA Piper Australia"</f>
        <v>DLA Piper Australia</v>
      </c>
      <c r="Y379" t="str">
        <f>"PO Box 4082"</f>
        <v>PO Box 4082</v>
      </c>
      <c r="Z379" t="str">
        <f>"Sydney"</f>
        <v>Sydney</v>
      </c>
      <c r="AA379" t="str">
        <f>"2001"</f>
        <v>2001</v>
      </c>
      <c r="AB379" t="str">
        <f t="shared" si="159"/>
        <v>Australia</v>
      </c>
      <c r="AC379" t="str">
        <f t="shared" si="160"/>
        <v>No</v>
      </c>
      <c r="AD379" t="str">
        <f>"83508451308"</f>
        <v>83508451308</v>
      </c>
      <c r="AE379" t="str">
        <f>"PROCUREMENT MANAGER"</f>
        <v>PROCUREMENT MANAGER</v>
      </c>
      <c r="AF379" t="str">
        <f t="shared" si="157"/>
        <v>(02) 6271 1000</v>
      </c>
      <c r="AG379" t="str">
        <f>""</f>
        <v/>
      </c>
      <c r="AH379" t="str">
        <f>""</f>
        <v/>
      </c>
      <c r="AI379" t="str">
        <f>"GENERAL COUNSEL Office of the General Counsel"</f>
        <v>GENERAL COUNSEL Office of the General Counsel</v>
      </c>
      <c r="AJ379" t="str">
        <f t="shared" si="151"/>
        <v>2603</v>
      </c>
    </row>
    <row r="380" spans="1:36" x14ac:dyDescent="0.25">
      <c r="A380" t="str">
        <f t="shared" si="141"/>
        <v>Department of Communications</v>
      </c>
      <c r="B380" t="str">
        <f>""</f>
        <v/>
      </c>
      <c r="C380" t="str">
        <f>"CN3139642"</f>
        <v>CN3139642</v>
      </c>
      <c r="D380" t="str">
        <f t="shared" si="161"/>
        <v>David Kenny</v>
      </c>
      <c r="E380" s="44">
        <v>42164.623611111114</v>
      </c>
      <c r="F380" t="s">
        <v>2508</v>
      </c>
      <c r="G380" t="str">
        <f t="shared" si="142"/>
        <v>published</v>
      </c>
      <c r="H380" s="45">
        <v>42156</v>
      </c>
      <c r="I380" s="45">
        <v>42216</v>
      </c>
      <c r="J380" s="46">
        <v>26180</v>
      </c>
      <c r="K380" t="s">
        <v>1994</v>
      </c>
      <c r="L380" t="str">
        <f>"0004604988"</f>
        <v>0004604988</v>
      </c>
      <c r="M380" t="str">
        <f>"Application implementation services"</f>
        <v>Application implementation services</v>
      </c>
      <c r="N380" t="str">
        <f>"Open tender"</f>
        <v>Open tender</v>
      </c>
      <c r="O380" t="str">
        <f>"D229"</f>
        <v>D229</v>
      </c>
      <c r="P380" t="str">
        <f>"SON2501421"</f>
        <v>SON2501421</v>
      </c>
      <c r="Q380" t="str">
        <f>"Yes"</f>
        <v>Yes</v>
      </c>
      <c r="R380" t="str">
        <f>"Intellectual property"</f>
        <v>Intellectual property</v>
      </c>
      <c r="S380" t="str">
        <f>"Yes"</f>
        <v>Yes</v>
      </c>
      <c r="T380" t="str">
        <f>"Intellectual property"</f>
        <v>Intellectual property</v>
      </c>
      <c r="U380" t="str">
        <f t="shared" ref="U380:U386" si="162">"No"</f>
        <v>No</v>
      </c>
      <c r="V380" t="str">
        <f>""</f>
        <v/>
      </c>
      <c r="X380" t="str">
        <f>"Veritec Pty Ltd"</f>
        <v>Veritec Pty Ltd</v>
      </c>
      <c r="Y380" t="str">
        <f>"PO Box 641"</f>
        <v>PO Box 641</v>
      </c>
      <c r="Z380" t="str">
        <f>"Jamison"</f>
        <v>Jamison</v>
      </c>
      <c r="AA380" t="str">
        <f>"2614"</f>
        <v>2614</v>
      </c>
      <c r="AB380" t="str">
        <f t="shared" si="159"/>
        <v>Australia</v>
      </c>
      <c r="AC380" t="str">
        <f t="shared" si="160"/>
        <v>No</v>
      </c>
      <c r="AD380" t="str">
        <f>"21166493394"</f>
        <v>21166493394</v>
      </c>
      <c r="AE380" t="str">
        <f>"ADMIN OFFICER"</f>
        <v>ADMIN OFFICER</v>
      </c>
      <c r="AF380" t="str">
        <f t="shared" si="157"/>
        <v>(02) 6271 1000</v>
      </c>
      <c r="AG380" t="str">
        <f>""</f>
        <v/>
      </c>
      <c r="AH380" t="str">
        <f>""</f>
        <v/>
      </c>
      <c r="AI380" t="str">
        <f>"CORPORATE TREASURY [OLD] Corporate Treasury"</f>
        <v>CORPORATE TREASURY [OLD] Corporate Treasury</v>
      </c>
      <c r="AJ380" t="str">
        <f t="shared" si="151"/>
        <v>2603</v>
      </c>
    </row>
    <row r="381" spans="1:36" x14ac:dyDescent="0.25">
      <c r="A381" t="str">
        <f t="shared" si="141"/>
        <v>Department of Communications</v>
      </c>
      <c r="B381" t="str">
        <f>""</f>
        <v/>
      </c>
      <c r="C381" t="str">
        <f>"CN3139632"</f>
        <v>CN3139632</v>
      </c>
      <c r="D381" t="str">
        <f t="shared" si="161"/>
        <v>David Kenny</v>
      </c>
      <c r="E381" s="44">
        <v>42164.623611111114</v>
      </c>
      <c r="F381" t="s">
        <v>2508</v>
      </c>
      <c r="G381" t="str">
        <f t="shared" si="142"/>
        <v>published</v>
      </c>
      <c r="H381" s="45">
        <v>42186</v>
      </c>
      <c r="I381" s="45">
        <v>42551</v>
      </c>
      <c r="J381" s="46">
        <v>22000</v>
      </c>
      <c r="K381" t="s">
        <v>2530</v>
      </c>
      <c r="L381" t="str">
        <f>"0004604989"</f>
        <v>0004604989</v>
      </c>
      <c r="M381" t="str">
        <f>"Work related organisations"</f>
        <v>Work related organisations</v>
      </c>
      <c r="N381" t="str">
        <f t="shared" ref="N381:N386" si="163">"Limited tender"</f>
        <v>Limited tender</v>
      </c>
      <c r="O381" t="str">
        <f>""</f>
        <v/>
      </c>
      <c r="Q381" t="str">
        <f>"No"</f>
        <v>No</v>
      </c>
      <c r="R381" t="str">
        <f>""</f>
        <v/>
      </c>
      <c r="S381" t="str">
        <f>"No"</f>
        <v>No</v>
      </c>
      <c r="T381" t="str">
        <f>""</f>
        <v/>
      </c>
      <c r="U381" t="str">
        <f t="shared" si="162"/>
        <v>No</v>
      </c>
      <c r="V381" t="str">
        <f>""</f>
        <v/>
      </c>
      <c r="X381" t="str">
        <f>"INSTITUTE OF PUBLIC ADMINISTRATION"</f>
        <v>INSTITUTE OF PUBLIC ADMINISTRATION</v>
      </c>
      <c r="Y381" t="str">
        <f>"PO BOX 3147"</f>
        <v>PO BOX 3147</v>
      </c>
      <c r="Z381" t="str">
        <f>"Belconnen Mall DC"</f>
        <v>Belconnen Mall DC</v>
      </c>
      <c r="AA381" t="str">
        <f>"2617"</f>
        <v>2617</v>
      </c>
      <c r="AB381" t="str">
        <f t="shared" si="159"/>
        <v>Australia</v>
      </c>
      <c r="AC381" t="str">
        <f t="shared" si="160"/>
        <v>No</v>
      </c>
      <c r="AD381" t="str">
        <f>"24656727375"</f>
        <v>24656727375</v>
      </c>
      <c r="AE381" t="str">
        <f>"ADMIN OFFICER"</f>
        <v>ADMIN OFFICER</v>
      </c>
      <c r="AF381" t="str">
        <f t="shared" si="157"/>
        <v>(02) 6271 1000</v>
      </c>
      <c r="AG381" t="str">
        <f>""</f>
        <v/>
      </c>
      <c r="AH381" t="str">
        <f>""</f>
        <v/>
      </c>
      <c r="AI381" t="str">
        <f>"CORPORATE TREASURY [OLD] Corporate Treasury"</f>
        <v>CORPORATE TREASURY [OLD] Corporate Treasury</v>
      </c>
      <c r="AJ381" t="str">
        <f t="shared" si="151"/>
        <v>2603</v>
      </c>
    </row>
    <row r="382" spans="1:36" x14ac:dyDescent="0.25">
      <c r="A382" t="str">
        <f t="shared" si="141"/>
        <v>Department of Communications</v>
      </c>
      <c r="B382" t="str">
        <f>""</f>
        <v/>
      </c>
      <c r="C382" t="str">
        <f>"CN3139622"</f>
        <v>CN3139622</v>
      </c>
      <c r="D382" t="str">
        <f t="shared" si="161"/>
        <v>David Kenny</v>
      </c>
      <c r="E382" s="44">
        <v>42164.622916666667</v>
      </c>
      <c r="F382" t="s">
        <v>2508</v>
      </c>
      <c r="G382" t="str">
        <f t="shared" si="142"/>
        <v>published</v>
      </c>
      <c r="H382" s="45">
        <v>42145</v>
      </c>
      <c r="I382" s="45">
        <v>42185</v>
      </c>
      <c r="J382" s="46">
        <v>40000</v>
      </c>
      <c r="K382" t="s">
        <v>2000</v>
      </c>
      <c r="L382" t="str">
        <f>"0004604990"</f>
        <v>0004604990</v>
      </c>
      <c r="M382" t="str">
        <f>"Software"</f>
        <v>Software</v>
      </c>
      <c r="N382" t="str">
        <f t="shared" si="163"/>
        <v>Limited tender</v>
      </c>
      <c r="O382" t="str">
        <f>""</f>
        <v/>
      </c>
      <c r="Q382" t="str">
        <f>"No"</f>
        <v>No</v>
      </c>
      <c r="R382" t="str">
        <f>""</f>
        <v/>
      </c>
      <c r="S382" t="str">
        <f>"No"</f>
        <v>No</v>
      </c>
      <c r="T382" t="str">
        <f>""</f>
        <v/>
      </c>
      <c r="U382" t="str">
        <f t="shared" si="162"/>
        <v>No</v>
      </c>
      <c r="V382" t="str">
        <f>""</f>
        <v/>
      </c>
      <c r="X382" t="str">
        <f>"Internetrix"</f>
        <v>Internetrix</v>
      </c>
      <c r="Y382" t="str">
        <f>"PO Box 981"</f>
        <v>PO Box 981</v>
      </c>
      <c r="Z382" t="str">
        <f>"Wollongong"</f>
        <v>Wollongong</v>
      </c>
      <c r="AA382" t="str">
        <f>"2520"</f>
        <v>2520</v>
      </c>
      <c r="AB382" t="str">
        <f t="shared" si="159"/>
        <v>Australia</v>
      </c>
      <c r="AC382" t="str">
        <f t="shared" si="160"/>
        <v>No</v>
      </c>
      <c r="AD382" t="str">
        <f>"65108451378"</f>
        <v>65108451378</v>
      </c>
      <c r="AE382" t="str">
        <f>"ADMIN OFFICER"</f>
        <v>ADMIN OFFICER</v>
      </c>
      <c r="AF382" t="str">
        <f t="shared" si="157"/>
        <v>(02) 6271 1000</v>
      </c>
      <c r="AG382" t="str">
        <f>""</f>
        <v/>
      </c>
      <c r="AH382" t="str">
        <f>""</f>
        <v/>
      </c>
      <c r="AI382" t="str">
        <f>"CORPORATE TREASURY [OLD] Corporate Treasury"</f>
        <v>CORPORATE TREASURY [OLD] Corporate Treasury</v>
      </c>
      <c r="AJ382" t="str">
        <f t="shared" si="151"/>
        <v>2603</v>
      </c>
    </row>
    <row r="383" spans="1:36" x14ac:dyDescent="0.25">
      <c r="A383" t="str">
        <f t="shared" si="141"/>
        <v>Department of Communications</v>
      </c>
      <c r="B383" t="str">
        <f>""</f>
        <v/>
      </c>
      <c r="C383" t="str">
        <f>"CN3139612"</f>
        <v>CN3139612</v>
      </c>
      <c r="D383" t="str">
        <f t="shared" si="161"/>
        <v>David Kenny</v>
      </c>
      <c r="E383" s="44">
        <v>42164.622916666667</v>
      </c>
      <c r="F383" t="s">
        <v>2508</v>
      </c>
      <c r="G383" t="str">
        <f t="shared" si="142"/>
        <v>published</v>
      </c>
      <c r="H383" s="45">
        <v>42171</v>
      </c>
      <c r="I383" s="45">
        <v>42174</v>
      </c>
      <c r="J383" s="46">
        <v>16755.75</v>
      </c>
      <c r="K383" t="s">
        <v>533</v>
      </c>
      <c r="L383" t="str">
        <f>"0004604992"</f>
        <v>0004604992</v>
      </c>
      <c r="M383" t="str">
        <f>"Software"</f>
        <v>Software</v>
      </c>
      <c r="N383" t="str">
        <f t="shared" si="163"/>
        <v>Limited tender</v>
      </c>
      <c r="O383" t="str">
        <f>""</f>
        <v/>
      </c>
      <c r="Q383" t="str">
        <f>"No"</f>
        <v>No</v>
      </c>
      <c r="R383" t="str">
        <f>""</f>
        <v/>
      </c>
      <c r="S383" t="str">
        <f>"No"</f>
        <v>No</v>
      </c>
      <c r="T383" t="str">
        <f>""</f>
        <v/>
      </c>
      <c r="U383" t="str">
        <f t="shared" si="162"/>
        <v>No</v>
      </c>
      <c r="V383" t="str">
        <f>""</f>
        <v/>
      </c>
      <c r="X383" t="str">
        <f>"Contexti Pty Ltd"</f>
        <v>Contexti Pty Ltd</v>
      </c>
      <c r="Y383" t="str">
        <f>"Level 4 Clarence Street"</f>
        <v>Level 4 Clarence Street</v>
      </c>
      <c r="Z383" t="str">
        <f>"Sydney"</f>
        <v>Sydney</v>
      </c>
      <c r="AA383" t="str">
        <f>"2000"</f>
        <v>2000</v>
      </c>
      <c r="AB383" t="str">
        <f t="shared" si="159"/>
        <v>Australia</v>
      </c>
      <c r="AC383" t="str">
        <f t="shared" si="160"/>
        <v>No</v>
      </c>
      <c r="AD383" t="str">
        <f>"62156494549"</f>
        <v>62156494549</v>
      </c>
      <c r="AE383" t="str">
        <f>"PROCUREMENT MANAGER"</f>
        <v>PROCUREMENT MANAGER</v>
      </c>
      <c r="AF383" t="str">
        <f t="shared" si="157"/>
        <v>(02) 6271 1000</v>
      </c>
      <c r="AG383" t="str">
        <f>""</f>
        <v/>
      </c>
      <c r="AH383" t="str">
        <f>""</f>
        <v/>
      </c>
      <c r="AI383" t="str">
        <f>"COMMUNICATIONS RESEARCH Bureau of Communications Research"</f>
        <v>COMMUNICATIONS RESEARCH Bureau of Communications Research</v>
      </c>
      <c r="AJ383" t="str">
        <f t="shared" si="151"/>
        <v>2603</v>
      </c>
    </row>
    <row r="384" spans="1:36" x14ac:dyDescent="0.25">
      <c r="A384" t="str">
        <f t="shared" si="141"/>
        <v>Department of Communications</v>
      </c>
      <c r="B384" t="str">
        <f>""</f>
        <v/>
      </c>
      <c r="C384" t="str">
        <f>"CN3139602"</f>
        <v>CN3139602</v>
      </c>
      <c r="D384" t="str">
        <f t="shared" si="161"/>
        <v>David Kenny</v>
      </c>
      <c r="E384" s="44">
        <v>42164.622916666667</v>
      </c>
      <c r="F384" t="s">
        <v>2508</v>
      </c>
      <c r="G384" t="str">
        <f t="shared" si="142"/>
        <v>published</v>
      </c>
      <c r="H384" s="45">
        <v>42159</v>
      </c>
      <c r="I384" s="45">
        <v>42185</v>
      </c>
      <c r="J384" s="46">
        <v>17600</v>
      </c>
      <c r="K384" t="s">
        <v>2005</v>
      </c>
      <c r="L384" t="str">
        <f>"0004604994"</f>
        <v>0004604994</v>
      </c>
      <c r="M384" t="str">
        <f>"Information technology consultation services"</f>
        <v>Information technology consultation services</v>
      </c>
      <c r="N384" t="str">
        <f t="shared" si="163"/>
        <v>Limited tender</v>
      </c>
      <c r="O384" t="str">
        <f>""</f>
        <v/>
      </c>
      <c r="Q384" t="str">
        <f>"No"</f>
        <v>No</v>
      </c>
      <c r="R384" t="str">
        <f>""</f>
        <v/>
      </c>
      <c r="S384" t="str">
        <f>"No"</f>
        <v>No</v>
      </c>
      <c r="T384" t="str">
        <f>""</f>
        <v/>
      </c>
      <c r="U384" t="str">
        <f t="shared" si="162"/>
        <v>No</v>
      </c>
      <c r="V384" t="str">
        <f>""</f>
        <v/>
      </c>
      <c r="X384" t="str">
        <f>"RPM Solutions PTY LTD"</f>
        <v>RPM Solutions PTY LTD</v>
      </c>
      <c r="Y384" t="str">
        <f>"27/101 Collins Street"</f>
        <v>27/101 Collins Street</v>
      </c>
      <c r="Z384" t="str">
        <f>"Melbourne"</f>
        <v>Melbourne</v>
      </c>
      <c r="AA384" t="str">
        <f>"3000"</f>
        <v>3000</v>
      </c>
      <c r="AB384" t="str">
        <f t="shared" si="159"/>
        <v>Australia</v>
      </c>
      <c r="AC384" t="str">
        <f t="shared" si="160"/>
        <v>No</v>
      </c>
      <c r="AD384" t="str">
        <f>"64007217941"</f>
        <v>64007217941</v>
      </c>
      <c r="AE384" t="str">
        <f>"ADMIN OFFICER"</f>
        <v>ADMIN OFFICER</v>
      </c>
      <c r="AF384" t="str">
        <f t="shared" si="157"/>
        <v>(02) 6271 1000</v>
      </c>
      <c r="AG384" t="str">
        <f>""</f>
        <v/>
      </c>
      <c r="AH384" t="str">
        <f>""</f>
        <v/>
      </c>
      <c r="AI384" t="str">
        <f>"CORPORATE TREASURY [OLD] Corporate Treasury"</f>
        <v>CORPORATE TREASURY [OLD] Corporate Treasury</v>
      </c>
      <c r="AJ384" t="str">
        <f t="shared" si="151"/>
        <v>2603</v>
      </c>
    </row>
    <row r="385" spans="1:36" x14ac:dyDescent="0.25">
      <c r="A385" t="str">
        <f t="shared" si="141"/>
        <v>Department of Communications</v>
      </c>
      <c r="B385" t="str">
        <f>""</f>
        <v/>
      </c>
      <c r="C385" t="str">
        <f>"CN3139582"</f>
        <v>CN3139582</v>
      </c>
      <c r="D385" t="str">
        <f t="shared" si="161"/>
        <v>David Kenny</v>
      </c>
      <c r="E385" s="44">
        <v>42164.622916666667</v>
      </c>
      <c r="F385" t="s">
        <v>2508</v>
      </c>
      <c r="G385" t="str">
        <f t="shared" si="142"/>
        <v>published</v>
      </c>
      <c r="H385" s="45">
        <v>42164</v>
      </c>
      <c r="I385" s="45">
        <v>42181</v>
      </c>
      <c r="J385" s="46">
        <v>31416</v>
      </c>
      <c r="K385" t="s">
        <v>2006</v>
      </c>
      <c r="L385" t="str">
        <f>"0004604995"</f>
        <v>0004604995</v>
      </c>
      <c r="M385" t="str">
        <f>"Information technology consultation services"</f>
        <v>Information technology consultation services</v>
      </c>
      <c r="N385" t="str">
        <f t="shared" si="163"/>
        <v>Limited tender</v>
      </c>
      <c r="O385" t="str">
        <f>""</f>
        <v/>
      </c>
      <c r="Q385" t="str">
        <f>"Yes"</f>
        <v>Yes</v>
      </c>
      <c r="R385" t="str">
        <f>"Intellectual property"</f>
        <v>Intellectual property</v>
      </c>
      <c r="S385" t="str">
        <f>"Yes"</f>
        <v>Yes</v>
      </c>
      <c r="T385" t="str">
        <f>"Intellectual property"</f>
        <v>Intellectual property</v>
      </c>
      <c r="U385" t="str">
        <f t="shared" si="162"/>
        <v>No</v>
      </c>
      <c r="V385" t="str">
        <f>""</f>
        <v/>
      </c>
      <c r="X385" t="str">
        <f>"FUJITSU AUSTRALIA LTD"</f>
        <v>FUJITSU AUSTRALIA LTD</v>
      </c>
      <c r="Y385" t="str">
        <f>"LOCKED BAG 2062"</f>
        <v>LOCKED BAG 2062</v>
      </c>
      <c r="Z385" t="str">
        <f>"NORTH RYDE"</f>
        <v>NORTH RYDE</v>
      </c>
      <c r="AA385" t="str">
        <f>"1670"</f>
        <v>1670</v>
      </c>
      <c r="AB385" t="str">
        <f t="shared" si="159"/>
        <v>Australia</v>
      </c>
      <c r="AC385" t="str">
        <f t="shared" si="160"/>
        <v>No</v>
      </c>
      <c r="AD385" t="str">
        <f>"19001011427"</f>
        <v>19001011427</v>
      </c>
      <c r="AE385" t="str">
        <f>"ADMIN OFFICER"</f>
        <v>ADMIN OFFICER</v>
      </c>
      <c r="AF385" t="str">
        <f t="shared" si="157"/>
        <v>(02) 6271 1000</v>
      </c>
      <c r="AG385" t="str">
        <f>""</f>
        <v/>
      </c>
      <c r="AH385" t="str">
        <f>""</f>
        <v/>
      </c>
      <c r="AI385" t="str">
        <f>"CORPORATE TREASURY [OLD] Corporate Treasury"</f>
        <v>CORPORATE TREASURY [OLD] Corporate Treasury</v>
      </c>
      <c r="AJ385" t="str">
        <f t="shared" si="151"/>
        <v>2603</v>
      </c>
    </row>
    <row r="386" spans="1:36" x14ac:dyDescent="0.25">
      <c r="A386" t="str">
        <f t="shared" si="141"/>
        <v>Department of Communications</v>
      </c>
      <c r="B386" t="str">
        <f>""</f>
        <v/>
      </c>
      <c r="C386" t="str">
        <f>"CN3139572"</f>
        <v>CN3139572</v>
      </c>
      <c r="D386" t="str">
        <f t="shared" si="161"/>
        <v>David Kenny</v>
      </c>
      <c r="E386" s="44">
        <v>42164.62222222222</v>
      </c>
      <c r="F386" t="s">
        <v>2508</v>
      </c>
      <c r="G386" t="str">
        <f t="shared" si="142"/>
        <v>published</v>
      </c>
      <c r="H386" s="45">
        <v>42186</v>
      </c>
      <c r="I386" s="45">
        <v>42551</v>
      </c>
      <c r="J386" s="46">
        <v>14000</v>
      </c>
      <c r="K386" t="s">
        <v>2531</v>
      </c>
      <c r="L386" t="str">
        <f>"0004604997"</f>
        <v>0004604997</v>
      </c>
      <c r="M386" t="str">
        <f>"Lease and rental of property or building"</f>
        <v>Lease and rental of property or building</v>
      </c>
      <c r="N386" t="str">
        <f t="shared" si="163"/>
        <v>Limited tender</v>
      </c>
      <c r="O386" t="str">
        <f>""</f>
        <v/>
      </c>
      <c r="Q386" t="str">
        <f t="shared" ref="Q386:Q396" si="164">"No"</f>
        <v>No</v>
      </c>
      <c r="R386" t="str">
        <f>""</f>
        <v/>
      </c>
      <c r="S386" t="str">
        <f t="shared" ref="S386:S396" si="165">"No"</f>
        <v>No</v>
      </c>
      <c r="T386" t="str">
        <f>""</f>
        <v/>
      </c>
      <c r="U386" t="str">
        <f t="shared" si="162"/>
        <v>No</v>
      </c>
      <c r="V386" t="str">
        <f>""</f>
        <v/>
      </c>
      <c r="X386" t="str">
        <f>"Wilson Parking"</f>
        <v>Wilson Parking</v>
      </c>
      <c r="Y386" t="str">
        <f>"PO Box 14185"</f>
        <v>PO Box 14185</v>
      </c>
      <c r="Z386" t="str">
        <f>"Melbourne"</f>
        <v>Melbourne</v>
      </c>
      <c r="AA386" t="str">
        <f>"8001"</f>
        <v>8001</v>
      </c>
      <c r="AB386" t="str">
        <f t="shared" si="159"/>
        <v>Australia</v>
      </c>
      <c r="AC386" t="str">
        <f t="shared" si="160"/>
        <v>No</v>
      </c>
      <c r="AD386" t="str">
        <f>"67052475911"</f>
        <v>67052475911</v>
      </c>
      <c r="AE386" t="str">
        <f>"ADMIN OFFICER"</f>
        <v>ADMIN OFFICER</v>
      </c>
      <c r="AF386" t="str">
        <f t="shared" si="157"/>
        <v>(02) 6271 1000</v>
      </c>
      <c r="AG386" t="str">
        <f>""</f>
        <v/>
      </c>
      <c r="AH386" t="str">
        <f>""</f>
        <v/>
      </c>
      <c r="AI386" t="str">
        <f>"CORPORATE TREASURY [OLD] Corporate Treasury"</f>
        <v>CORPORATE TREASURY [OLD] Corporate Treasury</v>
      </c>
      <c r="AJ386" t="str">
        <f>"2000"</f>
        <v>2000</v>
      </c>
    </row>
    <row r="387" spans="1:36" x14ac:dyDescent="0.25">
      <c r="A387" t="str">
        <f t="shared" si="141"/>
        <v>Department of Communications</v>
      </c>
      <c r="B387" t="str">
        <f>""</f>
        <v/>
      </c>
      <c r="C387" t="str">
        <f>"CN3165022"</f>
        <v>CN3165022</v>
      </c>
      <c r="D387" t="str">
        <f t="shared" si="161"/>
        <v>David Kenny</v>
      </c>
      <c r="E387" s="44">
        <v>42172.487500000003</v>
      </c>
      <c r="F387" t="s">
        <v>2508</v>
      </c>
      <c r="G387" t="str">
        <f t="shared" si="142"/>
        <v>published</v>
      </c>
      <c r="H387" s="45">
        <v>42160</v>
      </c>
      <c r="I387" s="45">
        <v>42216</v>
      </c>
      <c r="J387" s="46">
        <v>64900</v>
      </c>
      <c r="K387" t="s">
        <v>373</v>
      </c>
      <c r="L387" t="str">
        <f>"0004604998"</f>
        <v>0004604998</v>
      </c>
      <c r="M387" t="str">
        <f>"Management advisory services"</f>
        <v>Management advisory services</v>
      </c>
      <c r="N387" t="str">
        <f>"Open tender"</f>
        <v>Open tender</v>
      </c>
      <c r="O387" t="str">
        <f>"DCON/12/133"</f>
        <v>DCON/12/133</v>
      </c>
      <c r="P387" t="str">
        <f>"SON1143842"</f>
        <v>SON1143842</v>
      </c>
      <c r="Q387" t="str">
        <f t="shared" si="164"/>
        <v>No</v>
      </c>
      <c r="R387" t="str">
        <f>""</f>
        <v/>
      </c>
      <c r="S387" t="str">
        <f t="shared" si="165"/>
        <v>No</v>
      </c>
      <c r="T387" t="str">
        <f>""</f>
        <v/>
      </c>
      <c r="U387" t="str">
        <f>"Yes"</f>
        <v>Yes</v>
      </c>
      <c r="V387" t="str">
        <f>"Need for independent research or assessment"</f>
        <v>Need for independent research or assessment</v>
      </c>
      <c r="X387" t="str">
        <f>"INTERNATIONAL ECONOMICS UNIT TRUST"</f>
        <v>INTERNATIONAL ECONOMICS UNIT TRUST</v>
      </c>
      <c r="Y387" t="str">
        <f>"PO Box 397"</f>
        <v>PO Box 397</v>
      </c>
      <c r="Z387" t="str">
        <f>"SYDNEY"</f>
        <v>SYDNEY</v>
      </c>
      <c r="AA387" t="str">
        <f>"1043"</f>
        <v>1043</v>
      </c>
      <c r="AB387" t="str">
        <f t="shared" si="159"/>
        <v>Australia</v>
      </c>
      <c r="AC387" t="str">
        <f t="shared" si="160"/>
        <v>No</v>
      </c>
      <c r="AD387" t="str">
        <f>"11705723812"</f>
        <v>11705723812</v>
      </c>
      <c r="AE387" t="str">
        <f>"PROCUREMENT MANAGER"</f>
        <v>PROCUREMENT MANAGER</v>
      </c>
      <c r="AF387" t="str">
        <f t="shared" si="157"/>
        <v>(02) 6271 1000</v>
      </c>
      <c r="AG387" t="str">
        <f>""</f>
        <v/>
      </c>
      <c r="AH387" t="str">
        <f>""</f>
        <v/>
      </c>
      <c r="AI387" t="str">
        <f>"CONSUMER &amp; CONTENT Consumer and Content Division"</f>
        <v>CONSUMER &amp; CONTENT Consumer and Content Division</v>
      </c>
      <c r="AJ387" t="str">
        <f t="shared" ref="AJ387:AJ396" si="166">"2603"</f>
        <v>2603</v>
      </c>
    </row>
    <row r="388" spans="1:36" x14ac:dyDescent="0.25">
      <c r="A388" t="str">
        <f t="shared" ref="A388:A396" si="167">"Department of Communications"</f>
        <v>Department of Communications</v>
      </c>
      <c r="B388" t="str">
        <f>""</f>
        <v/>
      </c>
      <c r="C388" t="str">
        <f>"CN3165012"</f>
        <v>CN3165012</v>
      </c>
      <c r="D388" t="str">
        <f t="shared" si="161"/>
        <v>David Kenny</v>
      </c>
      <c r="E388" s="44">
        <v>42172.487500000003</v>
      </c>
      <c r="F388" t="s">
        <v>2508</v>
      </c>
      <c r="G388" t="str">
        <f t="shared" ref="G388:G396" si="168">"published"</f>
        <v>published</v>
      </c>
      <c r="H388" s="45">
        <v>42156</v>
      </c>
      <c r="I388" s="45">
        <v>42185</v>
      </c>
      <c r="J388" s="46">
        <v>10000</v>
      </c>
      <c r="K388" t="s">
        <v>2007</v>
      </c>
      <c r="L388" t="str">
        <f>"0004605001"</f>
        <v>0004605001</v>
      </c>
      <c r="M388" t="str">
        <f>"Personnel recruitment"</f>
        <v>Personnel recruitment</v>
      </c>
      <c r="N388" t="str">
        <f>"Limited tender"</f>
        <v>Limited tender</v>
      </c>
      <c r="O388" t="str">
        <f>""</f>
        <v/>
      </c>
      <c r="Q388" t="str">
        <f t="shared" si="164"/>
        <v>No</v>
      </c>
      <c r="R388" t="str">
        <f>""</f>
        <v/>
      </c>
      <c r="S388" t="str">
        <f t="shared" si="165"/>
        <v>No</v>
      </c>
      <c r="T388" t="str">
        <f>""</f>
        <v/>
      </c>
      <c r="U388" t="str">
        <f t="shared" ref="U388:U396" si="169">"No"</f>
        <v>No</v>
      </c>
      <c r="V388" t="str">
        <f>""</f>
        <v/>
      </c>
      <c r="X388" t="str">
        <f>"Associative Producers"</f>
        <v>Associative Producers</v>
      </c>
      <c r="Y388" t="str">
        <f>"20 Blair Street"</f>
        <v>20 Blair Street</v>
      </c>
      <c r="Z388" t="str">
        <f>"Watson"</f>
        <v>Watson</v>
      </c>
      <c r="AA388" t="str">
        <f>"2602"</f>
        <v>2602</v>
      </c>
      <c r="AB388" t="str">
        <f t="shared" si="159"/>
        <v>Australia</v>
      </c>
      <c r="AC388" t="str">
        <f t="shared" si="160"/>
        <v>No</v>
      </c>
      <c r="AD388" t="str">
        <f>"71445366035"</f>
        <v>71445366035</v>
      </c>
      <c r="AE388" t="str">
        <f>"ADMIN OFFICER"</f>
        <v>ADMIN OFFICER</v>
      </c>
      <c r="AF388" t="str">
        <f t="shared" si="157"/>
        <v>(02) 6271 1000</v>
      </c>
      <c r="AG388" t="str">
        <f>""</f>
        <v/>
      </c>
      <c r="AH388" t="str">
        <f>""</f>
        <v/>
      </c>
      <c r="AI388" t="str">
        <f>"CORPORATE TREASURY [OLD] Corporate Treasury"</f>
        <v>CORPORATE TREASURY [OLD] Corporate Treasury</v>
      </c>
      <c r="AJ388" t="str">
        <f t="shared" si="166"/>
        <v>2603</v>
      </c>
    </row>
    <row r="389" spans="1:36" x14ac:dyDescent="0.25">
      <c r="A389" t="str">
        <f t="shared" si="167"/>
        <v>Department of Communications</v>
      </c>
      <c r="B389" t="str">
        <f>""</f>
        <v/>
      </c>
      <c r="C389" t="str">
        <f>"CN3165002"</f>
        <v>CN3165002</v>
      </c>
      <c r="D389" t="str">
        <f t="shared" si="161"/>
        <v>David Kenny</v>
      </c>
      <c r="E389" s="44">
        <v>42172.487500000003</v>
      </c>
      <c r="F389" t="s">
        <v>2508</v>
      </c>
      <c r="G389" t="str">
        <f t="shared" si="168"/>
        <v>published</v>
      </c>
      <c r="H389" s="45">
        <v>42111</v>
      </c>
      <c r="I389" s="45">
        <v>42185</v>
      </c>
      <c r="J389" s="46">
        <v>24999.96</v>
      </c>
      <c r="K389" t="s">
        <v>2009</v>
      </c>
      <c r="L389" t="str">
        <f>"0004605002"</f>
        <v>0004605002</v>
      </c>
      <c r="M389" t="str">
        <f>"Software"</f>
        <v>Software</v>
      </c>
      <c r="N389" t="str">
        <f>"Limited tender"</f>
        <v>Limited tender</v>
      </c>
      <c r="O389" t="str">
        <f>""</f>
        <v/>
      </c>
      <c r="Q389" t="str">
        <f t="shared" si="164"/>
        <v>No</v>
      </c>
      <c r="R389" t="str">
        <f>""</f>
        <v/>
      </c>
      <c r="S389" t="str">
        <f t="shared" si="165"/>
        <v>No</v>
      </c>
      <c r="T389" t="str">
        <f>""</f>
        <v/>
      </c>
      <c r="U389" t="str">
        <f t="shared" si="169"/>
        <v>No</v>
      </c>
      <c r="V389" t="str">
        <f>""</f>
        <v/>
      </c>
      <c r="X389" t="str">
        <f>"Sysomos"</f>
        <v>Sysomos</v>
      </c>
      <c r="Y389" t="str">
        <f>"100 N.Sepulveda Blvd Suite 325"</f>
        <v>100 N.Sepulveda Blvd Suite 325</v>
      </c>
      <c r="Z389" t="str">
        <f>"El Segundo California"</f>
        <v>El Segundo California</v>
      </c>
      <c r="AA389" t="str">
        <f>"90245"</f>
        <v>90245</v>
      </c>
      <c r="AB389" t="str">
        <f>"United States"</f>
        <v>United States</v>
      </c>
      <c r="AC389" t="str">
        <f>"Yes"</f>
        <v>Yes</v>
      </c>
      <c r="AD389" t="str">
        <f>""</f>
        <v/>
      </c>
      <c r="AE389" t="str">
        <f>"ADMIN OFFICER"</f>
        <v>ADMIN OFFICER</v>
      </c>
      <c r="AF389" t="str">
        <f t="shared" si="157"/>
        <v>(02) 6271 1000</v>
      </c>
      <c r="AG389" t="str">
        <f>""</f>
        <v/>
      </c>
      <c r="AH389" t="str">
        <f>""</f>
        <v/>
      </c>
      <c r="AI389" t="str">
        <f>"CORPORATE TREASURY [OLD] Corporate Treasury"</f>
        <v>CORPORATE TREASURY [OLD] Corporate Treasury</v>
      </c>
      <c r="AJ389" t="str">
        <f t="shared" si="166"/>
        <v>2603</v>
      </c>
    </row>
    <row r="390" spans="1:36" x14ac:dyDescent="0.25">
      <c r="A390" t="str">
        <f t="shared" si="167"/>
        <v>Department of Communications</v>
      </c>
      <c r="B390" t="str">
        <f>""</f>
        <v/>
      </c>
      <c r="C390" t="str">
        <f>"CN3164992"</f>
        <v>CN3164992</v>
      </c>
      <c r="D390" t="str">
        <f t="shared" si="161"/>
        <v>David Kenny</v>
      </c>
      <c r="E390" s="44">
        <v>42172.487500000003</v>
      </c>
      <c r="F390" t="s">
        <v>2508</v>
      </c>
      <c r="G390" t="str">
        <f t="shared" si="168"/>
        <v>published</v>
      </c>
      <c r="H390" s="45">
        <v>42186</v>
      </c>
      <c r="I390" s="45">
        <v>42277</v>
      </c>
      <c r="J390" s="46">
        <v>67100</v>
      </c>
      <c r="K390" t="s">
        <v>2532</v>
      </c>
      <c r="L390" t="str">
        <f>"0004605004"</f>
        <v>0004605004</v>
      </c>
      <c r="M390" t="str">
        <f>"Temporary personnel services"</f>
        <v>Temporary personnel services</v>
      </c>
      <c r="N390" t="str">
        <f>"Open tender"</f>
        <v>Open tender</v>
      </c>
      <c r="O390" t="str">
        <f>"DCON/12/244"</f>
        <v>DCON/12/244</v>
      </c>
      <c r="P390" t="str">
        <f>"SON1180562"</f>
        <v>SON1180562</v>
      </c>
      <c r="Q390" t="str">
        <f t="shared" si="164"/>
        <v>No</v>
      </c>
      <c r="R390" t="str">
        <f>""</f>
        <v/>
      </c>
      <c r="S390" t="str">
        <f t="shared" si="165"/>
        <v>No</v>
      </c>
      <c r="T390" t="str">
        <f>""</f>
        <v/>
      </c>
      <c r="U390" t="str">
        <f t="shared" si="169"/>
        <v>No</v>
      </c>
      <c r="V390" t="str">
        <f>""</f>
        <v/>
      </c>
      <c r="X390" t="str">
        <f>"McArthur (NSW) Pty Ltd"</f>
        <v>McArthur (NSW) Pty Ltd</v>
      </c>
      <c r="Y390" t="str">
        <f>"PO Box 1400"</f>
        <v>PO Box 1400</v>
      </c>
      <c r="Z390" t="str">
        <f>"Brisbane"</f>
        <v>Brisbane</v>
      </c>
      <c r="AA390" t="str">
        <f>"4001"</f>
        <v>4001</v>
      </c>
      <c r="AB390" t="str">
        <f>"Australia"</f>
        <v>Australia</v>
      </c>
      <c r="AC390" t="str">
        <f>"No"</f>
        <v>No</v>
      </c>
      <c r="AD390" t="str">
        <f>"26078078298"</f>
        <v>26078078298</v>
      </c>
      <c r="AE390" t="str">
        <f>"PROCUREMENT MANAGER"</f>
        <v>PROCUREMENT MANAGER</v>
      </c>
      <c r="AF390" t="str">
        <f t="shared" si="157"/>
        <v>(02) 6271 1000</v>
      </c>
      <c r="AG390" t="str">
        <f>""</f>
        <v/>
      </c>
      <c r="AH390" t="str">
        <f>""</f>
        <v/>
      </c>
      <c r="AI390" t="str">
        <f>"COMMUNICATIONS RESEARCH Bureau of Communications Research"</f>
        <v>COMMUNICATIONS RESEARCH Bureau of Communications Research</v>
      </c>
      <c r="AJ390" t="str">
        <f t="shared" si="166"/>
        <v>2603</v>
      </c>
    </row>
    <row r="391" spans="1:36" x14ac:dyDescent="0.25">
      <c r="A391" t="str">
        <f t="shared" si="167"/>
        <v>Department of Communications</v>
      </c>
      <c r="B391" t="str">
        <f>""</f>
        <v/>
      </c>
      <c r="C391" t="str">
        <f>"CN3164982"</f>
        <v>CN3164982</v>
      </c>
      <c r="D391" t="str">
        <f t="shared" si="161"/>
        <v>David Kenny</v>
      </c>
      <c r="E391" s="44">
        <v>42172.487500000003</v>
      </c>
      <c r="F391" t="s">
        <v>2508</v>
      </c>
      <c r="G391" t="str">
        <f t="shared" si="168"/>
        <v>published</v>
      </c>
      <c r="H391" s="45">
        <v>42145</v>
      </c>
      <c r="I391" s="45">
        <v>42216</v>
      </c>
      <c r="J391" s="46">
        <v>73788</v>
      </c>
      <c r="K391" t="s">
        <v>2010</v>
      </c>
      <c r="L391" t="str">
        <f>"0004605005"</f>
        <v>0004605005</v>
      </c>
      <c r="M391" t="str">
        <f>"Business administration services"</f>
        <v>Business administration services</v>
      </c>
      <c r="N391" t="str">
        <f>"Limited tender"</f>
        <v>Limited tender</v>
      </c>
      <c r="O391" t="str">
        <f>"DCON/15/36"</f>
        <v>DCON/15/36</v>
      </c>
      <c r="Q391" t="str">
        <f t="shared" si="164"/>
        <v>No</v>
      </c>
      <c r="R391" t="str">
        <f>""</f>
        <v/>
      </c>
      <c r="S391" t="str">
        <f t="shared" si="165"/>
        <v>No</v>
      </c>
      <c r="T391" t="str">
        <f>""</f>
        <v/>
      </c>
      <c r="U391" t="str">
        <f t="shared" si="169"/>
        <v>No</v>
      </c>
      <c r="V391" t="str">
        <f>""</f>
        <v/>
      </c>
      <c r="X391" t="str">
        <f>"KPMG"</f>
        <v>KPMG</v>
      </c>
      <c r="Y391" t="str">
        <f>"PO BOX 7396"</f>
        <v>PO BOX 7396</v>
      </c>
      <c r="Z391" t="str">
        <f>"Canberra Business Centre"</f>
        <v>Canberra Business Centre</v>
      </c>
      <c r="AA391" t="str">
        <f>"2610"</f>
        <v>2610</v>
      </c>
      <c r="AB391" t="str">
        <f>"Australia"</f>
        <v>Australia</v>
      </c>
      <c r="AC391" t="str">
        <f>"No"</f>
        <v>No</v>
      </c>
      <c r="AD391" t="str">
        <f>"51194660183"</f>
        <v>51194660183</v>
      </c>
      <c r="AE391" t="str">
        <f>"ADMIN OFFICER"</f>
        <v>ADMIN OFFICER</v>
      </c>
      <c r="AF391" t="str">
        <f t="shared" si="157"/>
        <v>(02) 6271 1000</v>
      </c>
      <c r="AG391" t="str">
        <f>""</f>
        <v/>
      </c>
      <c r="AH391" t="str">
        <f>""</f>
        <v/>
      </c>
      <c r="AI391" t="str">
        <f>"CORPORATE TREASURY [OLD] Corporate Treasury"</f>
        <v>CORPORATE TREASURY [OLD] Corporate Treasury</v>
      </c>
      <c r="AJ391" t="str">
        <f t="shared" si="166"/>
        <v>2603</v>
      </c>
    </row>
    <row r="392" spans="1:36" x14ac:dyDescent="0.25">
      <c r="A392" t="str">
        <f t="shared" si="167"/>
        <v>Department of Communications</v>
      </c>
      <c r="B392" t="str">
        <f>""</f>
        <v/>
      </c>
      <c r="C392" t="str">
        <f>"CN3164972"</f>
        <v>CN3164972</v>
      </c>
      <c r="D392" t="str">
        <f t="shared" si="161"/>
        <v>David Kenny</v>
      </c>
      <c r="E392" s="44">
        <v>42172.486805555556</v>
      </c>
      <c r="F392" t="s">
        <v>2508</v>
      </c>
      <c r="G392" t="str">
        <f t="shared" si="168"/>
        <v>published</v>
      </c>
      <c r="H392" s="45">
        <v>42152</v>
      </c>
      <c r="I392" s="45">
        <v>42185</v>
      </c>
      <c r="J392" s="46">
        <v>13630.1</v>
      </c>
      <c r="K392" t="s">
        <v>2012</v>
      </c>
      <c r="L392" t="str">
        <f>"0004605006"</f>
        <v>0004605006</v>
      </c>
      <c r="M392" t="str">
        <f>"Software"</f>
        <v>Software</v>
      </c>
      <c r="N392" t="str">
        <f>"Open tender"</f>
        <v>Open tender</v>
      </c>
      <c r="O392" t="str">
        <f>"DCON/09/67"</f>
        <v>DCON/09/67</v>
      </c>
      <c r="P392" t="str">
        <f>"SON269193"</f>
        <v>SON269193</v>
      </c>
      <c r="Q392" t="str">
        <f t="shared" si="164"/>
        <v>No</v>
      </c>
      <c r="R392" t="str">
        <f>""</f>
        <v/>
      </c>
      <c r="S392" t="str">
        <f t="shared" si="165"/>
        <v>No</v>
      </c>
      <c r="T392" t="str">
        <f>""</f>
        <v/>
      </c>
      <c r="U392" t="str">
        <f t="shared" si="169"/>
        <v>No</v>
      </c>
      <c r="V392" t="str">
        <f>""</f>
        <v/>
      </c>
      <c r="X392" t="str">
        <f>"ASG Group Limited"</f>
        <v>ASG Group Limited</v>
      </c>
      <c r="Y392" t="str">
        <f>"Level 1, 267 Georges Terrace"</f>
        <v>Level 1, 267 Georges Terrace</v>
      </c>
      <c r="Z392" t="str">
        <f>"Perth"</f>
        <v>Perth</v>
      </c>
      <c r="AA392" t="str">
        <f>"6000"</f>
        <v>6000</v>
      </c>
      <c r="AB392" t="str">
        <f>"Australia"</f>
        <v>Australia</v>
      </c>
      <c r="AC392" t="str">
        <f>"No"</f>
        <v>No</v>
      </c>
      <c r="AD392" t="str">
        <f>"57070045117"</f>
        <v>57070045117</v>
      </c>
      <c r="AE392" t="str">
        <f>"ADMIN OFFICER"</f>
        <v>ADMIN OFFICER</v>
      </c>
      <c r="AF392" t="str">
        <f t="shared" si="157"/>
        <v>(02) 6271 1000</v>
      </c>
      <c r="AG392" t="str">
        <f>""</f>
        <v/>
      </c>
      <c r="AH392" t="str">
        <f>""</f>
        <v/>
      </c>
      <c r="AI392" t="str">
        <f>"CORPORATE TREASURY [OLD] Corporate Treasury"</f>
        <v>CORPORATE TREASURY [OLD] Corporate Treasury</v>
      </c>
      <c r="AJ392" t="str">
        <f t="shared" si="166"/>
        <v>2603</v>
      </c>
    </row>
    <row r="393" spans="1:36" x14ac:dyDescent="0.25">
      <c r="A393" t="str">
        <f t="shared" si="167"/>
        <v>Department of Communications</v>
      </c>
      <c r="B393" t="str">
        <f>""</f>
        <v/>
      </c>
      <c r="C393" t="str">
        <f>"CN3164962"</f>
        <v>CN3164962</v>
      </c>
      <c r="D393" t="str">
        <f t="shared" si="161"/>
        <v>David Kenny</v>
      </c>
      <c r="E393" s="44">
        <v>42172.486805555556</v>
      </c>
      <c r="F393" t="s">
        <v>2508</v>
      </c>
      <c r="G393" t="str">
        <f t="shared" si="168"/>
        <v>published</v>
      </c>
      <c r="H393" s="45">
        <v>42166</v>
      </c>
      <c r="I393" s="45">
        <v>42185</v>
      </c>
      <c r="J393" s="46">
        <v>35000</v>
      </c>
      <c r="K393" t="s">
        <v>537</v>
      </c>
      <c r="L393" t="str">
        <f>"0004605008"</f>
        <v>0004605008</v>
      </c>
      <c r="M393" t="str">
        <f>"Business administration services"</f>
        <v>Business administration services</v>
      </c>
      <c r="N393" t="str">
        <f>"Limited tender"</f>
        <v>Limited tender</v>
      </c>
      <c r="O393" t="str">
        <f>""</f>
        <v/>
      </c>
      <c r="Q393" t="str">
        <f t="shared" si="164"/>
        <v>No</v>
      </c>
      <c r="R393" t="str">
        <f>""</f>
        <v/>
      </c>
      <c r="S393" t="str">
        <f t="shared" si="165"/>
        <v>No</v>
      </c>
      <c r="T393" t="str">
        <f>""</f>
        <v/>
      </c>
      <c r="U393" t="str">
        <f t="shared" si="169"/>
        <v>No</v>
      </c>
      <c r="V393" t="str">
        <f>""</f>
        <v/>
      </c>
      <c r="X393" t="str">
        <f>"The Trustee for the ThinkPlace"</f>
        <v>The Trustee for the ThinkPlace</v>
      </c>
      <c r="Y393" t="str">
        <f>"Jardine Street"</f>
        <v>Jardine Street</v>
      </c>
      <c r="Z393" t="str">
        <f>"Kingston"</f>
        <v>Kingston</v>
      </c>
      <c r="AA393" t="str">
        <f>"2604"</f>
        <v>2604</v>
      </c>
      <c r="AB393" t="str">
        <f>"Australia"</f>
        <v>Australia</v>
      </c>
      <c r="AC393" t="str">
        <f>"No"</f>
        <v>No</v>
      </c>
      <c r="AD393" t="str">
        <f>"34280130162"</f>
        <v>34280130162</v>
      </c>
      <c r="AE393" t="str">
        <f>"PROCUREMENT MANAGER"</f>
        <v>PROCUREMENT MANAGER</v>
      </c>
      <c r="AF393" t="str">
        <f t="shared" si="157"/>
        <v>(02) 6271 1000</v>
      </c>
      <c r="AG393" t="str">
        <f>""</f>
        <v/>
      </c>
      <c r="AH393" t="str">
        <f>""</f>
        <v/>
      </c>
      <c r="AI393" t="str">
        <f>"COMMUNICATIONS RESEARCH Bureau of Communications Research"</f>
        <v>COMMUNICATIONS RESEARCH Bureau of Communications Research</v>
      </c>
      <c r="AJ393" t="str">
        <f t="shared" si="166"/>
        <v>2603</v>
      </c>
    </row>
    <row r="394" spans="1:36" x14ac:dyDescent="0.25">
      <c r="A394" t="str">
        <f t="shared" si="167"/>
        <v>Department of Communications</v>
      </c>
      <c r="B394" t="str">
        <f>""</f>
        <v/>
      </c>
      <c r="C394" t="str">
        <f>"CN3164952"</f>
        <v>CN3164952</v>
      </c>
      <c r="D394" t="str">
        <f t="shared" si="161"/>
        <v>David Kenny</v>
      </c>
      <c r="E394" s="44">
        <v>42172.486805555556</v>
      </c>
      <c r="F394" t="s">
        <v>2508</v>
      </c>
      <c r="G394" t="str">
        <f t="shared" si="168"/>
        <v>published</v>
      </c>
      <c r="H394" s="45">
        <v>42156</v>
      </c>
      <c r="I394" s="45">
        <v>42521</v>
      </c>
      <c r="J394" s="46">
        <v>71900</v>
      </c>
      <c r="K394" t="s">
        <v>2014</v>
      </c>
      <c r="L394" t="str">
        <f>"0004605012"</f>
        <v>0004605012</v>
      </c>
      <c r="M394" t="str">
        <f>"Market research"</f>
        <v>Market research</v>
      </c>
      <c r="N394" t="str">
        <f>"Limited tender"</f>
        <v>Limited tender</v>
      </c>
      <c r="O394" t="str">
        <f>""</f>
        <v/>
      </c>
      <c r="Q394" t="str">
        <f t="shared" si="164"/>
        <v>No</v>
      </c>
      <c r="R394" t="str">
        <f>""</f>
        <v/>
      </c>
      <c r="S394" t="str">
        <f t="shared" si="165"/>
        <v>No</v>
      </c>
      <c r="T394" t="str">
        <f>""</f>
        <v/>
      </c>
      <c r="U394" t="str">
        <f t="shared" si="169"/>
        <v>No</v>
      </c>
      <c r="V394" t="str">
        <f>""</f>
        <v/>
      </c>
      <c r="X394" t="str">
        <f>"Corporate Executive Board"</f>
        <v>Corporate Executive Board</v>
      </c>
      <c r="Y394" t="str">
        <f>"1919 N. Lynn Street"</f>
        <v>1919 N. Lynn Street</v>
      </c>
      <c r="Z394" t="str">
        <f>"Arlington"</f>
        <v>Arlington</v>
      </c>
      <c r="AA394" t="str">
        <f>""</f>
        <v/>
      </c>
      <c r="AB394" t="str">
        <f>"United States"</f>
        <v>United States</v>
      </c>
      <c r="AC394" t="str">
        <f>"Yes"</f>
        <v>Yes</v>
      </c>
      <c r="AD394" t="str">
        <f>""</f>
        <v/>
      </c>
      <c r="AE394" t="str">
        <f>"ADMIN OFFICER"</f>
        <v>ADMIN OFFICER</v>
      </c>
      <c r="AF394" t="str">
        <f t="shared" si="157"/>
        <v>(02) 6271 1000</v>
      </c>
      <c r="AG394" t="str">
        <f>""</f>
        <v/>
      </c>
      <c r="AH394" t="str">
        <f>""</f>
        <v/>
      </c>
      <c r="AI394" t="str">
        <f>"CORPORATE TREASURY [OLD] Corporate Treasury"</f>
        <v>CORPORATE TREASURY [OLD] Corporate Treasury</v>
      </c>
      <c r="AJ394" t="str">
        <f t="shared" si="166"/>
        <v>2603</v>
      </c>
    </row>
    <row r="395" spans="1:36" x14ac:dyDescent="0.25">
      <c r="A395" t="str">
        <f t="shared" si="167"/>
        <v>Department of Communications</v>
      </c>
      <c r="B395" t="str">
        <f>""</f>
        <v/>
      </c>
      <c r="C395" t="str">
        <f>"CN3164932"</f>
        <v>CN3164932</v>
      </c>
      <c r="D395" t="str">
        <f t="shared" si="161"/>
        <v>David Kenny</v>
      </c>
      <c r="E395" s="44">
        <v>42172.486805555556</v>
      </c>
      <c r="F395" t="s">
        <v>2508</v>
      </c>
      <c r="G395" t="str">
        <f t="shared" si="168"/>
        <v>published</v>
      </c>
      <c r="H395" s="45">
        <v>42160</v>
      </c>
      <c r="I395" s="45">
        <v>42185</v>
      </c>
      <c r="J395" s="46">
        <v>129607.7</v>
      </c>
      <c r="K395" t="s">
        <v>2017</v>
      </c>
      <c r="L395" t="str">
        <f>"0004605013"</f>
        <v>0004605013</v>
      </c>
      <c r="M395" t="str">
        <f>"Software"</f>
        <v>Software</v>
      </c>
      <c r="N395" t="str">
        <f>"Open tender"</f>
        <v>Open tender</v>
      </c>
      <c r="O395" t="str">
        <f>"DCON/09/67"</f>
        <v>DCON/09/67</v>
      </c>
      <c r="P395" t="str">
        <f>"SON269193"</f>
        <v>SON269193</v>
      </c>
      <c r="Q395" t="str">
        <f t="shared" si="164"/>
        <v>No</v>
      </c>
      <c r="R395" t="str">
        <f>""</f>
        <v/>
      </c>
      <c r="S395" t="str">
        <f t="shared" si="165"/>
        <v>No</v>
      </c>
      <c r="T395" t="str">
        <f>""</f>
        <v/>
      </c>
      <c r="U395" t="str">
        <f t="shared" si="169"/>
        <v>No</v>
      </c>
      <c r="V395" t="str">
        <f>""</f>
        <v/>
      </c>
      <c r="X395" t="str">
        <f>"ASG Group Limited"</f>
        <v>ASG Group Limited</v>
      </c>
      <c r="Y395" t="str">
        <f>"Level 1, 267 Georges Terrace"</f>
        <v>Level 1, 267 Georges Terrace</v>
      </c>
      <c r="Z395" t="str">
        <f>"Perth"</f>
        <v>Perth</v>
      </c>
      <c r="AA395" t="str">
        <f>"6000"</f>
        <v>6000</v>
      </c>
      <c r="AB395" t="str">
        <f>"Australia"</f>
        <v>Australia</v>
      </c>
      <c r="AC395" t="str">
        <f>"No"</f>
        <v>No</v>
      </c>
      <c r="AD395" t="str">
        <f>"57070045117"</f>
        <v>57070045117</v>
      </c>
      <c r="AE395" t="str">
        <f>"ADMIN OFFICER"</f>
        <v>ADMIN OFFICER</v>
      </c>
      <c r="AF395" t="str">
        <f t="shared" si="157"/>
        <v>(02) 6271 1000</v>
      </c>
      <c r="AG395" t="str">
        <f>""</f>
        <v/>
      </c>
      <c r="AH395" t="str">
        <f>""</f>
        <v/>
      </c>
      <c r="AI395" t="str">
        <f>"CORPORATE TREASURY [OLD] Corporate Treasury"</f>
        <v>CORPORATE TREASURY [OLD] Corporate Treasury</v>
      </c>
      <c r="AJ395" t="str">
        <f t="shared" si="166"/>
        <v>2603</v>
      </c>
    </row>
    <row r="396" spans="1:36" x14ac:dyDescent="0.25">
      <c r="A396" t="str">
        <f t="shared" si="167"/>
        <v>Department of Communications</v>
      </c>
      <c r="B396" t="str">
        <f>""</f>
        <v/>
      </c>
      <c r="C396" t="str">
        <f>"CN3164922"</f>
        <v>CN3164922</v>
      </c>
      <c r="D396" t="str">
        <f t="shared" si="161"/>
        <v>David Kenny</v>
      </c>
      <c r="E396" s="44">
        <v>42172.486805555556</v>
      </c>
      <c r="F396" t="s">
        <v>2508</v>
      </c>
      <c r="G396" t="str">
        <f t="shared" si="168"/>
        <v>published</v>
      </c>
      <c r="H396" s="45">
        <v>42165</v>
      </c>
      <c r="I396" s="45">
        <v>42216</v>
      </c>
      <c r="J396" s="46">
        <v>120000</v>
      </c>
      <c r="K396" t="s">
        <v>2023</v>
      </c>
      <c r="L396" t="str">
        <f>"0004605019"</f>
        <v>0004605019</v>
      </c>
      <c r="M396" t="str">
        <f>"Data Voice or Multimedia Network Equipment or Platforms and Accessories"</f>
        <v>Data Voice or Multimedia Network Equipment or Platforms and Accessories</v>
      </c>
      <c r="N396" t="str">
        <f>"Limited tender"</f>
        <v>Limited tender</v>
      </c>
      <c r="O396" t="str">
        <f>""</f>
        <v/>
      </c>
      <c r="Q396" t="str">
        <f t="shared" si="164"/>
        <v>No</v>
      </c>
      <c r="R396" t="str">
        <f>""</f>
        <v/>
      </c>
      <c r="S396" t="str">
        <f t="shared" si="165"/>
        <v>No</v>
      </c>
      <c r="T396" t="str">
        <f>""</f>
        <v/>
      </c>
      <c r="U396" t="str">
        <f t="shared" si="169"/>
        <v>No</v>
      </c>
      <c r="V396" t="str">
        <f>""</f>
        <v/>
      </c>
      <c r="X396" t="str">
        <f>"Rutledge Engineering (Aust) Pty Ltd"</f>
        <v>Rutledge Engineering (Aust) Pty Ltd</v>
      </c>
      <c r="Y396" t="str">
        <f>"3/66 Maryborough Street"</f>
        <v>3/66 Maryborough Street</v>
      </c>
      <c r="Z396" t="str">
        <f>"Fyshwick"</f>
        <v>Fyshwick</v>
      </c>
      <c r="AA396" t="str">
        <f>"2609"</f>
        <v>2609</v>
      </c>
      <c r="AB396" t="str">
        <f>"Australia"</f>
        <v>Australia</v>
      </c>
      <c r="AC396" t="str">
        <f>"No"</f>
        <v>No</v>
      </c>
      <c r="AD396" t="str">
        <f>"61006068980"</f>
        <v>61006068980</v>
      </c>
      <c r="AE396" t="str">
        <f>"ADMIN OFFICER"</f>
        <v>ADMIN OFFICER</v>
      </c>
      <c r="AF396" t="str">
        <f t="shared" si="157"/>
        <v>(02) 6271 1000</v>
      </c>
      <c r="AG396" t="str">
        <f>""</f>
        <v/>
      </c>
      <c r="AH396" t="str">
        <f>""</f>
        <v/>
      </c>
      <c r="AI396" t="str">
        <f>"CORPORATE TREASURY [OLD] Corporate Treasury"</f>
        <v>CORPORATE TREASURY [OLD] Corporate Treasury</v>
      </c>
      <c r="AJ396" t="str">
        <f t="shared" si="166"/>
        <v>2603</v>
      </c>
    </row>
  </sheetData>
  <mergeCells count="2">
    <mergeCell ref="A1:AJ1"/>
    <mergeCell ref="A2:A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BC5F61E538AB44985E37C350B83860" ma:contentTypeVersion="0" ma:contentTypeDescription="Create a new document." ma:contentTypeScope="" ma:versionID="8ded04fbd118a1ce802057206311aa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445B85-9848-44EA-988C-5BD0836393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F36B7C-25A5-4D54-817E-937EF788FA5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EF3403E-1410-4049-BD65-60FBC6833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SAP Source</vt:lpstr>
      <vt:lpstr>Grants</vt:lpstr>
      <vt:lpstr>Procurements</vt:lpstr>
      <vt:lpstr>Consultancies</vt:lpstr>
      <vt:lpstr>Consults - AR</vt:lpstr>
      <vt:lpstr>AusTender Items</vt:lpstr>
      <vt:lpstr>AusTender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Kenny, David</dc:creator>
  <cp:lastModifiedBy>Kenny, David</cp:lastModifiedBy>
  <cp:lastPrinted>2015-07-06T06:28:40Z</cp:lastPrinted>
  <dcterms:created xsi:type="dcterms:W3CDTF">2015-07-03T04:27:27Z</dcterms:created>
  <dcterms:modified xsi:type="dcterms:W3CDTF">2015-08-24T01:00:07Z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0x010100BEBC5F61E538AB44985E37C350B83860</vt:lpwstr>
  </property>
  <property fmtid="{D5CDD505-2E9C-101B-9397-08002B2CF9AE}" pid="3" name="TrimRevisionNumber">
    <vt:i4>1</vt:i4>
  </property>
</Properties>
</file>