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720" windowWidth="21720" windowHeight="5928" tabRatio="764"/>
  </bookViews>
  <sheets>
    <sheet name="Load Details" sheetId="1" r:id="rId1"/>
    <sheet name="Regulator Details" sheetId="2" r:id="rId2"/>
    <sheet name="Gnd Currents" sheetId="3" r:id="rId3"/>
  </sheets>
  <definedNames>
    <definedName name="_xlnm._FilterDatabase" localSheetId="0" hidden="1">'Load Details'!$B$3:$I$3</definedName>
  </definedNames>
  <calcPr calcId="145621"/>
</workbook>
</file>

<file path=xl/calcChain.xml><?xml version="1.0" encoding="utf-8"?>
<calcChain xmlns="http://schemas.openxmlformats.org/spreadsheetml/2006/main">
  <c r="M3" i="2" l="1"/>
  <c r="G3" i="2"/>
  <c r="I3" i="2"/>
  <c r="B17" i="3"/>
  <c r="B6" i="3"/>
  <c r="D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4" i="1"/>
  <c r="F32" i="1"/>
  <c r="H32" i="1"/>
  <c r="F31" i="1"/>
  <c r="H31" i="1"/>
  <c r="G32" i="1"/>
  <c r="G21" i="1"/>
  <c r="G20" i="1"/>
  <c r="G17" i="1"/>
  <c r="G16" i="1"/>
  <c r="G15" i="1"/>
  <c r="G14" i="1"/>
  <c r="G13" i="1"/>
  <c r="G9" i="1"/>
  <c r="G8" i="1"/>
  <c r="G30" i="1"/>
  <c r="G29" i="1"/>
  <c r="G28" i="1"/>
  <c r="G12" i="1"/>
  <c r="H3" i="2"/>
  <c r="H4" i="2"/>
  <c r="G31" i="1"/>
  <c r="K3" i="2"/>
  <c r="M4" i="2" s="1"/>
  <c r="N3" i="2"/>
  <c r="G4" i="2" l="1"/>
  <c r="I4" i="2" s="1"/>
  <c r="K4" i="2"/>
  <c r="N4" i="2"/>
  <c r="L3" i="2"/>
  <c r="T3" i="2" l="1"/>
  <c r="U3" i="2" s="1"/>
  <c r="O3" i="2"/>
  <c r="P3" i="2" s="1"/>
  <c r="L4" i="2"/>
  <c r="T4" i="2" s="1"/>
  <c r="U4" i="2" s="1"/>
  <c r="O4" i="2" l="1"/>
  <c r="P4" i="2" s="1"/>
</calcChain>
</file>

<file path=xl/comments1.xml><?xml version="1.0" encoding="utf-8"?>
<comments xmlns="http://schemas.openxmlformats.org/spreadsheetml/2006/main">
  <authors>
    <author>Dan</author>
  </authors>
  <commentList>
    <comment ref="M4" authorId="0">
      <text>
        <r>
          <rPr>
            <b/>
            <sz val="9"/>
            <color indexed="81"/>
            <rFont val="Tahoma"/>
            <family val="2"/>
          </rPr>
          <t>Dan:</t>
        </r>
        <r>
          <rPr>
            <sz val="9"/>
            <color indexed="81"/>
            <rFont val="Tahoma"/>
            <family val="2"/>
          </rPr>
          <t xml:space="preserve">
curent of all 5v parts, plus all 3.3v parts because the 5v reg is powering the 3v reg</t>
        </r>
      </text>
    </comment>
  </commentList>
</comments>
</file>

<file path=xl/sharedStrings.xml><?xml version="1.0" encoding="utf-8"?>
<sst xmlns="http://schemas.openxmlformats.org/spreadsheetml/2006/main" count="174" uniqueCount="97">
  <si>
    <t>Ref Des</t>
  </si>
  <si>
    <t>Regulator</t>
  </si>
  <si>
    <t>Total Power</t>
  </si>
  <si>
    <t>Load Power</t>
  </si>
  <si>
    <t>Regulators</t>
  </si>
  <si>
    <t>Load Current</t>
  </si>
  <si>
    <t>Regulator P/N</t>
  </si>
  <si>
    <t>Gnd Current</t>
  </si>
  <si>
    <t>Regulator Power</t>
  </si>
  <si>
    <t>Part/Volt Desc</t>
  </si>
  <si>
    <t>Voltage (V)</t>
  </si>
  <si>
    <t>Juction Thermal Rise</t>
  </si>
  <si>
    <t>degC/W</t>
  </si>
  <si>
    <t>Junction Temp</t>
  </si>
  <si>
    <t>Resistor Power</t>
  </si>
  <si>
    <t>Res Drop (V)</t>
  </si>
  <si>
    <t>Reg Output Voltage</t>
  </si>
  <si>
    <t>CCA Input Voltage</t>
  </si>
  <si>
    <t>Reg I/P Voltage</t>
  </si>
  <si>
    <t>Quant of Res</t>
  </si>
  <si>
    <t>Res Value (Ohm)</t>
  </si>
  <si>
    <t>Total Current</t>
  </si>
  <si>
    <t>AVR1</t>
  </si>
  <si>
    <t>AVR2</t>
  </si>
  <si>
    <t>IC3</t>
  </si>
  <si>
    <t>U$8</t>
  </si>
  <si>
    <t>U$15</t>
  </si>
  <si>
    <t>U2</t>
  </si>
  <si>
    <t>U3</t>
  </si>
  <si>
    <t>L</t>
  </si>
  <si>
    <t>POWERLED</t>
  </si>
  <si>
    <t>R1</t>
  </si>
  <si>
    <t>R10</t>
  </si>
  <si>
    <t>R11</t>
  </si>
  <si>
    <t>R12</t>
  </si>
  <si>
    <t>R13</t>
  </si>
  <si>
    <t>RN2-a</t>
  </si>
  <si>
    <t>RN2-b</t>
  </si>
  <si>
    <t>RN2-c</t>
  </si>
  <si>
    <t>RN2-d</t>
  </si>
  <si>
    <t>RN3-a</t>
  </si>
  <si>
    <t>RN3-b</t>
  </si>
  <si>
    <t>RN3-c</t>
  </si>
  <si>
    <t>RN3-d</t>
  </si>
  <si>
    <t>RN4-a</t>
  </si>
  <si>
    <t>RN4-b</t>
  </si>
  <si>
    <t>RN4-c</t>
  </si>
  <si>
    <t>RN4-d</t>
  </si>
  <si>
    <t>RXL</t>
  </si>
  <si>
    <t>TXL</t>
  </si>
  <si>
    <t>5v</t>
  </si>
  <si>
    <t>ATMEGA328</t>
  </si>
  <si>
    <t>ATMEGA8U2</t>
  </si>
  <si>
    <t>LM358D</t>
  </si>
  <si>
    <t>Yellow</t>
  </si>
  <si>
    <t>Green</t>
  </si>
  <si>
    <t>ITG-3200</t>
  </si>
  <si>
    <t>ADXL345</t>
  </si>
  <si>
    <t>Part Number</t>
  </si>
  <si>
    <t>LEDCHIP-LED0805</t>
  </si>
  <si>
    <t>R-EU_R0603</t>
  </si>
  <si>
    <t>PCA9306</t>
  </si>
  <si>
    <t>Op-Amp</t>
  </si>
  <si>
    <t>200k Resistor</t>
  </si>
  <si>
    <t>1.5k Resistor</t>
  </si>
  <si>
    <t>Yellow LED</t>
  </si>
  <si>
    <t>Magnetometer</t>
  </si>
  <si>
    <t>Voltage Translator-5vSide</t>
  </si>
  <si>
    <t>Voltage Translator-3.3v side</t>
  </si>
  <si>
    <t>Gyro</t>
  </si>
  <si>
    <t>Accelerometer</t>
  </si>
  <si>
    <t>HMC5883L</t>
  </si>
  <si>
    <t>EXB-38V103JV</t>
  </si>
  <si>
    <t>EXB-38V102JV</t>
  </si>
  <si>
    <t>10K Resistor Array</t>
  </si>
  <si>
    <t>1K Resistor Array</t>
  </si>
  <si>
    <t>3v3</t>
  </si>
  <si>
    <t>Current (Amps)</t>
  </si>
  <si>
    <t>Power (watts)</t>
  </si>
  <si>
    <t>from avr io to led to gnd</t>
  </si>
  <si>
    <t>from 5v to power led</t>
  </si>
  <si>
    <t>Description</t>
  </si>
  <si>
    <t>V Ref current limiter</t>
  </si>
  <si>
    <t>i2c line pullups high side</t>
  </si>
  <si>
    <t>1k Resistor</t>
  </si>
  <si>
    <t>i2c line pullups low side</t>
  </si>
  <si>
    <t>To RX/TX leds</t>
  </si>
  <si>
    <t>on dtr to gnd</t>
  </si>
  <si>
    <t>on tx/rx between avrs (worst case scenario usb avr is high, and breakout connection is pulled low all the time)</t>
  </si>
  <si>
    <t>5v to reset2(only pulling when reset 2 is pulled low)</t>
  </si>
  <si>
    <t>5v to reset1(only when pushbutton is enabled)</t>
  </si>
  <si>
    <t>taken care of by resistor calculations</t>
  </si>
  <si>
    <t>unreg</t>
  </si>
  <si>
    <t>Vbatt=</t>
  </si>
  <si>
    <t>vin voltage divider</t>
  </si>
  <si>
    <t>LT1129CST-3.3</t>
  </si>
  <si>
    <t>LT1129CST-5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</si>
</sst>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.0_);_(* \(#,##0.0\);_(* &quot;-&quot;??_);_(@_)"/>
    <numFmt numFmtId="171" formatCode="0.000E+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171" fontId="1" fillId="0" borderId="0" xfId="0" applyNumberFormat="1" applyFont="1"/>
    <xf numFmtId="0" fontId="2" fillId="0" borderId="3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0" xfId="0" applyNumberFormat="1" applyFill="1" applyBorder="1"/>
    <xf numFmtId="0" fontId="2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48" fontId="0" fillId="0" borderId="0" xfId="0" applyNumberFormat="1" applyAlignment="1">
      <alignment horizontal="right"/>
    </xf>
    <xf numFmtId="48" fontId="2" fillId="0" borderId="0" xfId="0" applyNumberFormat="1" applyFont="1" applyAlignment="1">
      <alignment horizontal="center"/>
    </xf>
    <xf numFmtId="48" fontId="2" fillId="0" borderId="0" xfId="0" applyNumberFormat="1" applyFont="1" applyAlignment="1">
      <alignment horizontal="right"/>
    </xf>
    <xf numFmtId="48" fontId="0" fillId="0" borderId="0" xfId="0" applyNumberFormat="1"/>
    <xf numFmtId="48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48" fontId="2" fillId="3" borderId="3" xfId="0" applyNumberFormat="1" applyFont="1" applyFill="1" applyBorder="1" applyAlignment="1">
      <alignment horizontal="center" wrapText="1"/>
    </xf>
    <xf numFmtId="48" fontId="2" fillId="5" borderId="3" xfId="0" applyNumberFormat="1" applyFont="1" applyFill="1" applyBorder="1" applyAlignment="1">
      <alignment horizontal="center" wrapText="1"/>
    </xf>
    <xf numFmtId="48" fontId="2" fillId="6" borderId="3" xfId="0" applyNumberFormat="1" applyFont="1" applyFill="1" applyBorder="1" applyAlignment="1">
      <alignment horizontal="center" wrapText="1"/>
    </xf>
    <xf numFmtId="48" fontId="0" fillId="0" borderId="0" xfId="0" applyNumberFormat="1" applyBorder="1"/>
    <xf numFmtId="48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right"/>
    </xf>
    <xf numFmtId="48" fontId="0" fillId="0" borderId="0" xfId="0" applyNumberFormat="1" applyAlignment="1">
      <alignment horizontal="center"/>
    </xf>
    <xf numFmtId="48" fontId="0" fillId="0" borderId="0" xfId="0" applyNumberFormat="1" applyFont="1"/>
    <xf numFmtId="0" fontId="0" fillId="0" borderId="4" xfId="0" applyFill="1" applyBorder="1"/>
    <xf numFmtId="43" fontId="6" fillId="0" borderId="4" xfId="1" applyFont="1" applyFill="1" applyBorder="1"/>
    <xf numFmtId="43" fontId="0" fillId="0" borderId="4" xfId="0" applyNumberFormat="1" applyFill="1" applyBorder="1"/>
    <xf numFmtId="48" fontId="0" fillId="0" borderId="5" xfId="0" applyNumberFormat="1" applyFill="1" applyBorder="1"/>
    <xf numFmtId="48" fontId="0" fillId="0" borderId="4" xfId="0" applyNumberFormat="1" applyFill="1" applyBorder="1"/>
    <xf numFmtId="165" fontId="6" fillId="0" borderId="4" xfId="1" applyNumberFormat="1" applyFont="1" applyFill="1" applyBorder="1"/>
    <xf numFmtId="165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 wrapText="1"/>
    </xf>
    <xf numFmtId="0" fontId="0" fillId="0" borderId="7" xfId="0" applyNumberFormat="1" applyBorder="1"/>
    <xf numFmtId="43" fontId="6" fillId="0" borderId="6" xfId="1" applyFont="1" applyFill="1" applyBorder="1"/>
    <xf numFmtId="43" fontId="0" fillId="0" borderId="6" xfId="0" applyNumberFormat="1" applyFill="1" applyBorder="1"/>
    <xf numFmtId="48" fontId="0" fillId="0" borderId="8" xfId="0" applyNumberFormat="1" applyFill="1" applyBorder="1"/>
    <xf numFmtId="48" fontId="0" fillId="0" borderId="6" xfId="0" applyNumberFormat="1" applyFill="1" applyBorder="1"/>
    <xf numFmtId="165" fontId="6" fillId="0" borderId="6" xfId="1" applyNumberFormat="1" applyFont="1" applyFill="1" applyBorder="1"/>
    <xf numFmtId="165" fontId="0" fillId="0" borderId="6" xfId="0" applyNumberFormat="1" applyFill="1" applyBorder="1"/>
  </cellXfs>
  <cellStyles count="2"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85" zoomScaleNormal="85" workbookViewId="0">
      <selection activeCell="D2" sqref="D2"/>
    </sheetView>
  </sheetViews>
  <sheetFormatPr defaultColWidth="9.109375" defaultRowHeight="14.4" x14ac:dyDescent="0.3"/>
  <cols>
    <col min="1" max="1" width="12.5546875" style="11" bestFit="1" customWidth="1"/>
    <col min="2" max="2" width="10.6640625" style="11" bestFit="1" customWidth="1"/>
    <col min="3" max="3" width="33.6640625" style="11" bestFit="1" customWidth="1"/>
    <col min="4" max="4" width="33.6640625" style="11" customWidth="1"/>
    <col min="5" max="5" width="20.44140625" style="14" bestFit="1" customWidth="1"/>
    <col min="6" max="6" width="13.109375" style="11" bestFit="1" customWidth="1"/>
    <col min="7" max="7" width="19.33203125" style="24" bestFit="1" customWidth="1"/>
    <col min="8" max="8" width="15.88671875" style="27" bestFit="1" customWidth="1"/>
    <col min="9" max="9" width="45" style="11" customWidth="1"/>
    <col min="10" max="10" width="16.6640625" style="11" bestFit="1" customWidth="1"/>
    <col min="11" max="11" width="9.6640625" style="11" bestFit="1" customWidth="1"/>
    <col min="12" max="16384" width="9.109375" style="11"/>
  </cols>
  <sheetData>
    <row r="1" spans="1:11" x14ac:dyDescent="0.3">
      <c r="C1" s="29" t="s">
        <v>93</v>
      </c>
      <c r="D1" s="30">
        <v>9</v>
      </c>
    </row>
    <row r="3" spans="1:11" x14ac:dyDescent="0.3">
      <c r="B3" s="12" t="s">
        <v>0</v>
      </c>
      <c r="C3" s="12" t="s">
        <v>9</v>
      </c>
      <c r="D3" s="12" t="s">
        <v>58</v>
      </c>
      <c r="E3" s="22" t="s">
        <v>1</v>
      </c>
      <c r="F3" s="12" t="s">
        <v>10</v>
      </c>
      <c r="G3" s="25" t="s">
        <v>77</v>
      </c>
      <c r="H3" s="28" t="s">
        <v>78</v>
      </c>
      <c r="I3" s="12" t="s">
        <v>81</v>
      </c>
      <c r="J3" s="12"/>
    </row>
    <row r="4" spans="1:11" x14ac:dyDescent="0.3">
      <c r="A4" s="12"/>
      <c r="B4" t="s">
        <v>28</v>
      </c>
      <c r="C4" t="s">
        <v>70</v>
      </c>
      <c r="D4" t="s">
        <v>57</v>
      </c>
      <c r="E4" t="s">
        <v>76</v>
      </c>
      <c r="F4">
        <v>3.3</v>
      </c>
      <c r="G4" s="27">
        <v>1.3999999999999999E-4</v>
      </c>
      <c r="H4" s="27">
        <f>F4*G4</f>
        <v>4.6199999999999995E-4</v>
      </c>
      <c r="J4" s="13"/>
      <c r="K4" s="13"/>
    </row>
    <row r="5" spans="1:11" x14ac:dyDescent="0.3">
      <c r="A5" s="12"/>
      <c r="B5" t="s">
        <v>26</v>
      </c>
      <c r="C5" t="s">
        <v>66</v>
      </c>
      <c r="D5" t="s">
        <v>71</v>
      </c>
      <c r="E5" t="s">
        <v>76</v>
      </c>
      <c r="F5">
        <v>3.3</v>
      </c>
      <c r="G5" s="27">
        <v>1E-4</v>
      </c>
      <c r="H5" s="27">
        <f t="shared" ref="H5:H32" si="0">F5*G5</f>
        <v>3.3E-4</v>
      </c>
      <c r="J5" s="13"/>
      <c r="K5" s="16"/>
    </row>
    <row r="6" spans="1:11" x14ac:dyDescent="0.3">
      <c r="B6" t="s">
        <v>27</v>
      </c>
      <c r="C6" t="s">
        <v>69</v>
      </c>
      <c r="D6" t="s">
        <v>56</v>
      </c>
      <c r="E6" t="s">
        <v>76</v>
      </c>
      <c r="F6">
        <v>3.3</v>
      </c>
      <c r="G6" s="27">
        <v>1E-4</v>
      </c>
      <c r="H6" s="27">
        <f t="shared" si="0"/>
        <v>3.3E-4</v>
      </c>
    </row>
    <row r="7" spans="1:11" x14ac:dyDescent="0.3">
      <c r="B7" t="s">
        <v>25</v>
      </c>
      <c r="C7" t="s">
        <v>68</v>
      </c>
      <c r="D7" t="s">
        <v>61</v>
      </c>
      <c r="E7" t="s">
        <v>76</v>
      </c>
      <c r="F7">
        <v>3.3</v>
      </c>
      <c r="G7" s="27">
        <v>5.0000000000000004E-6</v>
      </c>
      <c r="H7" s="27">
        <f t="shared" si="0"/>
        <v>1.6500000000000001E-5</v>
      </c>
    </row>
    <row r="8" spans="1:11" x14ac:dyDescent="0.3">
      <c r="B8" t="s">
        <v>34</v>
      </c>
      <c r="C8" t="s">
        <v>84</v>
      </c>
      <c r="D8" t="s">
        <v>60</v>
      </c>
      <c r="E8" t="s">
        <v>76</v>
      </c>
      <c r="F8">
        <v>3.3</v>
      </c>
      <c r="G8" s="27">
        <f>3.3/1000</f>
        <v>3.3E-3</v>
      </c>
      <c r="H8" s="27">
        <f t="shared" si="0"/>
        <v>1.0889999999999999E-2</v>
      </c>
      <c r="I8" s="11" t="s">
        <v>85</v>
      </c>
    </row>
    <row r="9" spans="1:11" x14ac:dyDescent="0.3">
      <c r="B9" t="s">
        <v>35</v>
      </c>
      <c r="C9" t="s">
        <v>84</v>
      </c>
      <c r="D9" t="s">
        <v>60</v>
      </c>
      <c r="E9" t="s">
        <v>76</v>
      </c>
      <c r="F9">
        <v>3.3</v>
      </c>
      <c r="G9" s="27">
        <f>3.3/1000</f>
        <v>3.3E-3</v>
      </c>
      <c r="H9" s="27">
        <f t="shared" si="0"/>
        <v>1.0889999999999999E-2</v>
      </c>
      <c r="I9" s="11" t="s">
        <v>85</v>
      </c>
    </row>
    <row r="10" spans="1:11" x14ac:dyDescent="0.3">
      <c r="B10" t="s">
        <v>22</v>
      </c>
      <c r="C10" t="s">
        <v>51</v>
      </c>
      <c r="D10" t="s">
        <v>51</v>
      </c>
      <c r="E10" t="s">
        <v>50</v>
      </c>
      <c r="F10">
        <v>5</v>
      </c>
      <c r="G10" s="27">
        <v>0.04</v>
      </c>
      <c r="H10" s="27">
        <f t="shared" si="0"/>
        <v>0.2</v>
      </c>
    </row>
    <row r="11" spans="1:11" x14ac:dyDescent="0.3">
      <c r="B11" t="s">
        <v>23</v>
      </c>
      <c r="C11" t="s">
        <v>52</v>
      </c>
      <c r="D11" t="s">
        <v>52</v>
      </c>
      <c r="E11" t="s">
        <v>50</v>
      </c>
      <c r="F11">
        <v>5</v>
      </c>
      <c r="G11" s="27">
        <v>2.1000000000000001E-2</v>
      </c>
      <c r="H11" s="27">
        <f t="shared" si="0"/>
        <v>0.10500000000000001</v>
      </c>
    </row>
    <row r="12" spans="1:11" x14ac:dyDescent="0.3">
      <c r="B12" t="s">
        <v>36</v>
      </c>
      <c r="C12" t="s">
        <v>75</v>
      </c>
      <c r="D12" t="s">
        <v>73</v>
      </c>
      <c r="E12" t="s">
        <v>50</v>
      </c>
      <c r="F12">
        <v>5</v>
      </c>
      <c r="G12" s="27">
        <f>3/1000</f>
        <v>3.0000000000000001E-3</v>
      </c>
      <c r="H12" s="27">
        <f t="shared" si="0"/>
        <v>1.4999999999999999E-2</v>
      </c>
      <c r="I12" s="21" t="s">
        <v>79</v>
      </c>
    </row>
    <row r="13" spans="1:11" x14ac:dyDescent="0.3">
      <c r="B13" t="s">
        <v>37</v>
      </c>
      <c r="C13" t="s">
        <v>75</v>
      </c>
      <c r="D13" t="s">
        <v>73</v>
      </c>
      <c r="E13" t="s">
        <v>50</v>
      </c>
      <c r="F13">
        <v>5</v>
      </c>
      <c r="G13" s="27">
        <f>5/1000</f>
        <v>5.0000000000000001E-3</v>
      </c>
      <c r="H13" s="27">
        <f t="shared" si="0"/>
        <v>2.5000000000000001E-2</v>
      </c>
      <c r="I13" s="11" t="s">
        <v>86</v>
      </c>
    </row>
    <row r="14" spans="1:11" x14ac:dyDescent="0.3">
      <c r="B14" t="s">
        <v>38</v>
      </c>
      <c r="C14" t="s">
        <v>75</v>
      </c>
      <c r="D14" t="s">
        <v>73</v>
      </c>
      <c r="E14" t="s">
        <v>50</v>
      </c>
      <c r="F14">
        <v>5</v>
      </c>
      <c r="G14" s="27">
        <f>5/1000</f>
        <v>5.0000000000000001E-3</v>
      </c>
      <c r="H14" s="27">
        <f t="shared" si="0"/>
        <v>2.5000000000000001E-2</v>
      </c>
      <c r="I14" s="11" t="s">
        <v>86</v>
      </c>
    </row>
    <row r="15" spans="1:11" x14ac:dyDescent="0.3">
      <c r="B15" t="s">
        <v>39</v>
      </c>
      <c r="C15" t="s">
        <v>75</v>
      </c>
      <c r="D15" t="s">
        <v>73</v>
      </c>
      <c r="E15" t="s">
        <v>50</v>
      </c>
      <c r="F15">
        <v>5</v>
      </c>
      <c r="G15" s="27">
        <f>5/1000</f>
        <v>5.0000000000000001E-3</v>
      </c>
      <c r="H15" s="27">
        <f t="shared" si="0"/>
        <v>2.5000000000000001E-2</v>
      </c>
      <c r="I15" s="11" t="s">
        <v>87</v>
      </c>
    </row>
    <row r="16" spans="1:11" x14ac:dyDescent="0.3">
      <c r="B16" t="s">
        <v>40</v>
      </c>
      <c r="C16" t="s">
        <v>75</v>
      </c>
      <c r="D16" t="s">
        <v>73</v>
      </c>
      <c r="E16" t="s">
        <v>50</v>
      </c>
      <c r="F16">
        <v>5</v>
      </c>
      <c r="G16" s="27">
        <f>5/1000</f>
        <v>5.0000000000000001E-3</v>
      </c>
      <c r="H16" s="27">
        <f t="shared" si="0"/>
        <v>2.5000000000000001E-2</v>
      </c>
      <c r="I16" s="21" t="s">
        <v>88</v>
      </c>
    </row>
    <row r="17" spans="1:9" x14ac:dyDescent="0.3">
      <c r="B17" t="s">
        <v>41</v>
      </c>
      <c r="C17" t="s">
        <v>75</v>
      </c>
      <c r="D17" t="s">
        <v>73</v>
      </c>
      <c r="E17" t="s">
        <v>50</v>
      </c>
      <c r="F17">
        <v>5</v>
      </c>
      <c r="G17" s="27">
        <f>5/1000</f>
        <v>5.0000000000000001E-3</v>
      </c>
      <c r="H17" s="27">
        <f t="shared" si="0"/>
        <v>2.5000000000000001E-2</v>
      </c>
      <c r="I17" s="21" t="s">
        <v>88</v>
      </c>
    </row>
    <row r="18" spans="1:9" x14ac:dyDescent="0.3">
      <c r="B18" t="s">
        <v>42</v>
      </c>
      <c r="C18" t="s">
        <v>75</v>
      </c>
      <c r="D18" t="s">
        <v>73</v>
      </c>
      <c r="E18" t="s">
        <v>50</v>
      </c>
      <c r="F18">
        <v>5</v>
      </c>
      <c r="G18" s="27">
        <v>3.0000000000000001E-3</v>
      </c>
      <c r="H18" s="27">
        <f t="shared" si="0"/>
        <v>1.4999999999999999E-2</v>
      </c>
      <c r="I18" s="21" t="s">
        <v>80</v>
      </c>
    </row>
    <row r="19" spans="1:9" x14ac:dyDescent="0.3">
      <c r="B19" t="s">
        <v>43</v>
      </c>
      <c r="C19" t="s">
        <v>75</v>
      </c>
      <c r="D19" t="s">
        <v>73</v>
      </c>
      <c r="E19" t="s">
        <v>50</v>
      </c>
      <c r="F19">
        <v>5</v>
      </c>
      <c r="G19" s="27">
        <v>3.0000000000000001E-3</v>
      </c>
      <c r="H19" s="27">
        <f t="shared" si="0"/>
        <v>1.4999999999999999E-2</v>
      </c>
      <c r="I19" s="21" t="s">
        <v>80</v>
      </c>
    </row>
    <row r="20" spans="1:9" x14ac:dyDescent="0.3">
      <c r="B20" t="s">
        <v>44</v>
      </c>
      <c r="C20" t="s">
        <v>74</v>
      </c>
      <c r="D20" t="s">
        <v>72</v>
      </c>
      <c r="E20" t="s">
        <v>50</v>
      </c>
      <c r="F20">
        <v>5</v>
      </c>
      <c r="G20" s="27">
        <f>5/10000</f>
        <v>5.0000000000000001E-4</v>
      </c>
      <c r="H20" s="27">
        <f t="shared" si="0"/>
        <v>2.5000000000000001E-3</v>
      </c>
      <c r="I20" s="21" t="s">
        <v>89</v>
      </c>
    </row>
    <row r="21" spans="1:9" x14ac:dyDescent="0.3">
      <c r="B21" t="s">
        <v>45</v>
      </c>
      <c r="C21" t="s">
        <v>74</v>
      </c>
      <c r="D21" t="s">
        <v>72</v>
      </c>
      <c r="E21" t="s">
        <v>50</v>
      </c>
      <c r="F21">
        <v>5</v>
      </c>
      <c r="G21" s="27">
        <f>5/10000</f>
        <v>5.0000000000000001E-4</v>
      </c>
      <c r="H21" s="27">
        <f t="shared" si="0"/>
        <v>2.5000000000000001E-3</v>
      </c>
      <c r="I21" s="11" t="s">
        <v>90</v>
      </c>
    </row>
    <row r="22" spans="1:9" x14ac:dyDescent="0.3">
      <c r="B22" t="s">
        <v>29</v>
      </c>
      <c r="C22" t="s">
        <v>54</v>
      </c>
      <c r="D22" t="s">
        <v>59</v>
      </c>
      <c r="E22" t="s">
        <v>50</v>
      </c>
      <c r="F22">
        <v>5</v>
      </c>
      <c r="G22" s="27">
        <v>0</v>
      </c>
      <c r="H22" s="27">
        <f t="shared" si="0"/>
        <v>0</v>
      </c>
      <c r="I22" s="11" t="s">
        <v>91</v>
      </c>
    </row>
    <row r="23" spans="1:9" x14ac:dyDescent="0.3">
      <c r="B23" t="s">
        <v>30</v>
      </c>
      <c r="C23" t="s">
        <v>55</v>
      </c>
      <c r="D23" t="s">
        <v>59</v>
      </c>
      <c r="E23" t="s">
        <v>50</v>
      </c>
      <c r="F23">
        <v>5</v>
      </c>
      <c r="G23" s="27">
        <v>0</v>
      </c>
      <c r="H23" s="27">
        <f t="shared" si="0"/>
        <v>0</v>
      </c>
      <c r="I23" s="11" t="s">
        <v>91</v>
      </c>
    </row>
    <row r="24" spans="1:9" x14ac:dyDescent="0.3">
      <c r="A24" s="12"/>
      <c r="B24" t="s">
        <v>48</v>
      </c>
      <c r="C24" t="s">
        <v>65</v>
      </c>
      <c r="D24" t="s">
        <v>59</v>
      </c>
      <c r="E24" t="s">
        <v>50</v>
      </c>
      <c r="F24">
        <v>5</v>
      </c>
      <c r="G24" s="27">
        <v>0</v>
      </c>
      <c r="H24" s="27">
        <f t="shared" si="0"/>
        <v>0</v>
      </c>
      <c r="I24" s="11" t="s">
        <v>91</v>
      </c>
    </row>
    <row r="25" spans="1:9" x14ac:dyDescent="0.3">
      <c r="B25" t="s">
        <v>49</v>
      </c>
      <c r="C25" t="s">
        <v>65</v>
      </c>
      <c r="D25" t="s">
        <v>59</v>
      </c>
      <c r="E25" t="s">
        <v>50</v>
      </c>
      <c r="F25">
        <v>5</v>
      </c>
      <c r="G25" s="27">
        <v>0</v>
      </c>
      <c r="H25" s="27">
        <f t="shared" si="0"/>
        <v>0</v>
      </c>
      <c r="I25" s="11" t="s">
        <v>91</v>
      </c>
    </row>
    <row r="26" spans="1:9" x14ac:dyDescent="0.3">
      <c r="B26" t="s">
        <v>24</v>
      </c>
      <c r="C26" t="s">
        <v>62</v>
      </c>
      <c r="D26" t="s">
        <v>53</v>
      </c>
      <c r="E26" t="s">
        <v>50</v>
      </c>
      <c r="F26">
        <v>5</v>
      </c>
      <c r="G26" s="27">
        <v>1.1999999999999999E-3</v>
      </c>
      <c r="H26" s="27">
        <f t="shared" si="0"/>
        <v>5.9999999999999993E-3</v>
      </c>
    </row>
    <row r="27" spans="1:9" x14ac:dyDescent="0.3">
      <c r="B27" t="s">
        <v>25</v>
      </c>
      <c r="C27" t="s">
        <v>67</v>
      </c>
      <c r="D27" t="s">
        <v>61</v>
      </c>
      <c r="E27" t="s">
        <v>50</v>
      </c>
      <c r="F27">
        <v>5</v>
      </c>
      <c r="G27" s="27">
        <v>5.0000000000000004E-6</v>
      </c>
      <c r="H27" s="27">
        <f t="shared" si="0"/>
        <v>2.5000000000000001E-5</v>
      </c>
    </row>
    <row r="28" spans="1:9" x14ac:dyDescent="0.3">
      <c r="B28" t="s">
        <v>31</v>
      </c>
      <c r="C28" t="s">
        <v>63</v>
      </c>
      <c r="D28" t="s">
        <v>60</v>
      </c>
      <c r="E28" t="s">
        <v>50</v>
      </c>
      <c r="F28">
        <v>5</v>
      </c>
      <c r="G28" s="27">
        <f>0.25/1000000</f>
        <v>2.4999999999999999E-7</v>
      </c>
      <c r="H28" s="27">
        <f t="shared" si="0"/>
        <v>1.2499999999999999E-6</v>
      </c>
      <c r="I28" s="11" t="s">
        <v>82</v>
      </c>
    </row>
    <row r="29" spans="1:9" x14ac:dyDescent="0.3">
      <c r="B29" t="s">
        <v>32</v>
      </c>
      <c r="C29" t="s">
        <v>64</v>
      </c>
      <c r="D29" t="s">
        <v>60</v>
      </c>
      <c r="E29" t="s">
        <v>50</v>
      </c>
      <c r="F29">
        <v>5</v>
      </c>
      <c r="G29" s="27">
        <f>5/1500</f>
        <v>3.3333333333333335E-3</v>
      </c>
      <c r="H29" s="27">
        <f t="shared" si="0"/>
        <v>1.6666666666666666E-2</v>
      </c>
      <c r="I29" s="11" t="s">
        <v>83</v>
      </c>
    </row>
    <row r="30" spans="1:9" x14ac:dyDescent="0.3">
      <c r="B30" t="s">
        <v>33</v>
      </c>
      <c r="C30" t="s">
        <v>64</v>
      </c>
      <c r="D30" t="s">
        <v>60</v>
      </c>
      <c r="E30" t="s">
        <v>50</v>
      </c>
      <c r="F30">
        <v>5</v>
      </c>
      <c r="G30" s="27">
        <f>5/1500</f>
        <v>3.3333333333333335E-3</v>
      </c>
      <c r="H30" s="27">
        <f t="shared" si="0"/>
        <v>1.6666666666666666E-2</v>
      </c>
      <c r="I30" s="11" t="s">
        <v>83</v>
      </c>
    </row>
    <row r="31" spans="1:9" x14ac:dyDescent="0.3">
      <c r="B31" t="s">
        <v>46</v>
      </c>
      <c r="C31" t="s">
        <v>74</v>
      </c>
      <c r="D31" t="s">
        <v>72</v>
      </c>
      <c r="E31" t="s">
        <v>92</v>
      </c>
      <c r="F31">
        <f>$D$1/2</f>
        <v>4.5</v>
      </c>
      <c r="G31" s="27">
        <f>$F$29/10000</f>
        <v>5.0000000000000001E-4</v>
      </c>
      <c r="H31" s="27">
        <f t="shared" si="0"/>
        <v>2.2500000000000003E-3</v>
      </c>
      <c r="I31" s="21" t="s">
        <v>94</v>
      </c>
    </row>
    <row r="32" spans="1:9" x14ac:dyDescent="0.3">
      <c r="B32" t="s">
        <v>47</v>
      </c>
      <c r="C32" t="s">
        <v>74</v>
      </c>
      <c r="D32" t="s">
        <v>72</v>
      </c>
      <c r="E32" t="s">
        <v>92</v>
      </c>
      <c r="F32">
        <f>$D$1/2</f>
        <v>4.5</v>
      </c>
      <c r="G32" s="27">
        <f>$F$29/10000</f>
        <v>5.0000000000000001E-4</v>
      </c>
      <c r="H32" s="27">
        <f t="shared" si="0"/>
        <v>2.2500000000000003E-3</v>
      </c>
      <c r="I32" s="21" t="s">
        <v>94</v>
      </c>
    </row>
    <row r="33" spans="4:6" x14ac:dyDescent="0.3">
      <c r="E33" s="23"/>
    </row>
    <row r="34" spans="4:6" x14ac:dyDescent="0.3">
      <c r="E34" s="23"/>
    </row>
    <row r="35" spans="4:6" x14ac:dyDescent="0.3">
      <c r="D35" s="36"/>
      <c r="E35" s="23"/>
      <c r="F35" s="14"/>
    </row>
    <row r="36" spans="4:6" x14ac:dyDescent="0.3">
      <c r="D36" s="36"/>
      <c r="E36" s="35"/>
      <c r="F36" s="35"/>
    </row>
    <row r="37" spans="4:6" x14ac:dyDescent="0.3">
      <c r="D37" s="36"/>
      <c r="E37" s="35"/>
      <c r="F37" s="37"/>
    </row>
    <row r="56" spans="5:5" x14ac:dyDescent="0.3">
      <c r="E56" s="23"/>
    </row>
    <row r="66" spans="3:8" x14ac:dyDescent="0.3">
      <c r="C66" s="12"/>
      <c r="D66" s="12"/>
      <c r="E66" s="22"/>
      <c r="F66" s="12"/>
      <c r="G66" s="26"/>
      <c r="H66" s="28"/>
    </row>
    <row r="77" spans="3:8" x14ac:dyDescent="0.3">
      <c r="C77" s="15"/>
      <c r="D77" s="15"/>
    </row>
    <row r="78" spans="3:8" x14ac:dyDescent="0.3">
      <c r="C78" s="15"/>
      <c r="D78" s="15"/>
    </row>
    <row r="84" spans="3:4" x14ac:dyDescent="0.3">
      <c r="C84" s="15"/>
      <c r="D84" s="15"/>
    </row>
    <row r="85" spans="3:4" x14ac:dyDescent="0.3">
      <c r="C85" s="15"/>
      <c r="D85" s="15"/>
    </row>
    <row r="87" spans="3:4" x14ac:dyDescent="0.3">
      <c r="C87" s="15"/>
      <c r="D87" s="15"/>
    </row>
    <row r="91" spans="3:4" x14ac:dyDescent="0.3">
      <c r="C91" s="15"/>
      <c r="D91" s="15"/>
    </row>
  </sheetData>
  <autoFilter ref="B3:I3">
    <sortState ref="B4:I32">
      <sortCondition ref="E3"/>
    </sortState>
  </autoFilter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4"/>
  <sheetViews>
    <sheetView zoomScale="70" zoomScaleNormal="70" workbookViewId="0">
      <selection activeCell="M3" sqref="M3"/>
    </sheetView>
  </sheetViews>
  <sheetFormatPr defaultRowHeight="14.4" x14ac:dyDescent="0.3"/>
  <cols>
    <col min="1" max="1" width="2.44140625" style="4" bestFit="1" customWidth="1"/>
    <col min="2" max="2" width="13.109375" style="4" customWidth="1"/>
    <col min="3" max="3" width="16.88671875" style="4" bestFit="1" customWidth="1"/>
    <col min="4" max="4" width="12.44140625" style="4" bestFit="1" customWidth="1"/>
    <col min="5" max="5" width="12.109375" style="4" bestFit="1" customWidth="1"/>
    <col min="6" max="6" width="10.6640625" style="4" bestFit="1" customWidth="1"/>
    <col min="7" max="7" width="11.5546875" bestFit="1" customWidth="1"/>
    <col min="8" max="8" width="10.6640625" bestFit="1" customWidth="1"/>
    <col min="9" max="9" width="9.6640625" customWidth="1"/>
    <col min="10" max="10" width="13.44140625" bestFit="1" customWidth="1"/>
    <col min="11" max="11" width="14.44140625" style="27" bestFit="1" customWidth="1"/>
    <col min="12" max="12" width="12" style="27" bestFit="1" customWidth="1"/>
    <col min="13" max="13" width="15.44140625" style="27" bestFit="1" customWidth="1"/>
    <col min="14" max="14" width="14.33203125" style="27" bestFit="1" customWidth="1"/>
    <col min="15" max="15" width="14.5546875" style="27" customWidth="1"/>
    <col min="16" max="16" width="9.5546875" style="27" bestFit="1" customWidth="1"/>
    <col min="17" max="18" width="4.6640625" customWidth="1"/>
    <col min="19" max="19" width="8.109375" bestFit="1" customWidth="1"/>
    <col min="20" max="20" width="8.33203125" bestFit="1" customWidth="1"/>
    <col min="21" max="21" width="8.6640625" bestFit="1" customWidth="1"/>
    <col min="23" max="23" width="28.33203125" bestFit="1" customWidth="1"/>
    <col min="24" max="24" width="6.44140625" bestFit="1" customWidth="1"/>
  </cols>
  <sheetData>
    <row r="1" spans="1:23" x14ac:dyDescent="0.3">
      <c r="U1">
        <v>30</v>
      </c>
    </row>
    <row r="2" spans="1:23" s="3" customFormat="1" ht="43.8" thickBot="1" x14ac:dyDescent="0.35">
      <c r="A2" s="9"/>
      <c r="B2" s="17" t="s">
        <v>4</v>
      </c>
      <c r="C2" s="17" t="s">
        <v>6</v>
      </c>
      <c r="D2" s="17" t="s">
        <v>17</v>
      </c>
      <c r="E2" s="18" t="s">
        <v>20</v>
      </c>
      <c r="F2" s="18" t="s">
        <v>19</v>
      </c>
      <c r="G2" s="18" t="s">
        <v>15</v>
      </c>
      <c r="H2" s="18" t="s">
        <v>14</v>
      </c>
      <c r="I2" s="19" t="s">
        <v>18</v>
      </c>
      <c r="J2" s="19" t="s">
        <v>16</v>
      </c>
      <c r="K2" s="31" t="s">
        <v>7</v>
      </c>
      <c r="L2" s="31" t="s">
        <v>8</v>
      </c>
      <c r="M2" s="32" t="s">
        <v>5</v>
      </c>
      <c r="N2" s="32" t="s">
        <v>3</v>
      </c>
      <c r="O2" s="33" t="s">
        <v>2</v>
      </c>
      <c r="P2" s="33" t="s">
        <v>21</v>
      </c>
      <c r="Q2" s="10"/>
      <c r="R2" s="7"/>
      <c r="S2" s="20" t="s">
        <v>12</v>
      </c>
      <c r="T2" s="20" t="s">
        <v>11</v>
      </c>
      <c r="U2" s="20" t="s">
        <v>13</v>
      </c>
    </row>
    <row r="3" spans="1:23" x14ac:dyDescent="0.3">
      <c r="A3" s="7">
        <v>1</v>
      </c>
      <c r="B3" s="47" t="s">
        <v>76</v>
      </c>
      <c r="C3" s="48" t="s">
        <v>95</v>
      </c>
      <c r="D3" s="49">
        <v>5</v>
      </c>
      <c r="E3" s="50">
        <v>0</v>
      </c>
      <c r="F3" s="50">
        <v>0</v>
      </c>
      <c r="G3" s="50">
        <f>(E3/2^(F3-1)*M3)</f>
        <v>0</v>
      </c>
      <c r="H3" s="50">
        <f>IF(E3=0,0,G3^2/(E3))</f>
        <v>0</v>
      </c>
      <c r="I3" s="51">
        <f>D3-G3</f>
        <v>5</v>
      </c>
      <c r="J3" s="47">
        <v>3.3</v>
      </c>
      <c r="K3" s="52">
        <f ca="1">VLOOKUP(M3,OFFSET('Gnd Currents'!$A$1,MATCH('Regulator Details'!C3,'Gnd Currents'!$A$1:$A$50,0)+1,0,8,2),2)</f>
        <v>6.9999999999999994E-5</v>
      </c>
      <c r="L3" s="53">
        <f ca="1">ABS(K3*(I3))+ABS(M3*((I3)-J3))</f>
        <v>1.2156500000000001E-2</v>
      </c>
      <c r="M3" s="53">
        <f>SUMIF('Load Details'!$E$4:$E$56,'Regulator Details'!B3,'Load Details'!$G$4:$G$56)</f>
        <v>6.9449999999999998E-3</v>
      </c>
      <c r="N3" s="53">
        <f>ABS(J3*M3)</f>
        <v>2.2918499999999998E-2</v>
      </c>
      <c r="O3" s="53">
        <f ca="1">F3*H3+N3+L3</f>
        <v>3.5074999999999995E-2</v>
      </c>
      <c r="P3" s="53">
        <f ca="1">ABS(O3/D3)</f>
        <v>7.0149999999999987E-3</v>
      </c>
      <c r="Q3" s="5"/>
      <c r="R3" s="8"/>
      <c r="S3" s="47">
        <v>59</v>
      </c>
      <c r="T3" s="54">
        <f ca="1">S3*L3</f>
        <v>0.71723350000000008</v>
      </c>
      <c r="U3" s="55">
        <f ca="1">T3+$U$1</f>
        <v>30.717233499999999</v>
      </c>
      <c r="W3" s="3"/>
    </row>
    <row r="4" spans="1:23" x14ac:dyDescent="0.3">
      <c r="A4" s="7">
        <v>2</v>
      </c>
      <c r="B4" s="39" t="s">
        <v>50</v>
      </c>
      <c r="C4" s="46" t="s">
        <v>96</v>
      </c>
      <c r="D4" s="39">
        <f>'Load Details'!$D$1</f>
        <v>9</v>
      </c>
      <c r="E4" s="40">
        <v>0</v>
      </c>
      <c r="F4" s="40">
        <v>0</v>
      </c>
      <c r="G4" s="40">
        <f ca="1">(E4/2^(F4-1)*M4)</f>
        <v>0</v>
      </c>
      <c r="H4" s="40">
        <f>IF(E4=0,0,G4^2/(E4))</f>
        <v>0</v>
      </c>
      <c r="I4" s="41">
        <f ca="1">D4-G4</f>
        <v>9</v>
      </c>
      <c r="J4" s="39">
        <v>5</v>
      </c>
      <c r="K4" s="42">
        <f ca="1">VLOOKUP(M4,OFFSET('Gnd Currents'!$A$1,MATCH('Regulator Details'!C4,'Gnd Currents'!$A$1:$A$50,0)+1,0,8,2),2)</f>
        <v>3.5000000000000001E-3</v>
      </c>
      <c r="L4" s="43">
        <f ca="1">ABS(K4*(I4))+ABS(M4*((I4)-J4))</f>
        <v>0.47504766666666676</v>
      </c>
      <c r="M4" s="43">
        <f ca="1">SUMIF('Load Details'!$E$4:$E$56,'Regulator Details'!B4,'Load Details'!$G$4:$G$56)+M3+K3</f>
        <v>0.11088691666666668</v>
      </c>
      <c r="N4" s="43">
        <f ca="1">ABS(J4*M4)</f>
        <v>0.5544345833333334</v>
      </c>
      <c r="O4" s="43">
        <f ca="1">F4*H4+N4+L4</f>
        <v>1.02948225</v>
      </c>
      <c r="P4" s="43">
        <f ca="1">ABS(O4/D4)</f>
        <v>0.11438691666666667</v>
      </c>
      <c r="Q4" s="5"/>
      <c r="R4" s="8"/>
      <c r="S4" s="39">
        <v>59</v>
      </c>
      <c r="T4" s="44">
        <f ca="1">S4*L4</f>
        <v>28.027812333333337</v>
      </c>
      <c r="U4" s="45">
        <f ca="1">T4+$U$1</f>
        <v>58.027812333333337</v>
      </c>
    </row>
    <row r="5" spans="1:23" x14ac:dyDescent="0.3">
      <c r="G5" s="4"/>
      <c r="H5" s="4"/>
      <c r="I5" s="4"/>
      <c r="J5" s="4"/>
      <c r="K5" s="34"/>
      <c r="L5" s="34"/>
      <c r="M5" s="34"/>
      <c r="N5" s="34"/>
      <c r="O5" s="34"/>
      <c r="P5" s="34"/>
      <c r="Q5" s="4"/>
      <c r="R5" s="6"/>
      <c r="S5" s="4"/>
      <c r="T5" s="4"/>
      <c r="U5" s="4"/>
      <c r="W5" s="3"/>
    </row>
    <row r="6" spans="1:23" x14ac:dyDescent="0.3">
      <c r="G6" s="4"/>
      <c r="H6" s="4"/>
      <c r="I6" s="4"/>
      <c r="J6" s="4"/>
      <c r="K6" s="34"/>
      <c r="L6" s="34"/>
      <c r="M6" s="34"/>
      <c r="N6" s="34"/>
      <c r="O6" s="34"/>
      <c r="P6" s="34"/>
      <c r="Q6" s="4"/>
      <c r="R6" s="6"/>
      <c r="S6" s="4"/>
      <c r="T6" s="4"/>
      <c r="U6" s="4"/>
      <c r="W6" s="3"/>
    </row>
    <row r="7" spans="1:23" x14ac:dyDescent="0.3">
      <c r="G7" s="4"/>
      <c r="H7" s="4"/>
      <c r="I7" s="4"/>
      <c r="J7" s="4"/>
      <c r="K7" s="34"/>
      <c r="L7" s="34"/>
      <c r="M7" s="34"/>
      <c r="N7" s="34"/>
      <c r="O7" s="34"/>
      <c r="P7" s="4"/>
      <c r="Q7" s="6"/>
      <c r="R7" s="4"/>
      <c r="S7" s="4"/>
      <c r="T7" s="4"/>
      <c r="V7" s="3"/>
    </row>
    <row r="8" spans="1:23" x14ac:dyDescent="0.3">
      <c r="G8" s="4"/>
      <c r="H8" s="4"/>
      <c r="I8" s="4"/>
      <c r="J8" s="4"/>
      <c r="K8" s="34"/>
      <c r="L8" s="34"/>
      <c r="N8" s="34"/>
      <c r="O8" s="34"/>
      <c r="P8" s="34"/>
      <c r="Q8" s="4"/>
      <c r="R8" s="4"/>
      <c r="S8" s="4"/>
      <c r="T8" s="4"/>
      <c r="U8" s="4"/>
      <c r="W8" s="3"/>
    </row>
    <row r="9" spans="1:23" x14ac:dyDescent="0.3">
      <c r="G9" s="4"/>
      <c r="H9" s="4"/>
      <c r="I9" s="4"/>
      <c r="J9" s="4"/>
      <c r="K9" s="34"/>
      <c r="L9" s="34"/>
      <c r="M9" s="34"/>
      <c r="N9" s="34"/>
      <c r="O9" s="34"/>
      <c r="P9" s="34"/>
      <c r="Q9" s="4"/>
      <c r="R9" s="4"/>
      <c r="S9" s="4"/>
      <c r="T9" s="4"/>
      <c r="U9" s="4"/>
      <c r="W9" s="3"/>
    </row>
    <row r="10" spans="1:23" x14ac:dyDescent="0.3">
      <c r="G10" s="4"/>
      <c r="H10" s="4"/>
      <c r="I10" s="4"/>
      <c r="J10" s="4"/>
      <c r="K10" s="34"/>
      <c r="L10" s="34"/>
      <c r="M10" s="34"/>
      <c r="N10" s="34"/>
      <c r="O10" s="34"/>
      <c r="P10" s="34"/>
      <c r="Q10" s="4"/>
      <c r="R10" s="4"/>
      <c r="S10" s="4"/>
      <c r="T10" s="4"/>
      <c r="U10" s="4"/>
    </row>
    <row r="11" spans="1:23" x14ac:dyDescent="0.3">
      <c r="G11" s="4"/>
      <c r="H11" s="4"/>
      <c r="I11" s="4"/>
      <c r="J11" s="4"/>
      <c r="K11" s="34"/>
      <c r="L11" s="34"/>
      <c r="M11" s="34"/>
      <c r="N11" s="34"/>
      <c r="O11" s="34"/>
      <c r="P11" s="34"/>
      <c r="Q11" s="4"/>
      <c r="R11" s="4"/>
      <c r="S11" s="4"/>
      <c r="T11" s="4"/>
    </row>
    <row r="12" spans="1:23" x14ac:dyDescent="0.3">
      <c r="G12" s="4"/>
      <c r="H12" s="4"/>
      <c r="I12" s="4"/>
      <c r="J12" s="4"/>
      <c r="K12" s="34"/>
      <c r="L12" s="34"/>
      <c r="M12" s="34"/>
      <c r="N12" s="34"/>
      <c r="O12" s="34"/>
      <c r="P12" s="34"/>
      <c r="Q12" s="4"/>
      <c r="R12" s="4"/>
      <c r="S12" s="4"/>
      <c r="T12" s="4"/>
    </row>
    <row r="13" spans="1:23" x14ac:dyDescent="0.3">
      <c r="G13" s="4"/>
      <c r="H13" s="4"/>
      <c r="I13" s="4"/>
      <c r="J13" s="4"/>
      <c r="K13" s="34"/>
      <c r="L13" s="34"/>
      <c r="M13" s="34"/>
      <c r="N13" s="34"/>
      <c r="O13" s="34"/>
      <c r="P13" s="34"/>
      <c r="Q13" s="4"/>
      <c r="R13" s="4"/>
      <c r="S13" s="4"/>
      <c r="T13" s="4"/>
    </row>
    <row r="14" spans="1:23" x14ac:dyDescent="0.3">
      <c r="G14" s="4"/>
      <c r="H14" s="4"/>
      <c r="I14" s="4"/>
      <c r="J14" s="4"/>
      <c r="K14" s="34"/>
      <c r="L14" s="34"/>
      <c r="M14" s="34"/>
      <c r="N14" s="34"/>
      <c r="O14" s="34"/>
      <c r="P14" s="34"/>
      <c r="Q14" s="4"/>
      <c r="R14" s="4"/>
      <c r="S14" s="4"/>
      <c r="T14" s="4"/>
    </row>
    <row r="15" spans="1:23" x14ac:dyDescent="0.3">
      <c r="G15" s="4"/>
      <c r="H15" s="4"/>
      <c r="I15" s="4"/>
      <c r="J15" s="4"/>
      <c r="K15" s="34"/>
      <c r="L15" s="34"/>
      <c r="M15" s="34"/>
      <c r="N15" s="34"/>
      <c r="O15" s="34"/>
      <c r="P15" s="34"/>
      <c r="Q15" s="4"/>
      <c r="R15" s="4"/>
      <c r="S15" s="4"/>
      <c r="T15" s="4"/>
    </row>
    <row r="16" spans="1:23" x14ac:dyDescent="0.3">
      <c r="G16" s="4"/>
      <c r="H16" s="4"/>
      <c r="I16" s="4"/>
      <c r="J16" s="4"/>
      <c r="K16" s="34"/>
      <c r="L16" s="34"/>
      <c r="M16" s="34"/>
      <c r="N16" s="34"/>
      <c r="O16" s="34"/>
      <c r="P16" s="34"/>
      <c r="Q16" s="4"/>
      <c r="R16" s="4"/>
      <c r="S16" s="4"/>
      <c r="T16" s="4"/>
    </row>
    <row r="17" spans="7:20" x14ac:dyDescent="0.3">
      <c r="G17" s="4"/>
      <c r="H17" s="4"/>
      <c r="I17" s="4"/>
      <c r="J17" s="4"/>
      <c r="K17" s="34"/>
      <c r="L17" s="34"/>
      <c r="M17" s="34"/>
      <c r="N17" s="34"/>
      <c r="O17" s="34"/>
      <c r="P17" s="34"/>
      <c r="Q17" s="4"/>
      <c r="R17" s="4"/>
      <c r="S17" s="4"/>
      <c r="T17" s="4"/>
    </row>
    <row r="18" spans="7:20" x14ac:dyDescent="0.3">
      <c r="G18" s="4"/>
      <c r="H18" s="4"/>
      <c r="I18" s="4"/>
      <c r="J18" s="4"/>
      <c r="K18" s="34"/>
      <c r="L18" s="34"/>
      <c r="M18" s="34"/>
      <c r="N18" s="34"/>
      <c r="O18" s="34"/>
      <c r="P18" s="34"/>
      <c r="Q18" s="4"/>
      <c r="R18" s="4"/>
      <c r="S18" s="4"/>
      <c r="T18" s="4"/>
    </row>
    <row r="19" spans="7:20" x14ac:dyDescent="0.3">
      <c r="G19" s="4"/>
      <c r="H19" s="4"/>
      <c r="I19" s="4"/>
      <c r="J19" s="4"/>
      <c r="K19" s="34"/>
      <c r="L19" s="34"/>
      <c r="M19" s="34"/>
      <c r="N19" s="34"/>
      <c r="O19" s="34"/>
      <c r="P19" s="34"/>
      <c r="Q19" s="4"/>
      <c r="R19" s="4"/>
      <c r="S19" s="4"/>
      <c r="T19" s="4"/>
    </row>
    <row r="20" spans="7:20" x14ac:dyDescent="0.3">
      <c r="G20" s="4"/>
      <c r="H20" s="4"/>
      <c r="I20" s="4"/>
      <c r="J20" s="4"/>
      <c r="K20" s="34"/>
      <c r="L20" s="34"/>
      <c r="M20" s="34"/>
      <c r="N20" s="34"/>
      <c r="O20" s="34"/>
      <c r="P20" s="34"/>
      <c r="Q20" s="4"/>
      <c r="R20" s="4"/>
      <c r="S20" s="4"/>
      <c r="T20" s="4"/>
    </row>
    <row r="21" spans="7:20" x14ac:dyDescent="0.3">
      <c r="G21" s="4"/>
      <c r="H21" s="4"/>
      <c r="I21" s="4"/>
      <c r="J21" s="4"/>
      <c r="K21" s="34"/>
      <c r="L21" s="34"/>
      <c r="M21" s="34"/>
      <c r="N21" s="34"/>
      <c r="O21" s="34"/>
      <c r="P21" s="34"/>
      <c r="Q21" s="4"/>
      <c r="R21" s="4"/>
      <c r="S21" s="4"/>
      <c r="T21" s="4"/>
    </row>
    <row r="22" spans="7:20" x14ac:dyDescent="0.3">
      <c r="G22" s="4"/>
      <c r="H22" s="4"/>
      <c r="I22" s="4"/>
      <c r="J22" s="4"/>
      <c r="K22" s="34"/>
      <c r="L22" s="34"/>
      <c r="M22" s="34"/>
      <c r="N22" s="34"/>
      <c r="O22" s="34"/>
      <c r="P22" s="34"/>
      <c r="Q22" s="4"/>
      <c r="R22" s="4"/>
      <c r="S22" s="4"/>
      <c r="T22" s="4"/>
    </row>
    <row r="23" spans="7:20" x14ac:dyDescent="0.3">
      <c r="G23" s="4"/>
      <c r="H23" s="4"/>
      <c r="I23" s="4"/>
      <c r="J23" s="4"/>
      <c r="K23" s="34"/>
      <c r="L23" s="34"/>
      <c r="M23" s="34"/>
      <c r="N23" s="34"/>
      <c r="O23" s="34"/>
      <c r="P23" s="34"/>
      <c r="Q23" s="4"/>
      <c r="R23" s="4"/>
      <c r="S23" s="4"/>
      <c r="T23" s="4"/>
    </row>
    <row r="24" spans="7:20" x14ac:dyDescent="0.3">
      <c r="G24" s="4"/>
      <c r="H24" s="4"/>
      <c r="I24" s="4"/>
      <c r="J24" s="4"/>
      <c r="K24" s="34"/>
      <c r="L24" s="34"/>
      <c r="M24" s="34"/>
      <c r="N24" s="34"/>
      <c r="O24" s="34"/>
      <c r="P24" s="34"/>
      <c r="Q24" s="4"/>
      <c r="R24" s="4"/>
      <c r="S24" s="4"/>
      <c r="T24" s="4"/>
    </row>
    <row r="25" spans="7:20" x14ac:dyDescent="0.3">
      <c r="G25" s="4"/>
      <c r="H25" s="4"/>
      <c r="I25" s="4"/>
      <c r="J25" s="4"/>
      <c r="K25" s="34"/>
      <c r="L25" s="34"/>
      <c r="M25" s="34"/>
      <c r="N25" s="34"/>
      <c r="O25" s="34"/>
      <c r="P25" s="34"/>
      <c r="Q25" s="4"/>
      <c r="R25" s="4"/>
      <c r="S25" s="4"/>
      <c r="T25" s="4"/>
    </row>
    <row r="26" spans="7:20" x14ac:dyDescent="0.3">
      <c r="G26" s="4"/>
      <c r="H26" s="4"/>
      <c r="I26" s="4"/>
      <c r="J26" s="4"/>
      <c r="K26" s="34"/>
      <c r="L26" s="34"/>
      <c r="M26" s="34"/>
      <c r="N26" s="34"/>
      <c r="O26" s="34"/>
      <c r="P26" s="34"/>
      <c r="Q26" s="4"/>
      <c r="R26" s="4"/>
      <c r="S26" s="4"/>
      <c r="T26" s="4"/>
    </row>
    <row r="27" spans="7:20" x14ac:dyDescent="0.3">
      <c r="G27" s="4"/>
      <c r="H27" s="4"/>
      <c r="I27" s="4"/>
      <c r="J27" s="4"/>
      <c r="K27" s="34"/>
      <c r="L27" s="34"/>
      <c r="M27" s="34"/>
      <c r="N27" s="34"/>
      <c r="O27" s="34"/>
      <c r="P27" s="34"/>
      <c r="Q27" s="4"/>
      <c r="R27" s="4"/>
      <c r="S27" s="4"/>
      <c r="T27" s="4"/>
    </row>
    <row r="28" spans="7:20" x14ac:dyDescent="0.3">
      <c r="G28" s="4"/>
      <c r="H28" s="4"/>
      <c r="I28" s="4"/>
      <c r="J28" s="4"/>
      <c r="K28" s="34"/>
      <c r="L28" s="34"/>
      <c r="M28" s="34"/>
      <c r="N28" s="34"/>
      <c r="O28" s="34"/>
      <c r="P28" s="34"/>
      <c r="Q28" s="4"/>
      <c r="R28" s="4"/>
      <c r="S28" s="4"/>
      <c r="T28" s="4"/>
    </row>
    <row r="29" spans="7:20" x14ac:dyDescent="0.3">
      <c r="G29" s="4"/>
      <c r="H29" s="4"/>
      <c r="I29" s="4"/>
      <c r="J29" s="4"/>
      <c r="K29" s="34"/>
      <c r="L29" s="34"/>
      <c r="M29" s="34"/>
      <c r="N29" s="34"/>
      <c r="O29" s="34"/>
      <c r="P29" s="34"/>
      <c r="Q29" s="4"/>
      <c r="R29" s="4"/>
      <c r="S29" s="4"/>
      <c r="T29" s="4"/>
    </row>
    <row r="30" spans="7:20" x14ac:dyDescent="0.3">
      <c r="G30" s="4"/>
      <c r="H30" s="4"/>
      <c r="I30" s="4"/>
      <c r="J30" s="4"/>
      <c r="K30" s="34"/>
      <c r="L30" s="34"/>
      <c r="M30" s="34"/>
      <c r="N30" s="34"/>
      <c r="O30" s="34"/>
      <c r="P30" s="34"/>
      <c r="Q30" s="4"/>
      <c r="R30" s="4"/>
      <c r="S30" s="4"/>
      <c r="T30" s="4"/>
    </row>
    <row r="31" spans="7:20" x14ac:dyDescent="0.3">
      <c r="G31" s="4"/>
      <c r="H31" s="4"/>
      <c r="I31" s="4"/>
      <c r="J31" s="4"/>
      <c r="K31" s="34"/>
      <c r="L31" s="34"/>
      <c r="M31" s="34"/>
      <c r="N31" s="34"/>
      <c r="O31" s="34"/>
      <c r="P31" s="34"/>
      <c r="Q31" s="4"/>
      <c r="R31" s="4"/>
      <c r="S31" s="4"/>
      <c r="T31" s="4"/>
    </row>
    <row r="32" spans="7:20" x14ac:dyDescent="0.3">
      <c r="G32" s="4"/>
      <c r="H32" s="4"/>
      <c r="I32" s="4"/>
      <c r="J32" s="4"/>
      <c r="K32" s="34"/>
      <c r="L32" s="34"/>
      <c r="M32" s="34"/>
      <c r="N32" s="34"/>
      <c r="O32" s="34"/>
      <c r="P32" s="34"/>
      <c r="Q32" s="4"/>
      <c r="R32" s="4"/>
      <c r="S32" s="4"/>
      <c r="T32" s="4"/>
    </row>
    <row r="33" spans="7:20" x14ac:dyDescent="0.3">
      <c r="G33" s="4"/>
      <c r="H33" s="4"/>
      <c r="I33" s="4"/>
      <c r="J33" s="4"/>
      <c r="K33" s="34"/>
      <c r="L33" s="34"/>
      <c r="M33" s="34"/>
      <c r="N33" s="34"/>
      <c r="O33" s="34"/>
      <c r="P33" s="34"/>
      <c r="Q33" s="4"/>
      <c r="R33" s="4"/>
      <c r="S33" s="4"/>
      <c r="T33" s="4"/>
    </row>
    <row r="34" spans="7:20" x14ac:dyDescent="0.3">
      <c r="G34" s="4"/>
      <c r="H34" s="4"/>
      <c r="I34" s="4"/>
      <c r="J34" s="4"/>
      <c r="K34" s="34"/>
      <c r="L34" s="34"/>
      <c r="M34" s="34"/>
      <c r="N34" s="34"/>
      <c r="O34" s="34"/>
      <c r="P34" s="34"/>
      <c r="Q34" s="4"/>
      <c r="R34" s="4"/>
      <c r="S34" s="4"/>
      <c r="T34" s="4"/>
    </row>
  </sheetData>
  <phoneticPr fontId="0" type="noConversion"/>
  <conditionalFormatting sqref="L3:L4">
    <cfRule type="cellIs" dxfId="1" priority="12" operator="greaterThan">
      <formula>0.65</formula>
    </cfRule>
  </conditionalFormatting>
  <conditionalFormatting sqref="U3:U4">
    <cfRule type="cellIs" dxfId="0" priority="10" operator="greaterThan">
      <formula>105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"/>
  <sheetViews>
    <sheetView workbookViewId="0">
      <selection activeCell="F13" sqref="F13"/>
    </sheetView>
  </sheetViews>
  <sheetFormatPr defaultRowHeight="14.4" x14ac:dyDescent="0.3"/>
  <cols>
    <col min="1" max="1" width="12.33203125" bestFit="1" customWidth="1"/>
    <col min="2" max="2" width="11.88671875" bestFit="1" customWidth="1"/>
  </cols>
  <sheetData>
    <row r="3" spans="1:2" x14ac:dyDescent="0.3">
      <c r="A3" t="s">
        <v>95</v>
      </c>
    </row>
    <row r="4" spans="1:2" x14ac:dyDescent="0.3">
      <c r="A4" s="1" t="s">
        <v>5</v>
      </c>
      <c r="B4" s="1" t="s">
        <v>7</v>
      </c>
    </row>
    <row r="5" spans="1:2" x14ac:dyDescent="0.3">
      <c r="A5" s="38">
        <v>0</v>
      </c>
      <c r="B5" s="38">
        <v>6.9999999999999994E-5</v>
      </c>
    </row>
    <row r="6" spans="1:2" x14ac:dyDescent="0.3">
      <c r="A6" s="38">
        <v>0.01</v>
      </c>
      <c r="B6" s="38">
        <f>0.00045</f>
        <v>4.4999999999999999E-4</v>
      </c>
    </row>
    <row r="7" spans="1:2" x14ac:dyDescent="0.3">
      <c r="A7" s="27">
        <v>0.1</v>
      </c>
      <c r="B7" s="27">
        <v>3.5000000000000001E-3</v>
      </c>
    </row>
    <row r="8" spans="1:2" x14ac:dyDescent="0.3">
      <c r="A8" s="27">
        <v>0.3</v>
      </c>
      <c r="B8" s="27">
        <v>0.02</v>
      </c>
    </row>
    <row r="9" spans="1:2" x14ac:dyDescent="0.3">
      <c r="A9" s="27">
        <v>0.5</v>
      </c>
      <c r="B9" s="27">
        <v>4.4999999999999998E-2</v>
      </c>
    </row>
    <row r="10" spans="1:2" x14ac:dyDescent="0.3">
      <c r="A10" s="27">
        <v>0.7</v>
      </c>
      <c r="B10" s="27">
        <v>0.09</v>
      </c>
    </row>
    <row r="14" spans="1:2" x14ac:dyDescent="0.3">
      <c r="A14" t="s">
        <v>96</v>
      </c>
    </row>
    <row r="15" spans="1:2" x14ac:dyDescent="0.3">
      <c r="A15" s="1" t="s">
        <v>5</v>
      </c>
      <c r="B15" s="1" t="s">
        <v>7</v>
      </c>
    </row>
    <row r="16" spans="1:2" x14ac:dyDescent="0.3">
      <c r="A16" s="38">
        <v>0</v>
      </c>
      <c r="B16" s="38">
        <v>6.9999999999999994E-5</v>
      </c>
    </row>
    <row r="17" spans="1:2" x14ac:dyDescent="0.3">
      <c r="A17" s="38">
        <v>0.01</v>
      </c>
      <c r="B17" s="38">
        <f>0.00045</f>
        <v>4.4999999999999999E-4</v>
      </c>
    </row>
    <row r="18" spans="1:2" x14ac:dyDescent="0.3">
      <c r="A18" s="27">
        <v>0.1</v>
      </c>
      <c r="B18" s="27">
        <v>3.5000000000000001E-3</v>
      </c>
    </row>
    <row r="19" spans="1:2" x14ac:dyDescent="0.3">
      <c r="A19" s="27">
        <v>0.3</v>
      </c>
      <c r="B19" s="27">
        <v>0.02</v>
      </c>
    </row>
    <row r="20" spans="1:2" x14ac:dyDescent="0.3">
      <c r="A20" s="27">
        <v>0.5</v>
      </c>
      <c r="B20" s="27">
        <v>4.4999999999999998E-2</v>
      </c>
    </row>
    <row r="21" spans="1:2" x14ac:dyDescent="0.3">
      <c r="A21" s="27">
        <v>0.7</v>
      </c>
      <c r="B21" s="27">
        <v>0.09</v>
      </c>
    </row>
    <row r="27" spans="1:2" x14ac:dyDescent="0.3">
      <c r="A27" s="1"/>
      <c r="B27" s="1"/>
    </row>
    <row r="28" spans="1:2" x14ac:dyDescent="0.3">
      <c r="A28" s="2"/>
      <c r="B28" s="2"/>
    </row>
    <row r="29" spans="1:2" x14ac:dyDescent="0.3">
      <c r="B29" s="2"/>
    </row>
    <row r="40" spans="1:2" x14ac:dyDescent="0.3">
      <c r="A40" s="1"/>
      <c r="B40" s="1"/>
    </row>
    <row r="41" spans="1:2" x14ac:dyDescent="0.3">
      <c r="A41" s="2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Details</vt:lpstr>
      <vt:lpstr>Regulator Details</vt:lpstr>
      <vt:lpstr>Gnd Currents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M. Hughes</dc:creator>
  <cp:lastModifiedBy>Dan Chianucci</cp:lastModifiedBy>
  <cp:lastPrinted>2011-08-05T01:14:39Z</cp:lastPrinted>
  <dcterms:created xsi:type="dcterms:W3CDTF">2011-03-04T15:52:00Z</dcterms:created>
  <dcterms:modified xsi:type="dcterms:W3CDTF">2012-07-16T01:25:41Z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ACCT05\hughesi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