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ml.chartshapes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ml.chartshapes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drawings/drawing8.xml" ContentType="application/vnd.openxmlformats-officedocument.drawingml.chartshapes+xml"/>
  <Override PartName="/xl/drawings/drawing9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ЭтаКнига"/>
  <bookViews>
    <workbookView windowWidth="23040" windowHeight="8795"/>
  </bookViews>
  <sheets>
    <sheet name="таблица параметров" sheetId="1" r:id="rId1"/>
    <sheet name="коэф. альфа" sheetId="2" r:id="rId2"/>
    <sheet name="функции" sheetId="10" r:id="rId3"/>
    <sheet name="диаграммы" sheetId="11" r:id="rId4"/>
  </sheets>
  <definedNames>
    <definedName name="_xlnm._FilterDatabase" localSheetId="0" hidden="1">'таблица параметров'!$BC$1:$BC$85</definedName>
    <definedName name="_xlnm.Print_Titles" localSheetId="0">'таблица параметров'!$1:$1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<sst xmlns="http://schemas.openxmlformats.org/spreadsheetml/2006/main" count="952" uniqueCount="215">
  <si>
    <t>№ п/п</t>
  </si>
  <si>
    <t>Адрес порыва</t>
  </si>
  <si>
    <t>Протяженность заменямого участка, м</t>
  </si>
  <si>
    <t>Протяженность участка, м</t>
  </si>
  <si>
    <t>Диаметр участка, мм</t>
  </si>
  <si>
    <t>Год ввода в эксплуатацию</t>
  </si>
  <si>
    <t>Остаточная толщина металла на участке, мм, К1</t>
  </si>
  <si>
    <t>Наличие других порывов на участке, К2</t>
  </si>
  <si>
    <t>Коррозионная активность грунта, К3</t>
  </si>
  <si>
    <t>Наличие/отсутствие затопления (следов затопления) канала, К4</t>
  </si>
  <si>
    <t>Материал трубопровода</t>
  </si>
  <si>
    <t>Тип прокладки</t>
  </si>
  <si>
    <t>Наличие пересечений с коммуникациями, К5</t>
  </si>
  <si>
    <t>Процент выхода из строя партии</t>
  </si>
  <si>
    <t>Продолжительность устранения порыва</t>
  </si>
  <si>
    <t>Срок эксллуатации, лет</t>
  </si>
  <si>
    <t>Интенсивность отказов, 1/км*ч</t>
  </si>
  <si>
    <t>коэф. А</t>
  </si>
  <si>
    <t>Ki (действ)</t>
  </si>
  <si>
    <t>Утонение стенки, %</t>
  </si>
  <si>
    <t>K1</t>
  </si>
  <si>
    <t>K2</t>
  </si>
  <si>
    <t>K3</t>
  </si>
  <si>
    <t>K4</t>
  </si>
  <si>
    <t>K5</t>
  </si>
  <si>
    <t>Участвующие коэффициенты</t>
  </si>
  <si>
    <t>Толщина стенки</t>
  </si>
  <si>
    <t>Ki(теор) сумм. Метод</t>
  </si>
  <si>
    <t>Δki</t>
  </si>
  <si>
    <t>De, %</t>
  </si>
  <si>
    <r>
      <rPr>
        <sz val="12"/>
        <color theme="1"/>
        <rFont val="Symbol"/>
        <charset val="2"/>
      </rPr>
      <t>De</t>
    </r>
    <r>
      <rPr>
        <sz val="9.6"/>
        <color theme="1"/>
        <rFont val="Times New Roman"/>
        <charset val="204"/>
      </rPr>
      <t xml:space="preserve"> (приближенное)</t>
    </r>
    <r>
      <rPr>
        <sz val="12"/>
        <color theme="1"/>
        <rFont val="Times New Roman"/>
        <charset val="204"/>
      </rPr>
      <t>,%</t>
    </r>
  </si>
  <si>
    <t>Ki(теор) метод частных уравнений</t>
  </si>
  <si>
    <r>
      <rPr>
        <sz val="12"/>
        <color theme="1"/>
        <rFont val="Symbol"/>
        <charset val="2"/>
      </rPr>
      <t>D</t>
    </r>
    <r>
      <rPr>
        <sz val="12"/>
        <color theme="1"/>
        <rFont val="Cambria"/>
        <charset val="204"/>
        <scheme val="major"/>
      </rPr>
      <t>ki</t>
    </r>
  </si>
  <si>
    <r>
      <rPr>
        <sz val="12"/>
        <color theme="1"/>
        <rFont val="Symbol"/>
        <charset val="2"/>
      </rPr>
      <t>De</t>
    </r>
    <r>
      <rPr>
        <sz val="9.6"/>
        <color theme="1"/>
        <rFont val="Times New Roman"/>
        <charset val="204"/>
      </rPr>
      <t>, %</t>
    </r>
  </si>
  <si>
    <r>
      <rPr>
        <sz val="12"/>
        <color theme="1"/>
        <rFont val="Symbol"/>
        <charset val="2"/>
      </rPr>
      <t>De</t>
    </r>
    <r>
      <rPr>
        <sz val="9.6"/>
        <color theme="1"/>
        <rFont val="Times New Roman"/>
        <charset val="204"/>
      </rPr>
      <t>, % (приближенное)</t>
    </r>
  </si>
  <si>
    <t>Ki(теор) центральная зависимость</t>
  </si>
  <si>
    <r>
      <rPr>
        <sz val="12"/>
        <color theme="1"/>
        <rFont val="Symbol"/>
        <charset val="2"/>
      </rPr>
      <t>De</t>
    </r>
    <r>
      <rPr>
        <sz val="12"/>
        <color theme="1"/>
        <rFont val="Times New Roman"/>
        <charset val="204"/>
      </rPr>
      <t>, %</t>
    </r>
  </si>
  <si>
    <r>
      <rPr>
        <sz val="12"/>
        <color theme="1"/>
        <rFont val="Symbol"/>
        <charset val="2"/>
      </rPr>
      <t>De</t>
    </r>
    <r>
      <rPr>
        <sz val="7.2"/>
        <color theme="1"/>
        <rFont val="Times New Roman"/>
        <charset val="204"/>
      </rPr>
      <t xml:space="preserve">, </t>
    </r>
    <r>
      <rPr>
        <sz val="11"/>
        <color theme="1"/>
        <rFont val="Times New Roman"/>
        <charset val="204"/>
      </rPr>
      <t>(приближенное), %</t>
    </r>
  </si>
  <si>
    <t>Ki(теор) учет только К1</t>
  </si>
  <si>
    <r>
      <rPr>
        <sz val="12"/>
        <color rgb="FFFF0000"/>
        <rFont val="Symbol"/>
        <charset val="2"/>
      </rPr>
      <t>De</t>
    </r>
    <r>
      <rPr>
        <sz val="12"/>
        <color rgb="FFFF0000"/>
        <rFont val="Times New Roman"/>
        <charset val="204"/>
      </rPr>
      <t>, %</t>
    </r>
  </si>
  <si>
    <t>Интенсивность отказов (практ)</t>
  </si>
  <si>
    <t>Интенсивность отказов (теор)</t>
  </si>
  <si>
    <t>ΔLi</t>
  </si>
  <si>
    <t>Самарская, 6 (кот.Музыкальная, 8,10)</t>
  </si>
  <si>
    <t>5(подача)</t>
  </si>
  <si>
    <t>до 1989</t>
  </si>
  <si>
    <t>нет</t>
  </si>
  <si>
    <t>низкая</t>
  </si>
  <si>
    <t xml:space="preserve">сталь минвата </t>
  </si>
  <si>
    <t>подземная канальная</t>
  </si>
  <si>
    <t>К1</t>
  </si>
  <si>
    <t>Г.Шоссе,6 (кот.Окольная, 10)</t>
  </si>
  <si>
    <t>15(подача)</t>
  </si>
  <si>
    <t>да</t>
  </si>
  <si>
    <t>К1, К4</t>
  </si>
  <si>
    <t>Хибинская, 14 (кот.Залесная, 1в)</t>
  </si>
  <si>
    <t>4(подача); 4(обратка)</t>
  </si>
  <si>
    <t>средняя</t>
  </si>
  <si>
    <t>К1, К2, К3, К4, К5</t>
  </si>
  <si>
    <t>Глазовская, 7(кот.Музыкальная, 8,10)</t>
  </si>
  <si>
    <t>3(подача); 1(обратка)</t>
  </si>
  <si>
    <t>Литвинова, 51 (кот.Литвинова, 55)</t>
  </si>
  <si>
    <t>20(подача)</t>
  </si>
  <si>
    <t>Урицкого, 8 (кот.Урицкого, 4)</t>
  </si>
  <si>
    <t>1,5(подача); 1,5(обратка)</t>
  </si>
  <si>
    <t>К1, К3</t>
  </si>
  <si>
    <t>Халтурина, 11/10 (кот.Музыкальная, 8,10)</t>
  </si>
  <si>
    <t>1,5(подача)</t>
  </si>
  <si>
    <t>Телецентр, 4 (кот.Музыкальная, 8,10)</t>
  </si>
  <si>
    <t>1,5(обратка)</t>
  </si>
  <si>
    <t>К1, К4, К5</t>
  </si>
  <si>
    <t>8(подача); 8(обратка)</t>
  </si>
  <si>
    <t>Болотникова, 7 (кот.Музыкальная, 8,10)</t>
  </si>
  <si>
    <t>6(подача)</t>
  </si>
  <si>
    <t>25 Октября, 10а (кот.Музыкальная, 8,10)</t>
  </si>
  <si>
    <t>1(подача)</t>
  </si>
  <si>
    <t>Ферма-2, 50 (кот.Ферма-2)</t>
  </si>
  <si>
    <t>2(подача)</t>
  </si>
  <si>
    <t>К1, К5</t>
  </si>
  <si>
    <t>Парина, 16 (кот.Парина, 20)</t>
  </si>
  <si>
    <t>20(обратка)</t>
  </si>
  <si>
    <t>К1, К2, К3</t>
  </si>
  <si>
    <t>Бр.Касимовых, 36 (кот.Горки-2)</t>
  </si>
  <si>
    <t>14(подача)</t>
  </si>
  <si>
    <t>высокая</t>
  </si>
  <si>
    <t>сталь базальт</t>
  </si>
  <si>
    <t>Р.Зорге, 34 (кот.Горки-2)</t>
  </si>
  <si>
    <t>2,5(подача)</t>
  </si>
  <si>
    <t>сталь ППУ</t>
  </si>
  <si>
    <t>Мавлютова, 11 (кот.Горки-2)</t>
  </si>
  <si>
    <t>4,5(подача)</t>
  </si>
  <si>
    <t>А.Кутуя, 46 (котА.Кутуя, 39)</t>
  </si>
  <si>
    <t>30(подача)</t>
  </si>
  <si>
    <t>Карбышева, 36/2 (кот.Танкодром-1)</t>
  </si>
  <si>
    <t>7(подача)</t>
  </si>
  <si>
    <t>Арбузова, 6 (кот.Журналистов, 28)</t>
  </si>
  <si>
    <t>3(подача)</t>
  </si>
  <si>
    <t>Макаренко, 6 (кот.А.Кутуя, 39)</t>
  </si>
  <si>
    <t>20(подача); 18(обратка)</t>
  </si>
  <si>
    <t>Заря 9 (кот.Пионерская, 3а)</t>
  </si>
  <si>
    <t>К1, К2, К5</t>
  </si>
  <si>
    <t>2-я Даурская, 2 (кот.Высотная, 30)</t>
  </si>
  <si>
    <t>3(подача); 3(обратка)</t>
  </si>
  <si>
    <t>Заря, 5а (кот.Пионерская, 3а)</t>
  </si>
  <si>
    <t>12(подача)</t>
  </si>
  <si>
    <t>Космонавтов, 24 (кот.Космонавтов, 21)</t>
  </si>
  <si>
    <t>Достоевского, 80 (кот.Товарищеская, 21)</t>
  </si>
  <si>
    <t>10 (обратка)</t>
  </si>
  <si>
    <t>5 (подача) 5 (обратка)</t>
  </si>
  <si>
    <t>Бутлерова, 56 (кот.Зеленая,1)</t>
  </si>
  <si>
    <t>2 (подача)</t>
  </si>
  <si>
    <t>Бутлерова, 60 (кот.Зеленая,1)</t>
  </si>
  <si>
    <t>Б.Красная, 60 (кот.Жуковского, 21)</t>
  </si>
  <si>
    <t>4 (подача) 4 (обратка)</t>
  </si>
  <si>
    <t>надземная</t>
  </si>
  <si>
    <t>18 (подача) 18 (обратка)</t>
  </si>
  <si>
    <t>К.Маркса, 59 (кот.Б.Красная, 55)</t>
  </si>
  <si>
    <t>Бутлерова, 34 (кот.Катановский пер. 3)</t>
  </si>
  <si>
    <t>3 (подача) 3 (обратка)</t>
  </si>
  <si>
    <t>Курашева, 34 (кот.Бутлерова, 49)</t>
  </si>
  <si>
    <t>6 (подача)</t>
  </si>
  <si>
    <t>Вишневского, 61 (кот.А.Еники, 25)</t>
  </si>
  <si>
    <t>5 (подача)</t>
  </si>
  <si>
    <t>Меховщиков, 4а (кот.Портовая, 17)</t>
  </si>
  <si>
    <t>6 (подача) 6 (обратка)</t>
  </si>
  <si>
    <t>Бутлерова, 47 (кот.Бутлерова, 49)</t>
  </si>
  <si>
    <t>3 (обратка)</t>
  </si>
  <si>
    <t>Чехова 3/9 (кот.Чехова, 36)</t>
  </si>
  <si>
    <t>1 (подача)</t>
  </si>
  <si>
    <t>Раб.Молодежи, 22 (кот.А.Еники, 25)</t>
  </si>
  <si>
    <t>0,4 (обратка)</t>
  </si>
  <si>
    <t>Щапова, 18 (кот.Маяковского, 26)</t>
  </si>
  <si>
    <t>2 (подача) 2 (обратка)</t>
  </si>
  <si>
    <t>К1, К2</t>
  </si>
  <si>
    <t>Маяковского, 1/49 (кот.Катановский пер.3)</t>
  </si>
  <si>
    <t>6 (обратка)</t>
  </si>
  <si>
    <t>Муштари, 30 (кот.Жуковского, 5)</t>
  </si>
  <si>
    <t>7 (подача) 7 (обратка)</t>
  </si>
  <si>
    <t>Дачная, 3 (кот.Моторная, 43)</t>
  </si>
  <si>
    <t>Парковая, 12 (кот.Каштановая, 18)</t>
  </si>
  <si>
    <t>Главная, 69а (кот.Липатова, 7)</t>
  </si>
  <si>
    <t>1 (обратка)</t>
  </si>
  <si>
    <t>Мира, 30 (кот.Каштановая, 18)</t>
  </si>
  <si>
    <t>10 (подача)</t>
  </si>
  <si>
    <t>Мира, 65 (кот.Каштановая, 18)</t>
  </si>
  <si>
    <t>К1, К3, К4</t>
  </si>
  <si>
    <t>Парковая, 11 (кот.Каштановая, 18)</t>
  </si>
  <si>
    <t>3,5 (подача)</t>
  </si>
  <si>
    <t>К1, К3, К5</t>
  </si>
  <si>
    <t>тк28 - тк28а (кот.Каштановая, 18)</t>
  </si>
  <si>
    <t>тк234 - тк233 (кот. Липатова, 7)</t>
  </si>
  <si>
    <t>сталь, ППУ</t>
  </si>
  <si>
    <t>подземная - бесканальная</t>
  </si>
  <si>
    <t>42 точки</t>
  </si>
  <si>
    <t>40 точек</t>
  </si>
  <si>
    <t>39 точек</t>
  </si>
  <si>
    <t>38 точек</t>
  </si>
  <si>
    <t>37 точек</t>
  </si>
  <si>
    <t>36 точек</t>
  </si>
  <si>
    <t>тк18 - ж/комплекс Ульянова -Муштари- Айвазовского (кот. Зеленая, 1)</t>
  </si>
  <si>
    <t>0,5 (обратка)</t>
  </si>
  <si>
    <t>Минвата</t>
  </si>
  <si>
    <t>подземная - канальная</t>
  </si>
  <si>
    <t>тк28а - тк29 (кот. Железнодорожников, 19)</t>
  </si>
  <si>
    <t>0,7 (подача)</t>
  </si>
  <si>
    <t>тк9 - тк7 (кот. Музыкальная, 10)</t>
  </si>
  <si>
    <t>0,5 (подача)</t>
  </si>
  <si>
    <t>Базальт</t>
  </si>
  <si>
    <t>средняя погрешность, %:</t>
  </si>
  <si>
    <t>средняя погрешность, %</t>
  </si>
  <si>
    <t>срок эксплуатации, лет</t>
  </si>
  <si>
    <t>длина участка, м</t>
  </si>
  <si>
    <t>время восстановления, ч</t>
  </si>
  <si>
    <t>p0</t>
  </si>
  <si>
    <t>интенсивность отказов</t>
  </si>
  <si>
    <t>Ki</t>
  </si>
  <si>
    <t>min</t>
  </si>
  <si>
    <t>max</t>
  </si>
  <si>
    <t>эмпирический</t>
  </si>
  <si>
    <t>утонение стенки</t>
  </si>
  <si>
    <t>участвующий коэффициент</t>
  </si>
  <si>
    <t>приближенный</t>
  </si>
  <si>
    <t>при переводе</t>
  </si>
  <si>
    <t>конст</t>
  </si>
  <si>
    <t>доб. Коэф</t>
  </si>
  <si>
    <t>0,0074х</t>
  </si>
  <si>
    <t>средняя активность</t>
  </si>
  <si>
    <t>высокая активность</t>
  </si>
  <si>
    <t>К2 = д.к.-К3-К4-К5</t>
  </si>
  <si>
    <t>апроксимация с удалением значений</t>
  </si>
  <si>
    <t>K1, K4, K5</t>
  </si>
  <si>
    <t>график верификации интенсивности отказов</t>
  </si>
  <si>
    <t>график верификации коэффициента учета дополнительных факторов</t>
  </si>
  <si>
    <t>Номер участка</t>
  </si>
  <si>
    <t>Практ. зн.</t>
  </si>
  <si>
    <t>Расч. зн.</t>
  </si>
  <si>
    <t>№ элемента</t>
  </si>
  <si>
    <t>L ст</t>
  </si>
  <si>
    <t>L нов</t>
  </si>
  <si>
    <t>f</t>
  </si>
  <si>
    <t>1/(км*ч)</t>
  </si>
  <si>
    <t>Интенсивность отказов (по старой методике)</t>
  </si>
  <si>
    <t>Интенсивность отказов (по новой методике)</t>
  </si>
  <si>
    <t>Параметр потоков отказов (по старой методике)</t>
  </si>
  <si>
    <t>Параметр потоков отказов (по новой методике)</t>
  </si>
  <si>
    <t>1/ч</t>
  </si>
  <si>
    <t>Вероятность состояния сети, соответствующая отказу элемента (по методике авторов Сенновой Е.В., Кирюхина С.И.)</t>
  </si>
  <si>
    <t>Вероятность состояния сети, соответствующая отказу элемента (по предлагаемой методике)</t>
  </si>
  <si>
    <t>Pf</t>
  </si>
  <si>
    <t>Готовность (по старой методике)</t>
  </si>
  <si>
    <t>Готовность (по новой методике)</t>
  </si>
  <si>
    <t>Безотказность (по методике авторов Сенновой Е.В., Кирюхина С.И.)</t>
  </si>
  <si>
    <t>Безотказность (по предлагаемой методике)</t>
  </si>
  <si>
    <t>Недоотпуск (по методике авторов Сенновой Е.В., Кирюхина С.И.)</t>
  </si>
  <si>
    <t>Недоотпуск (по предлагаемой методике)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</si>
</sst>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.0"/>
  </numFmts>
  <fonts count="34">
    <font>
      <sz val="14"/>
      <color theme="1"/>
      <name val="Times New Roman"/>
      <charset val="204"/>
    </font>
    <font>
      <sz val="12"/>
      <color indexed="8"/>
      <name val="Times New Roman"/>
      <charset val="204"/>
    </font>
    <font>
      <sz val="12"/>
      <name val="Times New Roman"/>
      <charset val="204"/>
    </font>
    <font>
      <sz val="12"/>
      <color theme="1"/>
      <name val="Times New Roman"/>
      <charset val="204"/>
    </font>
    <font>
      <sz val="12"/>
      <color rgb="FFFF0000"/>
      <name val="Times New Roman"/>
      <charset val="204"/>
    </font>
    <font>
      <sz val="14"/>
      <name val="Times New Roman"/>
      <charset val="204"/>
    </font>
    <font>
      <sz val="14"/>
      <color rgb="FFFF0000"/>
      <name val="Times New Roman"/>
      <charset val="204"/>
    </font>
    <font>
      <sz val="12"/>
      <color theme="1"/>
      <name val="Calibri"/>
      <charset val="204"/>
    </font>
    <font>
      <sz val="12"/>
      <color theme="1"/>
      <name val="Symbol"/>
      <charset val="2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.6"/>
      <color theme="1"/>
      <name val="Times New Roman"/>
      <charset val="204"/>
    </font>
    <font>
      <sz val="12"/>
      <color theme="1"/>
      <name val="Cambria"/>
      <charset val="204"/>
      <scheme val="major"/>
    </font>
    <font>
      <sz val="7.2"/>
      <color theme="1"/>
      <name val="Times New Roman"/>
      <charset val="204"/>
    </font>
    <font>
      <sz val="11"/>
      <color theme="1"/>
      <name val="Times New Roman"/>
      <charset val="204"/>
    </font>
    <font>
      <sz val="12"/>
      <color rgb="FFFF0000"/>
      <name val="Symbol"/>
      <charset val="2"/>
    </font>
  </fonts>
  <fills count="40">
    <fill>
      <patternFill patternType="none"/>
    </fill>
    <fill>
      <patternFill patternType="gray125"/>
    </fill>
    <fill>
      <patternFill patternType="solid">
        <fgColor theme="3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9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9" fillId="11" borderId="6" applyNumberFormat="0" applyAlignment="0" applyProtection="0">
      <alignment vertical="center"/>
    </xf>
    <xf numFmtId="0" fontId="20" fillId="11" borderId="5" applyNumberFormat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</cellStyleXfs>
  <cellXfs count="63">
    <xf numFmtId="0" fontId="0" fillId="0" borderId="0" xfId="0"/>
    <xf numFmtId="180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NumberFormat="1" applyFill="1" applyAlignment="1">
      <alignment horizontal="center" vertical="center" wrapText="1"/>
    </xf>
    <xf numFmtId="0" fontId="0" fillId="0" borderId="0" xfId="0" applyBorder="1"/>
    <xf numFmtId="180" fontId="0" fillId="0" borderId="0" xfId="0" applyNumberFormat="1"/>
    <xf numFmtId="0" fontId="0" fillId="2" borderId="0" xfId="0" applyNumberFormat="1" applyFill="1" applyAlignment="1">
      <alignment horizontal="center"/>
    </xf>
    <xf numFmtId="0" fontId="0" fillId="3" borderId="0" xfId="0" applyFill="1"/>
    <xf numFmtId="180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20" fontId="0" fillId="0" borderId="0" xfId="0" applyNumberFormat="1"/>
    <xf numFmtId="0" fontId="0" fillId="4" borderId="0" xfId="0" applyFill="1"/>
    <xf numFmtId="0" fontId="0" fillId="0" borderId="0" xfId="0" applyFill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20" fontId="2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20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80" fontId="1" fillId="0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50301837270341"/>
          <c:y val="0.0467709244677749"/>
          <c:w val="0.708844706911636"/>
          <c:h val="0.832619568387285"/>
        </c:manualLayout>
      </c:layout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функции!$A$3:$A$16</c:f>
              <c:numCache>
                <c:formatCode>0.0</c:formatCode>
                <c:ptCount val="14"/>
                <c:pt idx="0">
                  <c:v>8.8888888888889</c:v>
                </c:pt>
                <c:pt idx="1">
                  <c:v>8.8888888888889</c:v>
                </c:pt>
                <c:pt idx="2">
                  <c:v>11.1111111111111</c:v>
                </c:pt>
                <c:pt idx="3">
                  <c:v>12.5</c:v>
                </c:pt>
                <c:pt idx="4">
                  <c:v>20</c:v>
                </c:pt>
                <c:pt idx="5">
                  <c:v>24.7058823529412</c:v>
                </c:pt>
                <c:pt idx="6">
                  <c:v>27.5</c:v>
                </c:pt>
                <c:pt idx="7">
                  <c:v>32.5</c:v>
                </c:pt>
                <c:pt idx="8">
                  <c:v>34.2857142857143</c:v>
                </c:pt>
                <c:pt idx="9">
                  <c:v>37.5</c:v>
                </c:pt>
                <c:pt idx="10">
                  <c:v>40</c:v>
                </c:pt>
                <c:pt idx="11">
                  <c:v>52.5</c:v>
                </c:pt>
                <c:pt idx="12">
                  <c:v>54.2857142857143</c:v>
                </c:pt>
                <c:pt idx="13">
                  <c:v>62.5</c:v>
                </c:pt>
              </c:numCache>
            </c:numRef>
          </c:xVal>
          <c:yVal>
            <c:numRef>
              <c:f>функции!$B$3:$B$16</c:f>
              <c:numCache>
                <c:formatCode>General</c:formatCode>
                <c:ptCount val="14"/>
                <c:pt idx="0">
                  <c:v>0.905579347301888</c:v>
                </c:pt>
                <c:pt idx="1">
                  <c:v>1.30847841227854</c:v>
                </c:pt>
                <c:pt idx="2">
                  <c:v>1.017314158788</c:v>
                </c:pt>
                <c:pt idx="3">
                  <c:v>1.05057651105715</c:v>
                </c:pt>
                <c:pt idx="4">
                  <c:v>1.08181833199517</c:v>
                </c:pt>
                <c:pt idx="5">
                  <c:v>1.12678591526095</c:v>
                </c:pt>
                <c:pt idx="6">
                  <c:v>1.13312510739865</c:v>
                </c:pt>
                <c:pt idx="7">
                  <c:v>1.2910500634762</c:v>
                </c:pt>
                <c:pt idx="8">
                  <c:v>1.19833819463617</c:v>
                </c:pt>
                <c:pt idx="9">
                  <c:v>1.2910500634762</c:v>
                </c:pt>
                <c:pt idx="10">
                  <c:v>1.23326644426548</c:v>
                </c:pt>
                <c:pt idx="11">
                  <c:v>1.2910500634762</c:v>
                </c:pt>
                <c:pt idx="12">
                  <c:v>1.32760869406898</c:v>
                </c:pt>
                <c:pt idx="13">
                  <c:v>1.37285079063421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54240"/>
        <c:axId val="80572416"/>
      </c:scatterChart>
      <c:valAx>
        <c:axId val="80554240"/>
        <c:scaling>
          <c:orientation val="minMax"/>
          <c:max val="64"/>
          <c:min val="8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572416"/>
        <c:crosses val="autoZero"/>
        <c:crossBetween val="midCat"/>
      </c:valAx>
      <c:valAx>
        <c:axId val="80572416"/>
        <c:scaling>
          <c:orientation val="minMax"/>
          <c:max val="1.4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5542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функции!$A$125:$A$129</c:f>
              <c:numCache>
                <c:formatCode>0.0</c:formatCode>
                <c:ptCount val="5"/>
                <c:pt idx="0">
                  <c:v>11.1111111111111</c:v>
                </c:pt>
                <c:pt idx="1">
                  <c:v>17.5</c:v>
                </c:pt>
                <c:pt idx="2">
                  <c:v>35.5555555555556</c:v>
                </c:pt>
                <c:pt idx="3">
                  <c:v>53.3333333333333</c:v>
                </c:pt>
                <c:pt idx="4">
                  <c:v>62.5</c:v>
                </c:pt>
              </c:numCache>
            </c:numRef>
          </c:xVal>
          <c:yVal>
            <c:numRef>
              <c:f>функции!$B$125:$B$129</c:f>
              <c:numCache>
                <c:formatCode>General</c:formatCode>
                <c:ptCount val="5"/>
                <c:pt idx="0">
                  <c:v>1.00705489774309</c:v>
                </c:pt>
                <c:pt idx="1">
                  <c:v>1.11736007329225</c:v>
                </c:pt>
                <c:pt idx="2">
                  <c:v>1.33207804802924</c:v>
                </c:pt>
                <c:pt idx="3">
                  <c:v>1.24302053352523</c:v>
                </c:pt>
                <c:pt idx="4">
                  <c:v>1.36456440673705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49792"/>
        <c:axId val="81251328"/>
      </c:scatterChart>
      <c:valAx>
        <c:axId val="81249792"/>
        <c:scaling>
          <c:orientation val="minMax"/>
          <c:max val="64"/>
          <c:min val="8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251328"/>
        <c:crosses val="autoZero"/>
        <c:crossBetween val="midCat"/>
      </c:valAx>
      <c:valAx>
        <c:axId val="81251328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2497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функции!$A$138:$A$140</c:f>
              <c:numCache>
                <c:formatCode>0.0</c:formatCode>
                <c:ptCount val="3"/>
                <c:pt idx="0">
                  <c:v>7.5</c:v>
                </c:pt>
                <c:pt idx="1">
                  <c:v>20</c:v>
                </c:pt>
                <c:pt idx="2">
                  <c:v>35</c:v>
                </c:pt>
              </c:numCache>
            </c:numRef>
          </c:xVal>
          <c:yVal>
            <c:numRef>
              <c:f>функции!$B$138:$B$140</c:f>
              <c:numCache>
                <c:formatCode>General</c:formatCode>
                <c:ptCount val="3"/>
                <c:pt idx="0">
                  <c:v>0.943862731238816</c:v>
                </c:pt>
                <c:pt idx="1">
                  <c:v>1.11736007329225</c:v>
                </c:pt>
                <c:pt idx="2">
                  <c:v>1.13415583390299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71424"/>
        <c:axId val="81310080"/>
      </c:scatterChart>
      <c:valAx>
        <c:axId val="81271424"/>
        <c:scaling>
          <c:orientation val="minMax"/>
          <c:max val="40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310080"/>
        <c:crosses val="autoZero"/>
        <c:crossBetween val="midCat"/>
      </c:valAx>
      <c:valAx>
        <c:axId val="81310080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2714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функции!$A$150:$A$196</c:f>
              <c:numCache>
                <c:formatCode>0.0</c:formatCode>
                <c:ptCount val="47"/>
                <c:pt idx="0">
                  <c:v>7.5</c:v>
                </c:pt>
                <c:pt idx="1">
                  <c:v>8.8888888888889</c:v>
                </c:pt>
                <c:pt idx="2">
                  <c:v>8.8888888888889</c:v>
                </c:pt>
                <c:pt idx="3">
                  <c:v>8.8888888888889</c:v>
                </c:pt>
                <c:pt idx="4">
                  <c:v>11.1111111111111</c:v>
                </c:pt>
                <c:pt idx="5">
                  <c:v>11.1111111111111</c:v>
                </c:pt>
                <c:pt idx="6">
                  <c:v>11.1111111111111</c:v>
                </c:pt>
                <c:pt idx="7">
                  <c:v>11.1111111111111</c:v>
                </c:pt>
                <c:pt idx="8">
                  <c:v>12.5</c:v>
                </c:pt>
                <c:pt idx="9">
                  <c:v>13.3333333333333</c:v>
                </c:pt>
                <c:pt idx="10">
                  <c:v>13.3333333333333</c:v>
                </c:pt>
                <c:pt idx="11">
                  <c:v>15.5555555555556</c:v>
                </c:pt>
                <c:pt idx="12">
                  <c:v>16.4705882352941</c:v>
                </c:pt>
                <c:pt idx="13">
                  <c:v>17.5</c:v>
                </c:pt>
                <c:pt idx="14">
                  <c:v>17.5</c:v>
                </c:pt>
                <c:pt idx="15">
                  <c:v>17.5</c:v>
                </c:pt>
                <c:pt idx="16">
                  <c:v>20</c:v>
                </c:pt>
                <c:pt idx="17">
                  <c:v>20</c:v>
                </c:pt>
                <c:pt idx="18">
                  <c:v>22.5</c:v>
                </c:pt>
                <c:pt idx="19">
                  <c:v>22.5</c:v>
                </c:pt>
                <c:pt idx="20">
                  <c:v>24.7058823529412</c:v>
                </c:pt>
                <c:pt idx="21">
                  <c:v>25</c:v>
                </c:pt>
                <c:pt idx="22">
                  <c:v>25</c:v>
                </c:pt>
                <c:pt idx="23">
                  <c:v>27.5</c:v>
                </c:pt>
                <c:pt idx="24">
                  <c:v>30</c:v>
                </c:pt>
                <c:pt idx="25">
                  <c:v>32.5</c:v>
                </c:pt>
                <c:pt idx="26">
                  <c:v>32.5</c:v>
                </c:pt>
                <c:pt idx="27">
                  <c:v>34.2857142857143</c:v>
                </c:pt>
                <c:pt idx="28">
                  <c:v>35</c:v>
                </c:pt>
                <c:pt idx="29">
                  <c:v>35</c:v>
                </c:pt>
                <c:pt idx="30">
                  <c:v>35.5555555555556</c:v>
                </c:pt>
                <c:pt idx="31">
                  <c:v>37.5</c:v>
                </c:pt>
                <c:pt idx="32">
                  <c:v>37.5</c:v>
                </c:pt>
                <c:pt idx="33">
                  <c:v>40</c:v>
                </c:pt>
                <c:pt idx="34">
                  <c:v>40</c:v>
                </c:pt>
                <c:pt idx="35">
                  <c:v>42.5</c:v>
                </c:pt>
                <c:pt idx="36">
                  <c:v>45.7142857142857</c:v>
                </c:pt>
                <c:pt idx="37">
                  <c:v>47.5</c:v>
                </c:pt>
                <c:pt idx="38">
                  <c:v>48.5714285714286</c:v>
                </c:pt>
                <c:pt idx="39">
                  <c:v>51.4285714285714</c:v>
                </c:pt>
                <c:pt idx="40">
                  <c:v>52.5</c:v>
                </c:pt>
                <c:pt idx="41">
                  <c:v>53.3333333333333</c:v>
                </c:pt>
                <c:pt idx="42">
                  <c:v>54.2857142857143</c:v>
                </c:pt>
                <c:pt idx="43">
                  <c:v>60</c:v>
                </c:pt>
                <c:pt idx="44">
                  <c:v>62.5</c:v>
                </c:pt>
                <c:pt idx="45">
                  <c:v>62.5</c:v>
                </c:pt>
                <c:pt idx="46">
                  <c:v>62.8571428571429</c:v>
                </c:pt>
              </c:numCache>
            </c:numRef>
          </c:xVal>
          <c:yVal>
            <c:numRef>
              <c:f>функции!$B$150:$B$196</c:f>
              <c:numCache>
                <c:formatCode>General</c:formatCode>
                <c:ptCount val="47"/>
                <c:pt idx="0">
                  <c:v>0.943862731238816</c:v>
                </c:pt>
                <c:pt idx="1">
                  <c:v>0.905579347301888</c:v>
                </c:pt>
                <c:pt idx="2">
                  <c:v>0.952114679478278</c:v>
                </c:pt>
                <c:pt idx="3">
                  <c:v>0.884615449496208</c:v>
                </c:pt>
                <c:pt idx="4">
                  <c:v>1.017314158788</c:v>
                </c:pt>
                <c:pt idx="5">
                  <c:v>1.00705489774309</c:v>
                </c:pt>
                <c:pt idx="6">
                  <c:v>1.00705489774309</c:v>
                </c:pt>
                <c:pt idx="7">
                  <c:v>0.969321054815573</c:v>
                </c:pt>
                <c:pt idx="8">
                  <c:v>1.05057651105715</c:v>
                </c:pt>
                <c:pt idx="9">
                  <c:v>1.05057651105715</c:v>
                </c:pt>
                <c:pt idx="10">
                  <c:v>0.920343727774416</c:v>
                </c:pt>
                <c:pt idx="11">
                  <c:v>1.05057651105715</c:v>
                </c:pt>
                <c:pt idx="12">
                  <c:v>1.03903553773497</c:v>
                </c:pt>
                <c:pt idx="13">
                  <c:v>1.03903553773497</c:v>
                </c:pt>
                <c:pt idx="14">
                  <c:v>1.11736007329225</c:v>
                </c:pt>
                <c:pt idx="15">
                  <c:v>0.927989628694177</c:v>
                </c:pt>
                <c:pt idx="16">
                  <c:v>1.11736007329225</c:v>
                </c:pt>
                <c:pt idx="17">
                  <c:v>1.08181833199517</c:v>
                </c:pt>
                <c:pt idx="18">
                  <c:v>1.14998535885395</c:v>
                </c:pt>
                <c:pt idx="19">
                  <c:v>1.06263419653789</c:v>
                </c:pt>
                <c:pt idx="20">
                  <c:v>1.12678591526095</c:v>
                </c:pt>
                <c:pt idx="21">
                  <c:v>1.01213803126207</c:v>
                </c:pt>
                <c:pt idx="22">
                  <c:v>1.14998535885395</c:v>
                </c:pt>
                <c:pt idx="23">
                  <c:v>1.13312510739865</c:v>
                </c:pt>
                <c:pt idx="24">
                  <c:v>1.18781869533039</c:v>
                </c:pt>
                <c:pt idx="25">
                  <c:v>1.10253897836759</c:v>
                </c:pt>
                <c:pt idx="26">
                  <c:v>1.2910500634762</c:v>
                </c:pt>
                <c:pt idx="27">
                  <c:v>1.19833819463617</c:v>
                </c:pt>
                <c:pt idx="28">
                  <c:v>1.22099403323395</c:v>
                </c:pt>
                <c:pt idx="29">
                  <c:v>1.13415583390299</c:v>
                </c:pt>
                <c:pt idx="30">
                  <c:v>1.33207804802924</c:v>
                </c:pt>
                <c:pt idx="31">
                  <c:v>1.2910500634762</c:v>
                </c:pt>
                <c:pt idx="32">
                  <c:v>1.18781869533039</c:v>
                </c:pt>
                <c:pt idx="33">
                  <c:v>1.23326644426548</c:v>
                </c:pt>
                <c:pt idx="34">
                  <c:v>1.13312510739865</c:v>
                </c:pt>
                <c:pt idx="35">
                  <c:v>1.16813318340363</c:v>
                </c:pt>
                <c:pt idx="36">
                  <c:v>1.22099403323395</c:v>
                </c:pt>
                <c:pt idx="37">
                  <c:v>1.2601543639</c:v>
                </c:pt>
                <c:pt idx="38">
                  <c:v>1.26360459932349</c:v>
                </c:pt>
                <c:pt idx="39">
                  <c:v>1.22099403323395</c:v>
                </c:pt>
                <c:pt idx="40">
                  <c:v>1.2910500634762</c:v>
                </c:pt>
                <c:pt idx="41">
                  <c:v>1.24302053352523</c:v>
                </c:pt>
                <c:pt idx="42">
                  <c:v>1.32760869406898</c:v>
                </c:pt>
                <c:pt idx="43">
                  <c:v>1.37285079063421</c:v>
                </c:pt>
                <c:pt idx="44">
                  <c:v>1.36456440673705</c:v>
                </c:pt>
                <c:pt idx="45">
                  <c:v>1.37285079063421</c:v>
                </c:pt>
                <c:pt idx="46">
                  <c:v>1.37285079063421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35040"/>
        <c:axId val="81336576"/>
      </c:scatterChart>
      <c:valAx>
        <c:axId val="81335040"/>
        <c:scaling>
          <c:orientation val="minMax"/>
          <c:max val="64"/>
          <c:min val="7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336576"/>
        <c:crosses val="autoZero"/>
        <c:crossBetween val="midCat"/>
      </c:valAx>
      <c:valAx>
        <c:axId val="81336576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3350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функции!$A$200:$A$207</c:f>
              <c:numCache>
                <c:formatCode>0.0</c:formatCode>
                <c:ptCount val="8"/>
                <c:pt idx="0">
                  <c:v>7.5</c:v>
                </c:pt>
                <c:pt idx="1">
                  <c:v>8.8888888888889</c:v>
                </c:pt>
                <c:pt idx="2">
                  <c:v>13.3333333333333</c:v>
                </c:pt>
                <c:pt idx="3">
                  <c:v>17.5</c:v>
                </c:pt>
                <c:pt idx="4">
                  <c:v>20</c:v>
                </c:pt>
                <c:pt idx="5">
                  <c:v>35</c:v>
                </c:pt>
                <c:pt idx="6">
                  <c:v>37.5</c:v>
                </c:pt>
                <c:pt idx="7">
                  <c:v>60</c:v>
                </c:pt>
              </c:numCache>
            </c:numRef>
          </c:xVal>
          <c:yVal>
            <c:numRef>
              <c:f>функции!$B$200:$B$207</c:f>
              <c:numCache>
                <c:formatCode>General</c:formatCode>
                <c:ptCount val="8"/>
                <c:pt idx="0">
                  <c:v>0.943862731238816</c:v>
                </c:pt>
                <c:pt idx="1">
                  <c:v>0.884615449496208</c:v>
                </c:pt>
                <c:pt idx="2">
                  <c:v>0.920343727774416</c:v>
                </c:pt>
                <c:pt idx="3">
                  <c:v>1.24478341974083</c:v>
                </c:pt>
                <c:pt idx="4">
                  <c:v>1.11736007329225</c:v>
                </c:pt>
                <c:pt idx="5">
                  <c:v>1.13415583390299</c:v>
                </c:pt>
                <c:pt idx="6">
                  <c:v>1.18781869533039</c:v>
                </c:pt>
                <c:pt idx="7">
                  <c:v>1.37285079063421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64864"/>
        <c:axId val="81366400"/>
      </c:scatterChart>
      <c:valAx>
        <c:axId val="81364864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366400"/>
        <c:crosses val="autoZero"/>
        <c:crossBetween val="midCat"/>
      </c:valAx>
      <c:valAx>
        <c:axId val="81366400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3648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функции!$A$213:$A$219</c:f>
              <c:numCache>
                <c:formatCode>0.0</c:formatCode>
                <c:ptCount val="7"/>
                <c:pt idx="0">
                  <c:v>7.5</c:v>
                </c:pt>
                <c:pt idx="1">
                  <c:v>8.8888888888889</c:v>
                </c:pt>
                <c:pt idx="2">
                  <c:v>13.3333333333333</c:v>
                </c:pt>
                <c:pt idx="3">
                  <c:v>20</c:v>
                </c:pt>
                <c:pt idx="4">
                  <c:v>35</c:v>
                </c:pt>
                <c:pt idx="5">
                  <c:v>37.5</c:v>
                </c:pt>
                <c:pt idx="6">
                  <c:v>60</c:v>
                </c:pt>
              </c:numCache>
            </c:numRef>
          </c:xVal>
          <c:yVal>
            <c:numRef>
              <c:f>функции!$B$213:$B$219</c:f>
              <c:numCache>
                <c:formatCode>General</c:formatCode>
                <c:ptCount val="7"/>
                <c:pt idx="0">
                  <c:v>0.943862731238816</c:v>
                </c:pt>
                <c:pt idx="1">
                  <c:v>0.884615449496208</c:v>
                </c:pt>
                <c:pt idx="2">
                  <c:v>0.920343727774416</c:v>
                </c:pt>
                <c:pt idx="3">
                  <c:v>1.11736007329225</c:v>
                </c:pt>
                <c:pt idx="4">
                  <c:v>1.13415583390299</c:v>
                </c:pt>
                <c:pt idx="5">
                  <c:v>1.18781869533039</c:v>
                </c:pt>
                <c:pt idx="6">
                  <c:v>1.37285079063421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86496"/>
        <c:axId val="81392384"/>
      </c:scatterChart>
      <c:valAx>
        <c:axId val="81386496"/>
        <c:scaling>
          <c:orientation val="minMax"/>
          <c:max val="70"/>
          <c:min val="0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392384"/>
        <c:crosses val="autoZero"/>
        <c:crossBetween val="midCat"/>
      </c:valAx>
      <c:valAx>
        <c:axId val="81392384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3864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функции!$A$226:$A$233</c:f>
              <c:numCache>
                <c:formatCode>0.0</c:formatCode>
                <c:ptCount val="8"/>
                <c:pt idx="0">
                  <c:v>11.1111111111111</c:v>
                </c:pt>
                <c:pt idx="1">
                  <c:v>17.5</c:v>
                </c:pt>
                <c:pt idx="2">
                  <c:v>22.5</c:v>
                </c:pt>
                <c:pt idx="3">
                  <c:v>25</c:v>
                </c:pt>
                <c:pt idx="4">
                  <c:v>31.1111111111111</c:v>
                </c:pt>
                <c:pt idx="5">
                  <c:v>35.5555555555556</c:v>
                </c:pt>
                <c:pt idx="6">
                  <c:v>53.3333333333333</c:v>
                </c:pt>
                <c:pt idx="7">
                  <c:v>62.5</c:v>
                </c:pt>
              </c:numCache>
            </c:numRef>
          </c:xVal>
          <c:yVal>
            <c:numRef>
              <c:f>функции!$B$226:$B$233</c:f>
              <c:numCache>
                <c:formatCode>General</c:formatCode>
                <c:ptCount val="8"/>
                <c:pt idx="0">
                  <c:v>1.00705489774309</c:v>
                </c:pt>
                <c:pt idx="1">
                  <c:v>1.11736007329225</c:v>
                </c:pt>
                <c:pt idx="2">
                  <c:v>1.14998535885395</c:v>
                </c:pt>
                <c:pt idx="3">
                  <c:v>1.14998535885395</c:v>
                </c:pt>
                <c:pt idx="4">
                  <c:v>1.46802177881975</c:v>
                </c:pt>
                <c:pt idx="5">
                  <c:v>1.33207804802924</c:v>
                </c:pt>
                <c:pt idx="6">
                  <c:v>1.24302053352523</c:v>
                </c:pt>
                <c:pt idx="7">
                  <c:v>1.36456440673705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28864"/>
        <c:axId val="81430400"/>
      </c:scatterChart>
      <c:valAx>
        <c:axId val="81428864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430400"/>
        <c:crosses val="autoZero"/>
        <c:crossBetween val="midCat"/>
      </c:valAx>
      <c:valAx>
        <c:axId val="81430400"/>
        <c:scaling>
          <c:orientation val="minMax"/>
          <c:max val="1.5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4288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функции!$A$240:$A$245</c:f>
              <c:numCache>
                <c:formatCode>0.0</c:formatCode>
                <c:ptCount val="6"/>
                <c:pt idx="0">
                  <c:v>11.1111111111111</c:v>
                </c:pt>
                <c:pt idx="1">
                  <c:v>17.5</c:v>
                </c:pt>
                <c:pt idx="2">
                  <c:v>22.5</c:v>
                </c:pt>
                <c:pt idx="3">
                  <c:v>25</c:v>
                </c:pt>
                <c:pt idx="4">
                  <c:v>53.3333333333333</c:v>
                </c:pt>
                <c:pt idx="5">
                  <c:v>62.5</c:v>
                </c:pt>
              </c:numCache>
            </c:numRef>
          </c:xVal>
          <c:yVal>
            <c:numRef>
              <c:f>функции!$B$240:$B$245</c:f>
              <c:numCache>
                <c:formatCode>General</c:formatCode>
                <c:ptCount val="6"/>
                <c:pt idx="0">
                  <c:v>1.00705489774309</c:v>
                </c:pt>
                <c:pt idx="1">
                  <c:v>1.11736007329225</c:v>
                </c:pt>
                <c:pt idx="2">
                  <c:v>1.14998535885395</c:v>
                </c:pt>
                <c:pt idx="3">
                  <c:v>1.14998535885395</c:v>
                </c:pt>
                <c:pt idx="4">
                  <c:v>1.24302053352523</c:v>
                </c:pt>
                <c:pt idx="5">
                  <c:v>1.36456440673705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4592"/>
        <c:axId val="81456128"/>
      </c:scatterChart>
      <c:valAx>
        <c:axId val="81454592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456128"/>
        <c:crosses val="autoZero"/>
        <c:crossBetween val="midCat"/>
      </c:valAx>
      <c:valAx>
        <c:axId val="81456128"/>
        <c:scaling>
          <c:orientation val="minMax"/>
          <c:max val="1.5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4545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функции!$A$253:$A$259</c:f>
              <c:numCache>
                <c:formatCode>0.0</c:formatCode>
                <c:ptCount val="7"/>
                <c:pt idx="0">
                  <c:v>11.1111111111111</c:v>
                </c:pt>
                <c:pt idx="1">
                  <c:v>24.7058823529412</c:v>
                </c:pt>
              </c:numCache>
            </c:numRef>
          </c:xVal>
          <c:yVal>
            <c:numRef>
              <c:f>функции!$B$253:$B$259</c:f>
              <c:numCache>
                <c:formatCode>General</c:formatCode>
                <c:ptCount val="7"/>
                <c:pt idx="0">
                  <c:v>0.969321054815573</c:v>
                </c:pt>
                <c:pt idx="1">
                  <c:v>1.12678591526095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84416"/>
        <c:axId val="81494400"/>
      </c:scatterChart>
      <c:valAx>
        <c:axId val="81484416"/>
        <c:scaling>
          <c:orientation val="minMax"/>
          <c:max val="25"/>
          <c:min val="10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494400"/>
        <c:crosses val="autoZero"/>
        <c:crossBetween val="midCat"/>
      </c:valAx>
      <c:valAx>
        <c:axId val="8149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4844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функции!$A$267:$A$274</c:f>
              <c:numCache>
                <c:formatCode>0.0</c:formatCode>
                <c:ptCount val="8"/>
                <c:pt idx="0">
                  <c:v>8.8888888888889</c:v>
                </c:pt>
                <c:pt idx="1">
                  <c:v>13.3333333333333</c:v>
                </c:pt>
                <c:pt idx="2">
                  <c:v>22.5</c:v>
                </c:pt>
                <c:pt idx="3">
                  <c:v>24.7058823529412</c:v>
                </c:pt>
                <c:pt idx="4">
                  <c:v>25</c:v>
                </c:pt>
                <c:pt idx="5">
                  <c:v>31.1111111111111</c:v>
                </c:pt>
                <c:pt idx="6">
                  <c:v>37.5</c:v>
                </c:pt>
                <c:pt idx="7">
                  <c:v>60</c:v>
                </c:pt>
              </c:numCache>
            </c:numRef>
          </c:xVal>
          <c:yVal>
            <c:numRef>
              <c:f>функции!$B$267:$B$274</c:f>
              <c:numCache>
                <c:formatCode>General</c:formatCode>
                <c:ptCount val="8"/>
                <c:pt idx="0">
                  <c:v>0.884615449496208</c:v>
                </c:pt>
                <c:pt idx="1">
                  <c:v>0.920343727774416</c:v>
                </c:pt>
                <c:pt idx="2">
                  <c:v>1.14998535885395</c:v>
                </c:pt>
                <c:pt idx="3">
                  <c:v>1.12678591526095</c:v>
                </c:pt>
                <c:pt idx="4">
                  <c:v>1.14998535885395</c:v>
                </c:pt>
                <c:pt idx="5">
                  <c:v>1.46802177881975</c:v>
                </c:pt>
                <c:pt idx="6">
                  <c:v>1.18781869533039</c:v>
                </c:pt>
                <c:pt idx="7">
                  <c:v>1.37285079063421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39072"/>
        <c:axId val="81540608"/>
      </c:scatterChart>
      <c:valAx>
        <c:axId val="81539072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540608"/>
        <c:crosses val="autoZero"/>
        <c:crossBetween val="midCat"/>
      </c:valAx>
      <c:valAx>
        <c:axId val="81540608"/>
        <c:scaling>
          <c:orientation val="minMax"/>
          <c:max val="1.5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5390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функции!$A$280:$A$286</c:f>
              <c:numCache>
                <c:formatCode>0.0</c:formatCode>
                <c:ptCount val="7"/>
                <c:pt idx="0">
                  <c:v>8.8888888888889</c:v>
                </c:pt>
                <c:pt idx="1">
                  <c:v>13.3333333333333</c:v>
                </c:pt>
                <c:pt idx="2">
                  <c:v>22.5</c:v>
                </c:pt>
                <c:pt idx="3">
                  <c:v>24.7058823529412</c:v>
                </c:pt>
                <c:pt idx="4">
                  <c:v>25</c:v>
                </c:pt>
                <c:pt idx="5">
                  <c:v>37.5</c:v>
                </c:pt>
                <c:pt idx="6">
                  <c:v>60</c:v>
                </c:pt>
              </c:numCache>
            </c:numRef>
          </c:xVal>
          <c:yVal>
            <c:numRef>
              <c:f>функции!$B$280:$B$286</c:f>
              <c:numCache>
                <c:formatCode>General</c:formatCode>
                <c:ptCount val="7"/>
                <c:pt idx="0">
                  <c:v>0.884615449496208</c:v>
                </c:pt>
                <c:pt idx="1">
                  <c:v>0.920343727774416</c:v>
                </c:pt>
                <c:pt idx="2">
                  <c:v>1.14998535885395</c:v>
                </c:pt>
                <c:pt idx="3">
                  <c:v>1.12678591526095</c:v>
                </c:pt>
                <c:pt idx="4">
                  <c:v>1.14998535885395</c:v>
                </c:pt>
                <c:pt idx="5">
                  <c:v>1.18781869533039</c:v>
                </c:pt>
                <c:pt idx="6">
                  <c:v>1.37285079063421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60704"/>
        <c:axId val="81562240"/>
      </c:scatterChart>
      <c:valAx>
        <c:axId val="81560704"/>
        <c:scaling>
          <c:orientation val="minMax"/>
          <c:max val="64"/>
          <c:min val="7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562240"/>
        <c:crosses val="autoZero"/>
        <c:crossBetween val="midCat"/>
      </c:valAx>
      <c:valAx>
        <c:axId val="81562240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5607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/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функции!$A$20:$A$29</c:f>
              <c:numCache>
                <c:formatCode>0.0</c:formatCode>
                <c:ptCount val="10"/>
                <c:pt idx="0">
                  <c:v>8.8888888888889</c:v>
                </c:pt>
                <c:pt idx="1">
                  <c:v>11.1111111111111</c:v>
                </c:pt>
                <c:pt idx="2">
                  <c:v>12.5</c:v>
                </c:pt>
                <c:pt idx="3">
                  <c:v>20</c:v>
                </c:pt>
                <c:pt idx="4">
                  <c:v>27.5</c:v>
                </c:pt>
                <c:pt idx="5">
                  <c:v>34.2857142857143</c:v>
                </c:pt>
                <c:pt idx="6">
                  <c:v>40</c:v>
                </c:pt>
                <c:pt idx="7">
                  <c:v>52.5</c:v>
                </c:pt>
                <c:pt idx="8">
                  <c:v>54.2857142857143</c:v>
                </c:pt>
                <c:pt idx="9">
                  <c:v>62.5</c:v>
                </c:pt>
              </c:numCache>
            </c:numRef>
          </c:xVal>
          <c:yVal>
            <c:numRef>
              <c:f>функции!$B$20:$B$29</c:f>
              <c:numCache>
                <c:formatCode>General</c:formatCode>
                <c:ptCount val="10"/>
                <c:pt idx="1">
                  <c:v>1.017314158788</c:v>
                </c:pt>
                <c:pt idx="2">
                  <c:v>1.05057651105715</c:v>
                </c:pt>
                <c:pt idx="3">
                  <c:v>1.08181833199517</c:v>
                </c:pt>
                <c:pt idx="4">
                  <c:v>1.13312510739865</c:v>
                </c:pt>
                <c:pt idx="5">
                  <c:v>1.19833819463617</c:v>
                </c:pt>
                <c:pt idx="6">
                  <c:v>1.23326644426548</c:v>
                </c:pt>
                <c:pt idx="7">
                  <c:v>1.2910500634762</c:v>
                </c:pt>
                <c:pt idx="8">
                  <c:v>1.32760869406898</c:v>
                </c:pt>
                <c:pt idx="9">
                  <c:v>1.37285079063421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89184"/>
        <c:axId val="80590720"/>
      </c:scatterChart>
      <c:valAx>
        <c:axId val="80589184"/>
        <c:scaling>
          <c:orientation val="minMax"/>
          <c:max val="64"/>
          <c:min val="8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590720"/>
        <c:crosses val="autoZero"/>
        <c:crossBetween val="midCat"/>
      </c:valAx>
      <c:valAx>
        <c:axId val="80590720"/>
        <c:scaling>
          <c:orientation val="minMax"/>
          <c:max val="1.4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5891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функции!$A$294:$A$299</c:f>
              <c:numCache>
                <c:formatCode>0.0</c:formatCode>
                <c:ptCount val="6"/>
                <c:pt idx="0">
                  <c:v>25</c:v>
                </c:pt>
                <c:pt idx="1">
                  <c:v>45.7142857142857</c:v>
                </c:pt>
              </c:numCache>
            </c:numRef>
          </c:xVal>
          <c:yVal>
            <c:numRef>
              <c:f>функции!$B$294:$B$299</c:f>
              <c:numCache>
                <c:formatCode>General</c:formatCode>
                <c:ptCount val="6"/>
                <c:pt idx="0">
                  <c:v>1.01213803126207</c:v>
                </c:pt>
                <c:pt idx="1">
                  <c:v>1.22099403323395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86432"/>
        <c:axId val="81596416"/>
      </c:scatterChart>
      <c:valAx>
        <c:axId val="81586432"/>
        <c:scaling>
          <c:orientation val="minMax"/>
          <c:min val="20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596416"/>
        <c:crosses val="autoZero"/>
        <c:crossBetween val="midCat"/>
      </c:valAx>
      <c:valAx>
        <c:axId val="81596416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5864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функции!$A$305:$A$308</c:f>
              <c:numCache>
                <c:formatCode>0.0</c:formatCode>
                <c:ptCount val="4"/>
                <c:pt idx="0">
                  <c:v>24.7058823529412</c:v>
                </c:pt>
                <c:pt idx="1">
                  <c:v>25</c:v>
                </c:pt>
                <c:pt idx="2">
                  <c:v>37.5</c:v>
                </c:pt>
                <c:pt idx="3">
                  <c:v>60</c:v>
                </c:pt>
              </c:numCache>
            </c:numRef>
          </c:xVal>
          <c:yVal>
            <c:numRef>
              <c:f>функции!$B$305:$B$308</c:f>
              <c:numCache>
                <c:formatCode>General</c:formatCode>
                <c:ptCount val="4"/>
                <c:pt idx="0">
                  <c:v>1.12678591526095</c:v>
                </c:pt>
                <c:pt idx="1">
                  <c:v>1.14998535885395</c:v>
                </c:pt>
                <c:pt idx="2">
                  <c:v>1.18781869533039</c:v>
                </c:pt>
                <c:pt idx="3">
                  <c:v>1.37285079063421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25088"/>
        <c:axId val="81626624"/>
      </c:scatterChart>
      <c:valAx>
        <c:axId val="81625088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626624"/>
        <c:crosses val="autoZero"/>
        <c:crossBetween val="midCat"/>
      </c:valAx>
      <c:valAx>
        <c:axId val="81626624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6250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функции!$A$318:$A$322</c:f>
              <c:numCache>
                <c:formatCode>0.0</c:formatCode>
                <c:ptCount val="5"/>
                <c:pt idx="0">
                  <c:v>7.5</c:v>
                </c:pt>
                <c:pt idx="1">
                  <c:v>11.1111111111111</c:v>
                </c:pt>
                <c:pt idx="2">
                  <c:v>35</c:v>
                </c:pt>
                <c:pt idx="3">
                  <c:v>53.3333333333333</c:v>
                </c:pt>
                <c:pt idx="4">
                  <c:v>62.5</c:v>
                </c:pt>
              </c:numCache>
            </c:numRef>
          </c:xVal>
          <c:yVal>
            <c:numRef>
              <c:f>функции!$B$318:$B$322</c:f>
              <c:numCache>
                <c:formatCode>General</c:formatCode>
                <c:ptCount val="5"/>
                <c:pt idx="0">
                  <c:v>0.943862731238816</c:v>
                </c:pt>
                <c:pt idx="1">
                  <c:v>1.00705489774309</c:v>
                </c:pt>
                <c:pt idx="2">
                  <c:v>1.13415583390299</c:v>
                </c:pt>
                <c:pt idx="3">
                  <c:v>1.24302053352523</c:v>
                </c:pt>
                <c:pt idx="4">
                  <c:v>1.36456440673705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50816"/>
        <c:axId val="81652352"/>
      </c:scatterChart>
      <c:valAx>
        <c:axId val="81650816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652352"/>
        <c:crosses val="autoZero"/>
        <c:crossBetween val="midCat"/>
      </c:valAx>
      <c:valAx>
        <c:axId val="81652352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6508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функции!$B$330</c:f>
              <c:strCache>
                <c:ptCount val="1"/>
                <c:pt idx="0">
                  <c:v>Ki</c:v>
                </c:pt>
              </c:strCache>
            </c:strRef>
          </c:tx>
          <c:spPr>
            <a:ln w="28575" cap="rnd" cmpd="sng" algn="ctr">
              <a:solidFill>
                <a:prstClr val="black"/>
              </a:solidFill>
              <a:prstDash val="solid"/>
              <a:round/>
            </a:ln>
          </c:spPr>
          <c:marker>
            <c:spPr>
              <a:solidFill>
                <a:sysClr val="windowText" lastClr="000000"/>
              </a:solidFill>
              <a:ln w="9525" cap="flat" cmpd="sng" algn="ctr">
                <a:solidFill>
                  <a:prstClr val="black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trendlineType val="linear"/>
            <c:dispRSqr val="0"/>
            <c:dispEq val="1"/>
            <c:trendlineLbl>
              <c:layout>
                <c:manualLayout>
                  <c:x val="-0.494708218034063"/>
                  <c:y val="0.113493822224276"/>
                </c:manualLayout>
              </c:layout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</a:p>
              </c:txPr>
            </c:trendlineLbl>
          </c:trendline>
          <c:xVal>
            <c:numRef>
              <c:f>функции!$A$331:$A$368</c:f>
              <c:numCache>
                <c:formatCode>General</c:formatCode>
                <c:ptCount val="38"/>
                <c:pt idx="0">
                  <c:v>7.5</c:v>
                </c:pt>
                <c:pt idx="1">
                  <c:v>8.8888888888889</c:v>
                </c:pt>
                <c:pt idx="2">
                  <c:v>11.1111111111111</c:v>
                </c:pt>
                <c:pt idx="3">
                  <c:v>11.1111111111111</c:v>
                </c:pt>
                <c:pt idx="4">
                  <c:v>11.1111111111111</c:v>
                </c:pt>
                <c:pt idx="5">
                  <c:v>11.1111111111111</c:v>
                </c:pt>
                <c:pt idx="6">
                  <c:v>12.5</c:v>
                </c:pt>
                <c:pt idx="7">
                  <c:v>13.3333333333333</c:v>
                </c:pt>
                <c:pt idx="8">
                  <c:v>13.3333333333333</c:v>
                </c:pt>
                <c:pt idx="9">
                  <c:v>15.5555555555556</c:v>
                </c:pt>
                <c:pt idx="10">
                  <c:v>16.4705882352941</c:v>
                </c:pt>
                <c:pt idx="11">
                  <c:v>17.5</c:v>
                </c:pt>
                <c:pt idx="12">
                  <c:v>20</c:v>
                </c:pt>
                <c:pt idx="13">
                  <c:v>22.5</c:v>
                </c:pt>
                <c:pt idx="14">
                  <c:v>24.7058823529412</c:v>
                </c:pt>
                <c:pt idx="15">
                  <c:v>25</c:v>
                </c:pt>
                <c:pt idx="16">
                  <c:v>25</c:v>
                </c:pt>
                <c:pt idx="17">
                  <c:v>27.5</c:v>
                </c:pt>
                <c:pt idx="18">
                  <c:v>30</c:v>
                </c:pt>
                <c:pt idx="19">
                  <c:v>32.5</c:v>
                </c:pt>
                <c:pt idx="20">
                  <c:v>34.2857142857143</c:v>
                </c:pt>
                <c:pt idx="21">
                  <c:v>35</c:v>
                </c:pt>
                <c:pt idx="22">
                  <c:v>35</c:v>
                </c:pt>
                <c:pt idx="23">
                  <c:v>37.5</c:v>
                </c:pt>
                <c:pt idx="24">
                  <c:v>40</c:v>
                </c:pt>
                <c:pt idx="25">
                  <c:v>40</c:v>
                </c:pt>
                <c:pt idx="26">
                  <c:v>42.5</c:v>
                </c:pt>
                <c:pt idx="27">
                  <c:v>45.7142857142857</c:v>
                </c:pt>
                <c:pt idx="28">
                  <c:v>47.5</c:v>
                </c:pt>
                <c:pt idx="29">
                  <c:v>48.5714285714286</c:v>
                </c:pt>
                <c:pt idx="30">
                  <c:v>51.4285714285714</c:v>
                </c:pt>
                <c:pt idx="31">
                  <c:v>52.5</c:v>
                </c:pt>
                <c:pt idx="32">
                  <c:v>53.3333333333333</c:v>
                </c:pt>
                <c:pt idx="33">
                  <c:v>54.2857142857143</c:v>
                </c:pt>
                <c:pt idx="34">
                  <c:v>60</c:v>
                </c:pt>
                <c:pt idx="35">
                  <c:v>62.5</c:v>
                </c:pt>
                <c:pt idx="36">
                  <c:v>62.5</c:v>
                </c:pt>
                <c:pt idx="37">
                  <c:v>62.8571428571429</c:v>
                </c:pt>
              </c:numCache>
            </c:numRef>
          </c:xVal>
          <c:yVal>
            <c:numRef>
              <c:f>функции!$B$331:$B$368</c:f>
              <c:numCache>
                <c:formatCode>General</c:formatCode>
                <c:ptCount val="38"/>
                <c:pt idx="0">
                  <c:v>0.943862731238816</c:v>
                </c:pt>
                <c:pt idx="1">
                  <c:v>0.952114679478278</c:v>
                </c:pt>
                <c:pt idx="2">
                  <c:v>1.017314158788</c:v>
                </c:pt>
                <c:pt idx="3">
                  <c:v>1.00705489774309</c:v>
                </c:pt>
                <c:pt idx="4">
                  <c:v>1.00705489774309</c:v>
                </c:pt>
                <c:pt idx="5">
                  <c:v>0.969321054815573</c:v>
                </c:pt>
                <c:pt idx="6">
                  <c:v>1.05057651105715</c:v>
                </c:pt>
                <c:pt idx="7">
                  <c:v>1.05057651105715</c:v>
                </c:pt>
                <c:pt idx="8">
                  <c:v>0.920343727774416</c:v>
                </c:pt>
                <c:pt idx="9">
                  <c:v>1.05057651105715</c:v>
                </c:pt>
                <c:pt idx="10">
                  <c:v>1.03903553773497</c:v>
                </c:pt>
                <c:pt idx="11">
                  <c:v>1.03903553773497</c:v>
                </c:pt>
                <c:pt idx="12">
                  <c:v>1.08181833199517</c:v>
                </c:pt>
                <c:pt idx="13">
                  <c:v>1.06263419653789</c:v>
                </c:pt>
                <c:pt idx="14">
                  <c:v>1.12678591526095</c:v>
                </c:pt>
                <c:pt idx="15">
                  <c:v>1.01213803126207</c:v>
                </c:pt>
                <c:pt idx="16">
                  <c:v>1.14998535885395</c:v>
                </c:pt>
                <c:pt idx="17">
                  <c:v>1.13312510739865</c:v>
                </c:pt>
                <c:pt idx="18">
                  <c:v>1.18781869533039</c:v>
                </c:pt>
                <c:pt idx="19">
                  <c:v>1.10253897836759</c:v>
                </c:pt>
                <c:pt idx="20">
                  <c:v>1.19833819463617</c:v>
                </c:pt>
                <c:pt idx="21">
                  <c:v>1.22099403323395</c:v>
                </c:pt>
                <c:pt idx="22">
                  <c:v>1.13415583390299</c:v>
                </c:pt>
                <c:pt idx="23">
                  <c:v>1.18781869533039</c:v>
                </c:pt>
                <c:pt idx="24">
                  <c:v>1.23326644426548</c:v>
                </c:pt>
                <c:pt idx="25">
                  <c:v>1.13312510739865</c:v>
                </c:pt>
                <c:pt idx="26">
                  <c:v>1.16813318340363</c:v>
                </c:pt>
                <c:pt idx="27">
                  <c:v>1.22099403323395</c:v>
                </c:pt>
                <c:pt idx="28">
                  <c:v>1.2601543639</c:v>
                </c:pt>
                <c:pt idx="29">
                  <c:v>1.26360459932349</c:v>
                </c:pt>
                <c:pt idx="30">
                  <c:v>1.22099403323395</c:v>
                </c:pt>
                <c:pt idx="31">
                  <c:v>1.2910500634762</c:v>
                </c:pt>
                <c:pt idx="32">
                  <c:v>1.24302053352523</c:v>
                </c:pt>
                <c:pt idx="33">
                  <c:v>1.32760869406898</c:v>
                </c:pt>
                <c:pt idx="34">
                  <c:v>1.37285079063421</c:v>
                </c:pt>
                <c:pt idx="35">
                  <c:v>1.36456440673705</c:v>
                </c:pt>
                <c:pt idx="36">
                  <c:v>1.37285079063421</c:v>
                </c:pt>
                <c:pt idx="37">
                  <c:v>1.37285079063421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77696"/>
        <c:axId val="81708160"/>
      </c:scatterChart>
      <c:valAx>
        <c:axId val="81677696"/>
        <c:scaling>
          <c:orientation val="minMax"/>
          <c:max val="65"/>
          <c:min val="5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1708160"/>
        <c:crosses val="autoZero"/>
        <c:crossBetween val="midCat"/>
        <c:majorUnit val="5"/>
      </c:valAx>
      <c:valAx>
        <c:axId val="81708160"/>
        <c:scaling>
          <c:orientation val="minMax"/>
          <c:max val="1.4"/>
          <c:min val="0.9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16776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884926628258"/>
          <c:y val="0.0513698617660271"/>
          <c:w val="0.807443152798998"/>
          <c:h val="0.8164693812642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функции!$B$371</c:f>
              <c:strCache>
                <c:ptCount val="1"/>
                <c:pt idx="0">
                  <c:v>Практ. зн.</c:v>
                </c:pt>
              </c:strCache>
            </c:strRef>
          </c:tx>
          <c:dLbls>
            <c:delete val="1"/>
          </c:dLbls>
          <c:xVal>
            <c:numRef>
              <c:f>функции!$A$372:$A$406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функции!$B$372:$B$406</c:f>
              <c:numCache>
                <c:formatCode>General</c:formatCode>
                <c:ptCount val="35"/>
                <c:pt idx="0">
                  <c:v>4.97408501706111e-5</c:v>
                </c:pt>
                <c:pt idx="1">
                  <c:v>2.22524856026418e-5</c:v>
                </c:pt>
                <c:pt idx="2">
                  <c:v>8.45594452900389e-5</c:v>
                </c:pt>
                <c:pt idx="3">
                  <c:v>0.000140932408816731</c:v>
                </c:pt>
                <c:pt idx="4">
                  <c:v>2.72772404161416e-5</c:v>
                </c:pt>
                <c:pt idx="5">
                  <c:v>5.63729635266926e-5</c:v>
                </c:pt>
                <c:pt idx="6">
                  <c:v>3.01998018892996e-5</c:v>
                </c:pt>
                <c:pt idx="7">
                  <c:v>2.01332012595331e-5</c:v>
                </c:pt>
                <c:pt idx="8">
                  <c:v>0.000140932408816731</c:v>
                </c:pt>
                <c:pt idx="9">
                  <c:v>3.0522794422875e-5</c:v>
                </c:pt>
                <c:pt idx="10">
                  <c:v>7.6103500761035e-5</c:v>
                </c:pt>
                <c:pt idx="11">
                  <c:v>3.52331022041829e-5</c:v>
                </c:pt>
                <c:pt idx="12">
                  <c:v>2.22524856026418e-5</c:v>
                </c:pt>
                <c:pt idx="13">
                  <c:v>1.96649872767532e-5</c:v>
                </c:pt>
                <c:pt idx="14">
                  <c:v>4.22797226450194e-5</c:v>
                </c:pt>
                <c:pt idx="15">
                  <c:v>5.63729635266926e-5</c:v>
                </c:pt>
                <c:pt idx="16">
                  <c:v>3.52331022041829e-5</c:v>
                </c:pt>
                <c:pt idx="17">
                  <c:v>6.03996037785992e-5</c:v>
                </c:pt>
                <c:pt idx="18">
                  <c:v>4.69774696055772e-5</c:v>
                </c:pt>
                <c:pt idx="19">
                  <c:v>1.92180557477361e-5</c:v>
                </c:pt>
                <c:pt idx="20">
                  <c:v>1.92180557477361e-5</c:v>
                </c:pt>
                <c:pt idx="21">
                  <c:v>7.04662044083657e-5</c:v>
                </c:pt>
                <c:pt idx="22">
                  <c:v>3.52331022041829e-5</c:v>
                </c:pt>
                <c:pt idx="23">
                  <c:v>0.000105699306612549</c:v>
                </c:pt>
                <c:pt idx="24">
                  <c:v>2.34887348027886e-5</c:v>
                </c:pt>
                <c:pt idx="25">
                  <c:v>5.70776255707763e-5</c:v>
                </c:pt>
                <c:pt idx="26">
                  <c:v>5.63729635266926e-5</c:v>
                </c:pt>
                <c:pt idx="27">
                  <c:v>1.50999009446498e-5</c:v>
                </c:pt>
                <c:pt idx="28">
                  <c:v>3.84361114954722e-5</c:v>
                </c:pt>
                <c:pt idx="29">
                  <c:v>0.000140932408816731</c:v>
                </c:pt>
                <c:pt idx="30">
                  <c:v>2.34887348027886e-5</c:v>
                </c:pt>
                <c:pt idx="31">
                  <c:v>2.34887348027886e-5</c:v>
                </c:pt>
                <c:pt idx="32">
                  <c:v>1.62614317865459e-5</c:v>
                </c:pt>
                <c:pt idx="33">
                  <c:v>2.48704250853056e-5</c:v>
                </c:pt>
                <c:pt idx="34">
                  <c:v>2.7408223563398e-5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функции!$C$371</c:f>
              <c:strCache>
                <c:ptCount val="1"/>
                <c:pt idx="0">
                  <c:v>Расч. зн.</c:v>
                </c:pt>
              </c:strCache>
            </c:strRef>
          </c:tx>
          <c:spPr>
            <a:ln w="28575" cap="rnd" cmpd="sng" algn="ctr">
              <a:solidFill>
                <a:sysClr val="windowText" lastClr="000000"/>
              </a:solidFill>
              <a:prstDash val="solid"/>
              <a:round/>
            </a:ln>
          </c:spPr>
          <c:marker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функции!$A$372:$A$406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функции!$C$372:$C$406</c:f>
              <c:numCache>
                <c:formatCode>General</c:formatCode>
                <c:ptCount val="35"/>
                <c:pt idx="0">
                  <c:v>4.62600556165611e-5</c:v>
                </c:pt>
                <c:pt idx="1">
                  <c:v>2.19201551833588e-5</c:v>
                </c:pt>
                <c:pt idx="2">
                  <c:v>9.34452430358732e-5</c:v>
                </c:pt>
                <c:pt idx="3">
                  <c:v>0.000132670140023968</c:v>
                </c:pt>
                <c:pt idx="4">
                  <c:v>2.82217424633189e-5</c:v>
                </c:pt>
                <c:pt idx="5">
                  <c:v>5.51751762387267e-5</c:v>
                </c:pt>
                <c:pt idx="6">
                  <c:v>3.35995357387619e-5</c:v>
                </c:pt>
                <c:pt idx="7">
                  <c:v>2.12369123387958e-5</c:v>
                </c:pt>
                <c:pt idx="8">
                  <c:v>0.000144537227724569</c:v>
                </c:pt>
                <c:pt idx="9">
                  <c:v>3.08446640687735e-5</c:v>
                </c:pt>
                <c:pt idx="10">
                  <c:v>6.54362741315976e-5</c:v>
                </c:pt>
                <c:pt idx="11">
                  <c:v>4.00777872198321e-5</c:v>
                </c:pt>
                <c:pt idx="12">
                  <c:v>2.13158455947101e-5</c:v>
                </c:pt>
                <c:pt idx="13">
                  <c:v>1.94754720679427e-5</c:v>
                </c:pt>
                <c:pt idx="14">
                  <c:v>4.56434975980047e-5</c:v>
                </c:pt>
                <c:pt idx="15">
                  <c:v>5.64397410057587e-5</c:v>
                </c:pt>
                <c:pt idx="16">
                  <c:v>3.63651481640952e-5</c:v>
                </c:pt>
                <c:pt idx="17">
                  <c:v>5.71483486404365e-5</c:v>
                </c:pt>
                <c:pt idx="18">
                  <c:v>4.18051656372351e-5</c:v>
                </c:pt>
                <c:pt idx="19">
                  <c:v>1.84783488110301e-5</c:v>
                </c:pt>
                <c:pt idx="20">
                  <c:v>1.71579356001052e-5</c:v>
                </c:pt>
                <c:pt idx="21">
                  <c:v>7.83470674890321e-5</c:v>
                </c:pt>
                <c:pt idx="22">
                  <c:v>4.22067756305915e-5</c:v>
                </c:pt>
                <c:pt idx="23">
                  <c:v>0.000100590835864949</c:v>
                </c:pt>
                <c:pt idx="24">
                  <c:v>2.21770261600685e-5</c:v>
                </c:pt>
                <c:pt idx="25">
                  <c:v>4.5088903042013e-5</c:v>
                </c:pt>
                <c:pt idx="26">
                  <c:v>4.96674997976398e-5</c:v>
                </c:pt>
                <c:pt idx="27">
                  <c:v>1.74383811518846e-5</c:v>
                </c:pt>
                <c:pt idx="28">
                  <c:v>3.48413121690555e-5</c:v>
                </c:pt>
                <c:pt idx="29">
                  <c:v>0.000142830771694542</c:v>
                </c:pt>
                <c:pt idx="30">
                  <c:v>1.95952268132629e-5</c:v>
                </c:pt>
                <c:pt idx="31">
                  <c:v>2.6183299454536e-5</c:v>
                </c:pt>
                <c:pt idx="32">
                  <c:v>1.62670341809848e-5</c:v>
                </c:pt>
                <c:pt idx="33">
                  <c:v>2.51691677250294e-5</c:v>
                </c:pt>
                <c:pt idx="34">
                  <c:v>2.89087194983869e-5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52448"/>
        <c:axId val="81754368"/>
      </c:scatterChart>
      <c:valAx>
        <c:axId val="81752448"/>
        <c:scaling>
          <c:orientation val="minMax"/>
          <c:max val="35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1754368"/>
        <c:crosses val="autoZero"/>
        <c:crossBetween val="midCat"/>
      </c:valAx>
      <c:valAx>
        <c:axId val="81754368"/>
        <c:scaling>
          <c:orientation val="minMax"/>
          <c:max val="0.00016"/>
          <c:min val="0"/>
        </c:scaling>
        <c:delete val="0"/>
        <c:axPos val="l"/>
        <c:numFmt formatCode="0.0E+00" sourceLinked="0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175244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401778625936966"/>
          <c:y val="0.102004525584196"/>
          <c:w val="0.405530250411809"/>
          <c:h val="0.088637257048591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ru-RU"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883792982349"/>
          <c:y val="0.0557166630905957"/>
          <c:w val="0.834638725835468"/>
          <c:h val="0.803774340325475"/>
        </c:manualLayout>
      </c:layout>
      <c:scatterChart>
        <c:scatterStyle val="smoothMarker"/>
        <c:varyColors val="0"/>
        <c:ser>
          <c:idx val="0"/>
          <c:order val="0"/>
          <c:spPr>
            <a:ln w="28575" cap="rnd" cmpd="sng" algn="ctr">
              <a:solidFill>
                <a:sysClr val="windowText" lastClr="000000"/>
              </a:solidFill>
              <a:prstDash val="solid"/>
              <a:round/>
            </a:ln>
          </c:spPr>
          <c:marker>
            <c:symbol val="diamond"/>
            <c:size val="7"/>
            <c:spPr>
              <a:solidFill>
                <a:sysClr val="windowText" lastClr="000000"/>
              </a:solidFill>
              <a:ln w="9525" cap="flat" cmpd="sng" algn="ctr">
                <a:solidFill>
                  <a:sysClr val="windowText" lastClr="000000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0.278742073250782"/>
                  <c:y val="0.131566238054264"/>
                </c:manualLayout>
              </c:layout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</a:p>
              </c:txPr>
            </c:trendlineLbl>
          </c:trendline>
          <c:xVal>
            <c:numRef>
              <c:f>функции!$A$20:$A$29</c:f>
              <c:numCache>
                <c:formatCode>0.0</c:formatCode>
                <c:ptCount val="10"/>
                <c:pt idx="0">
                  <c:v>8.8888888888889</c:v>
                </c:pt>
                <c:pt idx="1">
                  <c:v>11.1111111111111</c:v>
                </c:pt>
                <c:pt idx="2">
                  <c:v>12.5</c:v>
                </c:pt>
                <c:pt idx="3">
                  <c:v>20</c:v>
                </c:pt>
                <c:pt idx="4">
                  <c:v>27.5</c:v>
                </c:pt>
                <c:pt idx="5">
                  <c:v>34.2857142857143</c:v>
                </c:pt>
                <c:pt idx="6">
                  <c:v>40</c:v>
                </c:pt>
                <c:pt idx="7">
                  <c:v>52.5</c:v>
                </c:pt>
                <c:pt idx="8">
                  <c:v>54.2857142857143</c:v>
                </c:pt>
                <c:pt idx="9">
                  <c:v>62.5</c:v>
                </c:pt>
              </c:numCache>
            </c:numRef>
          </c:xVal>
          <c:yVal>
            <c:numRef>
              <c:f>функции!$B$20:$B$29</c:f>
              <c:numCache>
                <c:formatCode>General</c:formatCode>
                <c:ptCount val="10"/>
                <c:pt idx="1">
                  <c:v>1.017314158788</c:v>
                </c:pt>
                <c:pt idx="2">
                  <c:v>1.05057651105715</c:v>
                </c:pt>
                <c:pt idx="3">
                  <c:v>1.08181833199517</c:v>
                </c:pt>
                <c:pt idx="4">
                  <c:v>1.13312510739865</c:v>
                </c:pt>
                <c:pt idx="5">
                  <c:v>1.19833819463617</c:v>
                </c:pt>
                <c:pt idx="6">
                  <c:v>1.23326644426548</c:v>
                </c:pt>
                <c:pt idx="7">
                  <c:v>1.2910500634762</c:v>
                </c:pt>
                <c:pt idx="8">
                  <c:v>1.32760869406898</c:v>
                </c:pt>
                <c:pt idx="9">
                  <c:v>1.37285079063421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86208"/>
        <c:axId val="81892096"/>
      </c:scatterChart>
      <c:valAx>
        <c:axId val="81886208"/>
        <c:scaling>
          <c:orientation val="minMax"/>
          <c:max val="63"/>
          <c:min val="8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1892096"/>
        <c:crosses val="autoZero"/>
        <c:crossBetween val="midCat"/>
        <c:majorUnit val="5"/>
      </c:valAx>
      <c:valAx>
        <c:axId val="81892096"/>
        <c:scaling>
          <c:orientation val="minMax"/>
          <c:max val="1.4"/>
          <c:min val="1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18862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функции!$A$150:$A$196</c:f>
              <c:numCache>
                <c:formatCode>0.0</c:formatCode>
                <c:ptCount val="47"/>
                <c:pt idx="0">
                  <c:v>7.5</c:v>
                </c:pt>
                <c:pt idx="1">
                  <c:v>8.8888888888889</c:v>
                </c:pt>
                <c:pt idx="2">
                  <c:v>8.8888888888889</c:v>
                </c:pt>
                <c:pt idx="3">
                  <c:v>8.8888888888889</c:v>
                </c:pt>
                <c:pt idx="4">
                  <c:v>11.1111111111111</c:v>
                </c:pt>
                <c:pt idx="5">
                  <c:v>11.1111111111111</c:v>
                </c:pt>
                <c:pt idx="6">
                  <c:v>11.1111111111111</c:v>
                </c:pt>
                <c:pt idx="7">
                  <c:v>11.1111111111111</c:v>
                </c:pt>
                <c:pt idx="8">
                  <c:v>12.5</c:v>
                </c:pt>
                <c:pt idx="9">
                  <c:v>13.3333333333333</c:v>
                </c:pt>
                <c:pt idx="10">
                  <c:v>13.3333333333333</c:v>
                </c:pt>
                <c:pt idx="11">
                  <c:v>15.5555555555556</c:v>
                </c:pt>
                <c:pt idx="12">
                  <c:v>16.4705882352941</c:v>
                </c:pt>
                <c:pt idx="13">
                  <c:v>17.5</c:v>
                </c:pt>
                <c:pt idx="14">
                  <c:v>17.5</c:v>
                </c:pt>
                <c:pt idx="15">
                  <c:v>17.5</c:v>
                </c:pt>
                <c:pt idx="16">
                  <c:v>20</c:v>
                </c:pt>
                <c:pt idx="17">
                  <c:v>20</c:v>
                </c:pt>
                <c:pt idx="18">
                  <c:v>22.5</c:v>
                </c:pt>
                <c:pt idx="19">
                  <c:v>22.5</c:v>
                </c:pt>
                <c:pt idx="20">
                  <c:v>24.7058823529412</c:v>
                </c:pt>
                <c:pt idx="21">
                  <c:v>25</c:v>
                </c:pt>
                <c:pt idx="22">
                  <c:v>25</c:v>
                </c:pt>
                <c:pt idx="23">
                  <c:v>27.5</c:v>
                </c:pt>
                <c:pt idx="24">
                  <c:v>30</c:v>
                </c:pt>
                <c:pt idx="25">
                  <c:v>32.5</c:v>
                </c:pt>
                <c:pt idx="26">
                  <c:v>32.5</c:v>
                </c:pt>
                <c:pt idx="27">
                  <c:v>34.2857142857143</c:v>
                </c:pt>
                <c:pt idx="28">
                  <c:v>35</c:v>
                </c:pt>
                <c:pt idx="29">
                  <c:v>35</c:v>
                </c:pt>
                <c:pt idx="30">
                  <c:v>35.5555555555556</c:v>
                </c:pt>
                <c:pt idx="31">
                  <c:v>37.5</c:v>
                </c:pt>
                <c:pt idx="32">
                  <c:v>37.5</c:v>
                </c:pt>
                <c:pt idx="33">
                  <c:v>40</c:v>
                </c:pt>
                <c:pt idx="34">
                  <c:v>40</c:v>
                </c:pt>
                <c:pt idx="35">
                  <c:v>42.5</c:v>
                </c:pt>
                <c:pt idx="36">
                  <c:v>45.7142857142857</c:v>
                </c:pt>
                <c:pt idx="37">
                  <c:v>47.5</c:v>
                </c:pt>
                <c:pt idx="38">
                  <c:v>48.5714285714286</c:v>
                </c:pt>
                <c:pt idx="39">
                  <c:v>51.4285714285714</c:v>
                </c:pt>
                <c:pt idx="40">
                  <c:v>52.5</c:v>
                </c:pt>
                <c:pt idx="41">
                  <c:v>53.3333333333333</c:v>
                </c:pt>
                <c:pt idx="42">
                  <c:v>54.2857142857143</c:v>
                </c:pt>
                <c:pt idx="43">
                  <c:v>60</c:v>
                </c:pt>
                <c:pt idx="44">
                  <c:v>62.5</c:v>
                </c:pt>
                <c:pt idx="45">
                  <c:v>62.5</c:v>
                </c:pt>
                <c:pt idx="46">
                  <c:v>62.8571428571429</c:v>
                </c:pt>
              </c:numCache>
            </c:numRef>
          </c:xVal>
          <c:yVal>
            <c:numRef>
              <c:f>функции!$B$150:$B$196</c:f>
              <c:numCache>
                <c:formatCode>General</c:formatCode>
                <c:ptCount val="47"/>
                <c:pt idx="0">
                  <c:v>0.943862731238816</c:v>
                </c:pt>
                <c:pt idx="1">
                  <c:v>0.905579347301888</c:v>
                </c:pt>
                <c:pt idx="2">
                  <c:v>0.952114679478278</c:v>
                </c:pt>
                <c:pt idx="3">
                  <c:v>0.884615449496208</c:v>
                </c:pt>
                <c:pt idx="4">
                  <c:v>1.017314158788</c:v>
                </c:pt>
                <c:pt idx="5">
                  <c:v>1.00705489774309</c:v>
                </c:pt>
                <c:pt idx="6">
                  <c:v>1.00705489774309</c:v>
                </c:pt>
                <c:pt idx="7">
                  <c:v>0.969321054815573</c:v>
                </c:pt>
                <c:pt idx="8">
                  <c:v>1.05057651105715</c:v>
                </c:pt>
                <c:pt idx="9">
                  <c:v>1.05057651105715</c:v>
                </c:pt>
                <c:pt idx="10">
                  <c:v>0.920343727774416</c:v>
                </c:pt>
                <c:pt idx="11">
                  <c:v>1.05057651105715</c:v>
                </c:pt>
                <c:pt idx="12">
                  <c:v>1.03903553773497</c:v>
                </c:pt>
                <c:pt idx="13">
                  <c:v>1.03903553773497</c:v>
                </c:pt>
                <c:pt idx="14">
                  <c:v>1.11736007329225</c:v>
                </c:pt>
                <c:pt idx="15">
                  <c:v>0.927989628694177</c:v>
                </c:pt>
                <c:pt idx="16">
                  <c:v>1.11736007329225</c:v>
                </c:pt>
                <c:pt idx="17">
                  <c:v>1.08181833199517</c:v>
                </c:pt>
                <c:pt idx="18">
                  <c:v>1.14998535885395</c:v>
                </c:pt>
                <c:pt idx="19">
                  <c:v>1.06263419653789</c:v>
                </c:pt>
                <c:pt idx="20">
                  <c:v>1.12678591526095</c:v>
                </c:pt>
                <c:pt idx="21">
                  <c:v>1.01213803126207</c:v>
                </c:pt>
                <c:pt idx="22">
                  <c:v>1.14998535885395</c:v>
                </c:pt>
                <c:pt idx="23">
                  <c:v>1.13312510739865</c:v>
                </c:pt>
                <c:pt idx="24">
                  <c:v>1.18781869533039</c:v>
                </c:pt>
                <c:pt idx="25">
                  <c:v>1.10253897836759</c:v>
                </c:pt>
                <c:pt idx="26">
                  <c:v>1.2910500634762</c:v>
                </c:pt>
                <c:pt idx="27">
                  <c:v>1.19833819463617</c:v>
                </c:pt>
                <c:pt idx="28">
                  <c:v>1.22099403323395</c:v>
                </c:pt>
                <c:pt idx="29">
                  <c:v>1.13415583390299</c:v>
                </c:pt>
                <c:pt idx="30">
                  <c:v>1.33207804802924</c:v>
                </c:pt>
                <c:pt idx="31">
                  <c:v>1.2910500634762</c:v>
                </c:pt>
                <c:pt idx="32">
                  <c:v>1.18781869533039</c:v>
                </c:pt>
                <c:pt idx="33">
                  <c:v>1.23326644426548</c:v>
                </c:pt>
                <c:pt idx="34">
                  <c:v>1.13312510739865</c:v>
                </c:pt>
                <c:pt idx="35">
                  <c:v>1.16813318340363</c:v>
                </c:pt>
                <c:pt idx="36">
                  <c:v>1.22099403323395</c:v>
                </c:pt>
                <c:pt idx="37">
                  <c:v>1.2601543639</c:v>
                </c:pt>
                <c:pt idx="38">
                  <c:v>1.26360459932349</c:v>
                </c:pt>
                <c:pt idx="39">
                  <c:v>1.22099403323395</c:v>
                </c:pt>
                <c:pt idx="40">
                  <c:v>1.2910500634762</c:v>
                </c:pt>
                <c:pt idx="41">
                  <c:v>1.24302053352523</c:v>
                </c:pt>
                <c:pt idx="42">
                  <c:v>1.32760869406898</c:v>
                </c:pt>
                <c:pt idx="43">
                  <c:v>1.37285079063421</c:v>
                </c:pt>
                <c:pt idx="44">
                  <c:v>1.36456440673705</c:v>
                </c:pt>
                <c:pt idx="45">
                  <c:v>1.37285079063421</c:v>
                </c:pt>
                <c:pt idx="46">
                  <c:v>1.37285079063421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97120"/>
        <c:axId val="81798656"/>
      </c:scatterChart>
      <c:valAx>
        <c:axId val="81797120"/>
        <c:scaling>
          <c:orientation val="minMax"/>
          <c:max val="64"/>
          <c:min val="7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798656"/>
        <c:crosses val="autoZero"/>
        <c:crossBetween val="midCat"/>
      </c:valAx>
      <c:valAx>
        <c:axId val="81798656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7971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 cmpd="sng" algn="ctr">
              <a:solidFill>
                <a:schemeClr val="tx1"/>
              </a:solidFill>
              <a:prstDash val="solid"/>
              <a:round/>
            </a:ln>
          </c:spPr>
          <c:marker>
            <c:spPr>
              <a:solidFill>
                <a:schemeClr val="tx1"/>
              </a:solidFill>
              <a:ln w="9525" cap="flat" cmpd="sng" algn="ctr">
                <a:solidFill>
                  <a:prstClr val="black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trendlineType val="linear"/>
            <c:dispRSqr val="0"/>
            <c:dispEq val="1"/>
            <c:trendlineLbl>
              <c:layout>
                <c:manualLayout>
                  <c:x val="-0.224888888888889"/>
                  <c:y val="0.121001519141502"/>
                </c:manualLayout>
              </c:layout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</a:p>
              </c:txPr>
            </c:trendlineLbl>
          </c:trendline>
          <c:xVal>
            <c:numRef>
              <c:f>функции!$A$305:$A$308</c:f>
              <c:numCache>
                <c:formatCode>0.0</c:formatCode>
                <c:ptCount val="4"/>
                <c:pt idx="0">
                  <c:v>24.7058823529412</c:v>
                </c:pt>
                <c:pt idx="1">
                  <c:v>25</c:v>
                </c:pt>
                <c:pt idx="2">
                  <c:v>37.5</c:v>
                </c:pt>
                <c:pt idx="3">
                  <c:v>60</c:v>
                </c:pt>
              </c:numCache>
            </c:numRef>
          </c:xVal>
          <c:yVal>
            <c:numRef>
              <c:f>функции!$B$305:$B$308</c:f>
              <c:numCache>
                <c:formatCode>General</c:formatCode>
                <c:ptCount val="4"/>
                <c:pt idx="0">
                  <c:v>1.12678591526095</c:v>
                </c:pt>
                <c:pt idx="1">
                  <c:v>1.14998535885395</c:v>
                </c:pt>
                <c:pt idx="2">
                  <c:v>1.18781869533039</c:v>
                </c:pt>
                <c:pt idx="3">
                  <c:v>1.37285079063421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28096"/>
        <c:axId val="81846272"/>
      </c:scatterChart>
      <c:valAx>
        <c:axId val="81828096"/>
        <c:scaling>
          <c:orientation val="minMax"/>
          <c:max val="60"/>
          <c:min val="20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1846272"/>
        <c:crosses val="autoZero"/>
        <c:crossBetween val="midCat"/>
      </c:valAx>
      <c:valAx>
        <c:axId val="81846272"/>
        <c:scaling>
          <c:orientation val="minMax"/>
          <c:max val="1.4"/>
          <c:min val="1.1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18280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 cmpd="sng" algn="ctr">
              <a:solidFill>
                <a:prstClr val="black"/>
              </a:solidFill>
              <a:prstDash val="solid"/>
              <a:round/>
            </a:ln>
          </c:spPr>
          <c:marker>
            <c:spPr>
              <a:solidFill>
                <a:sysClr val="windowText" lastClr="000000"/>
              </a:solidFill>
              <a:ln w="9525" cap="flat" cmpd="sng" algn="ctr">
                <a:solidFill>
                  <a:prstClr val="black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trendlineType val="linear"/>
            <c:dispRSqr val="0"/>
            <c:dispEq val="1"/>
            <c:trendlineLbl>
              <c:layout>
                <c:manualLayout>
                  <c:x val="-0.243609361329834"/>
                  <c:y val="0.013690016355345"/>
                </c:manualLayout>
              </c:layout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</a:p>
              </c:txPr>
            </c:trendlineLbl>
          </c:trendline>
          <c:xVal>
            <c:numRef>
              <c:f>функции!$A$60:$A$69</c:f>
              <c:numCache>
                <c:formatCode>0.0</c:formatCode>
                <c:ptCount val="10"/>
                <c:pt idx="0">
                  <c:v>8.8888888888889</c:v>
                </c:pt>
                <c:pt idx="1">
                  <c:v>11.1111111111111</c:v>
                </c:pt>
                <c:pt idx="2">
                  <c:v>13.3333333333333</c:v>
                </c:pt>
                <c:pt idx="3">
                  <c:v>16.4705882352941</c:v>
                </c:pt>
                <c:pt idx="4">
                  <c:v>17.5</c:v>
                </c:pt>
                <c:pt idx="5">
                  <c:v>22.5</c:v>
                </c:pt>
                <c:pt idx="6">
                  <c:v>32.5</c:v>
                </c:pt>
                <c:pt idx="7">
                  <c:v>40</c:v>
                </c:pt>
                <c:pt idx="8">
                  <c:v>42.5</c:v>
                </c:pt>
                <c:pt idx="9">
                  <c:v>48.5714285714286</c:v>
                </c:pt>
              </c:numCache>
            </c:numRef>
          </c:xVal>
          <c:yVal>
            <c:numRef>
              <c:f>функции!$B$60:$B$69</c:f>
              <c:numCache>
                <c:formatCode>General</c:formatCode>
                <c:ptCount val="10"/>
                <c:pt idx="0">
                  <c:v>0.952114679478278</c:v>
                </c:pt>
                <c:pt idx="1">
                  <c:v>1.00705489774309</c:v>
                </c:pt>
                <c:pt idx="2">
                  <c:v>1.05057651105715</c:v>
                </c:pt>
                <c:pt idx="3">
                  <c:v>1.03903553773497</c:v>
                </c:pt>
                <c:pt idx="4">
                  <c:v>1.03903553773497</c:v>
                </c:pt>
                <c:pt idx="5">
                  <c:v>1.06263419653789</c:v>
                </c:pt>
                <c:pt idx="6">
                  <c:v>1.10253897836759</c:v>
                </c:pt>
                <c:pt idx="7">
                  <c:v>1.13312510739865</c:v>
                </c:pt>
                <c:pt idx="8">
                  <c:v>1.16813318340363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53824"/>
        <c:axId val="81941632"/>
      </c:scatterChart>
      <c:valAx>
        <c:axId val="81853824"/>
        <c:scaling>
          <c:orientation val="minMax"/>
          <c:max val="49"/>
          <c:min val="8"/>
        </c:scaling>
        <c:delete val="0"/>
        <c:axPos val="b"/>
        <c:numFmt formatCode="0.0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1941632"/>
        <c:crosses val="autoZero"/>
        <c:crossBetween val="midCat"/>
      </c:valAx>
      <c:valAx>
        <c:axId val="81941632"/>
        <c:scaling>
          <c:orientation val="minMax"/>
          <c:max val="1.3"/>
          <c:min val="0.950000000000001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18538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 cmpd="sng" algn="ctr">
              <a:solidFill>
                <a:prstClr val="black"/>
              </a:solidFill>
              <a:prstDash val="solid"/>
              <a:round/>
            </a:ln>
          </c:spPr>
          <c:marker>
            <c:spPr>
              <a:solidFill>
                <a:sysClr val="windowText" lastClr="000000"/>
              </a:solidFill>
              <a:ln w="9525" cap="flat" cmpd="sng" algn="ctr">
                <a:solidFill>
                  <a:prstClr val="black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функции!$A$86:$A$90</c:f>
              <c:numCache>
                <c:formatCode>0.0</c:formatCode>
                <c:ptCount val="5"/>
                <c:pt idx="0">
                  <c:v>15.5555555555556</c:v>
                </c:pt>
                <c:pt idx="1">
                  <c:v>30</c:v>
                </c:pt>
                <c:pt idx="2">
                  <c:v>35</c:v>
                </c:pt>
                <c:pt idx="3">
                  <c:v>47.5</c:v>
                </c:pt>
                <c:pt idx="4">
                  <c:v>62.8571428571429</c:v>
                </c:pt>
              </c:numCache>
            </c:numRef>
          </c:xVal>
          <c:yVal>
            <c:numRef>
              <c:f>функции!$B$86:$B$90</c:f>
              <c:numCache>
                <c:formatCode>General</c:formatCode>
                <c:ptCount val="5"/>
                <c:pt idx="0">
                  <c:v>1.05057651105715</c:v>
                </c:pt>
                <c:pt idx="1">
                  <c:v>1.18781869533039</c:v>
                </c:pt>
                <c:pt idx="2">
                  <c:v>1.22099403323395</c:v>
                </c:pt>
                <c:pt idx="3">
                  <c:v>1.2601543639</c:v>
                </c:pt>
                <c:pt idx="4">
                  <c:v>1.37285079063421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53536"/>
        <c:axId val="81955072"/>
      </c:scatterChart>
      <c:valAx>
        <c:axId val="81953536"/>
        <c:scaling>
          <c:orientation val="minMax"/>
          <c:max val="64"/>
          <c:min val="14"/>
        </c:scaling>
        <c:delete val="0"/>
        <c:axPos val="b"/>
        <c:numFmt formatCode="0.0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1955072"/>
        <c:crosses val="autoZero"/>
        <c:crossBetween val="midCat"/>
        <c:majorUnit val="5"/>
      </c:valAx>
      <c:valAx>
        <c:axId val="81955072"/>
        <c:scaling>
          <c:orientation val="minMax"/>
          <c:max val="1.4"/>
          <c:min val="1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195353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функции!$A$37:$A$41</c:f>
              <c:numCache>
                <c:formatCode>0.0</c:formatCode>
                <c:ptCount val="5"/>
                <c:pt idx="0">
                  <c:v>8.8888888888889</c:v>
                </c:pt>
                <c:pt idx="1">
                  <c:v>22.5</c:v>
                </c:pt>
                <c:pt idx="2">
                  <c:v>25</c:v>
                </c:pt>
                <c:pt idx="3">
                  <c:v>37.5</c:v>
                </c:pt>
                <c:pt idx="4">
                  <c:v>60</c:v>
                </c:pt>
              </c:numCache>
            </c:numRef>
          </c:xVal>
          <c:yVal>
            <c:numRef>
              <c:f>функции!$B$37:$B$41</c:f>
              <c:numCache>
                <c:formatCode>General</c:formatCode>
                <c:ptCount val="5"/>
                <c:pt idx="0">
                  <c:v>0.884615449496208</c:v>
                </c:pt>
                <c:pt idx="1">
                  <c:v>1.14998535885395</c:v>
                </c:pt>
                <c:pt idx="2">
                  <c:v>1.14998535885395</c:v>
                </c:pt>
                <c:pt idx="3">
                  <c:v>1.18781869533039</c:v>
                </c:pt>
                <c:pt idx="4">
                  <c:v>1.37285079063421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08416"/>
        <c:axId val="80509952"/>
      </c:scatterChart>
      <c:valAx>
        <c:axId val="80508416"/>
        <c:scaling>
          <c:orientation val="minMax"/>
          <c:max val="64"/>
          <c:min val="8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509952"/>
        <c:crosses val="autoZero"/>
        <c:crossBetween val="midCat"/>
      </c:valAx>
      <c:valAx>
        <c:axId val="80509952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5084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 cmpd="sng" algn="ctr">
              <a:solidFill>
                <a:prstClr val="black"/>
              </a:solidFill>
              <a:prstDash val="solid"/>
              <a:round/>
            </a:ln>
          </c:spPr>
          <c:marker>
            <c:spPr>
              <a:solidFill>
                <a:sysClr val="windowText" lastClr="000000"/>
              </a:solidFill>
              <a:ln w="9525" cap="flat" cmpd="sng" algn="ctr">
                <a:solidFill>
                  <a:prstClr val="black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функции!$A$318:$A$322</c:f>
              <c:numCache>
                <c:formatCode>0.0</c:formatCode>
                <c:ptCount val="5"/>
                <c:pt idx="0">
                  <c:v>7.5</c:v>
                </c:pt>
                <c:pt idx="1">
                  <c:v>11.1111111111111</c:v>
                </c:pt>
                <c:pt idx="2">
                  <c:v>35</c:v>
                </c:pt>
                <c:pt idx="3">
                  <c:v>53.3333333333333</c:v>
                </c:pt>
                <c:pt idx="4">
                  <c:v>62.5</c:v>
                </c:pt>
              </c:numCache>
            </c:numRef>
          </c:xVal>
          <c:yVal>
            <c:numRef>
              <c:f>функции!$B$318:$B$322</c:f>
              <c:numCache>
                <c:formatCode>General</c:formatCode>
                <c:ptCount val="5"/>
                <c:pt idx="0">
                  <c:v>0.943862731238816</c:v>
                </c:pt>
                <c:pt idx="1">
                  <c:v>1.00705489774309</c:v>
                </c:pt>
                <c:pt idx="2">
                  <c:v>1.13415583390299</c:v>
                </c:pt>
                <c:pt idx="3">
                  <c:v>1.24302053352523</c:v>
                </c:pt>
                <c:pt idx="4">
                  <c:v>1.36456440673705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52992"/>
        <c:axId val="82054528"/>
      </c:scatterChart>
      <c:valAx>
        <c:axId val="82052992"/>
        <c:scaling>
          <c:orientation val="minMax"/>
          <c:max val="65"/>
          <c:min val="5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2054528"/>
        <c:crosses val="autoZero"/>
        <c:crossBetween val="midCat"/>
        <c:majorUnit val="5"/>
      </c:valAx>
      <c:valAx>
        <c:axId val="82054528"/>
        <c:scaling>
          <c:orientation val="minMax"/>
          <c:max val="1.4"/>
          <c:min val="0.9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20529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37994254749214"/>
          <c:y val="0.0527346255501995"/>
          <c:w val="0.879351507182352"/>
          <c:h val="0.82827530674473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функции!$O$371</c:f>
              <c:strCache>
                <c:ptCount val="1"/>
                <c:pt idx="0">
                  <c:v>Практ. зн.</c:v>
                </c:pt>
              </c:strCache>
            </c:strRef>
          </c:tx>
          <c:spPr>
            <a:ln w="28575" cap="rnd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  <c:marker>
            <c:spPr>
              <a:solidFill>
                <a:schemeClr val="bg1">
                  <a:lumMod val="65000"/>
                </a:schemeClr>
              </a:solidFill>
              <a:ln w="9525" cap="flat" cmpd="sng" algn="ctr">
                <a:solidFill>
                  <a:prstClr val="white">
                    <a:lumMod val="65000"/>
                  </a:prstClr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функции!$N$372:$N$408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функции!$O$372:$O$408</c:f>
              <c:numCache>
                <c:formatCode>General</c:formatCode>
                <c:ptCount val="37"/>
                <c:pt idx="0">
                  <c:v>1.18496742857143</c:v>
                </c:pt>
                <c:pt idx="1">
                  <c:v>1.0356225965</c:v>
                </c:pt>
                <c:pt idx="2">
                  <c:v>1.307586</c:v>
                </c:pt>
                <c:pt idx="3">
                  <c:v>1.363518054</c:v>
                </c:pt>
                <c:pt idx="4">
                  <c:v>1.088796</c:v>
                </c:pt>
                <c:pt idx="5">
                  <c:v>1.21714285714286</c:v>
                </c:pt>
                <c:pt idx="6">
                  <c:v>1.1097111515</c:v>
                </c:pt>
                <c:pt idx="7">
                  <c:v>1.028956</c:v>
                </c:pt>
                <c:pt idx="8">
                  <c:v>1.37672673428571</c:v>
                </c:pt>
                <c:pt idx="9">
                  <c:v>1.12898310105882</c:v>
                </c:pt>
                <c:pt idx="10">
                  <c:v>1.335654926</c:v>
                </c:pt>
                <c:pt idx="11">
                  <c:v>1.27249893933333</c:v>
                </c:pt>
                <c:pt idx="12">
                  <c:v>1.03053808782353</c:v>
                </c:pt>
                <c:pt idx="13">
                  <c:v>1.01</c:v>
                </c:pt>
                <c:pt idx="14">
                  <c:v>1.1591035215</c:v>
                </c:pt>
                <c:pt idx="15">
                  <c:v>1.22120589342857</c:v>
                </c:pt>
                <c:pt idx="16">
                  <c:v>1.139286</c:v>
                </c:pt>
                <c:pt idx="17">
                  <c:v>1.223436</c:v>
                </c:pt>
                <c:pt idx="18">
                  <c:v>1.16600103</c:v>
                </c:pt>
                <c:pt idx="19">
                  <c:v>1.00406636011111</c:v>
                </c:pt>
                <c:pt idx="20">
                  <c:v>0.981598637111111</c:v>
                </c:pt>
                <c:pt idx="21">
                  <c:v>1.2782353725</c:v>
                </c:pt>
                <c:pt idx="22">
                  <c:v>1.146755429</c:v>
                </c:pt>
                <c:pt idx="23">
                  <c:v>1.31960742857143</c:v>
                </c:pt>
                <c:pt idx="24">
                  <c:v>1.038306</c:v>
                </c:pt>
                <c:pt idx="25">
                  <c:v>1.198067985</c:v>
                </c:pt>
                <c:pt idx="26">
                  <c:v>0.993090277888889</c:v>
                </c:pt>
                <c:pt idx="27">
                  <c:v>1.130937559</c:v>
                </c:pt>
                <c:pt idx="28">
                  <c:v>1.374906</c:v>
                </c:pt>
                <c:pt idx="29">
                  <c:v>1.01504244233333</c:v>
                </c:pt>
                <c:pt idx="30">
                  <c:v>1.07336316</c:v>
                </c:pt>
                <c:pt idx="31">
                  <c:v>0.969400344444444</c:v>
                </c:pt>
                <c:pt idx="32">
                  <c:v>1.0603187815</c:v>
                </c:pt>
                <c:pt idx="33">
                  <c:v>1.146186966</c:v>
                </c:pt>
                <c:pt idx="34">
                  <c:v>1.2140020215</c:v>
                </c:pt>
                <c:pt idx="35">
                  <c:v>0.956719006</c:v>
                </c:pt>
                <c:pt idx="36">
                  <c:v>0.9206401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функции!$P$371</c:f>
              <c:strCache>
                <c:ptCount val="1"/>
                <c:pt idx="0">
                  <c:v>Расч. зн.</c:v>
                </c:pt>
              </c:strCache>
            </c:strRef>
          </c:tx>
          <c:spPr>
            <a:ln w="28575" cap="rnd" cmpd="sng" algn="ctr">
              <a:solidFill>
                <a:prstClr val="black"/>
              </a:solidFill>
              <a:prstDash val="solid"/>
              <a:round/>
            </a:ln>
          </c:spPr>
          <c:marker>
            <c:spPr>
              <a:solidFill>
                <a:sysClr val="windowText" lastClr="000000"/>
              </a:solidFill>
              <a:ln w="9525" cap="flat" cmpd="sng" algn="ctr">
                <a:solidFill>
                  <a:prstClr val="black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функции!$N$372:$N$408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функции!$P$372:$P$408</c:f>
              <c:numCache>
                <c:formatCode>General</c:formatCode>
                <c:ptCount val="37"/>
                <c:pt idx="0">
                  <c:v>1.19833819463617</c:v>
                </c:pt>
                <c:pt idx="1">
                  <c:v>1.03903553773497</c:v>
                </c:pt>
                <c:pt idx="2">
                  <c:v>1.2910500634762</c:v>
                </c:pt>
                <c:pt idx="3">
                  <c:v>1.37285079063421</c:v>
                </c:pt>
                <c:pt idx="4">
                  <c:v>1.08181833199517</c:v>
                </c:pt>
                <c:pt idx="5">
                  <c:v>1.22099403323395</c:v>
                </c:pt>
                <c:pt idx="6">
                  <c:v>1.10253897836759</c:v>
                </c:pt>
                <c:pt idx="7">
                  <c:v>1.017314158788</c:v>
                </c:pt>
                <c:pt idx="8">
                  <c:v>1.37285079063421</c:v>
                </c:pt>
                <c:pt idx="9">
                  <c:v>1.12678591526095</c:v>
                </c:pt>
                <c:pt idx="10">
                  <c:v>1.36456440673705</c:v>
                </c:pt>
                <c:pt idx="11">
                  <c:v>1.24302053352523</c:v>
                </c:pt>
                <c:pt idx="12">
                  <c:v>1.03903553773497</c:v>
                </c:pt>
                <c:pt idx="13">
                  <c:v>1.01213803126207</c:v>
                </c:pt>
                <c:pt idx="14">
                  <c:v>1.16813318340363</c:v>
                </c:pt>
                <c:pt idx="15">
                  <c:v>1.22099403323395</c:v>
                </c:pt>
                <c:pt idx="16">
                  <c:v>1.13312510739865</c:v>
                </c:pt>
                <c:pt idx="17">
                  <c:v>1.23326644426548</c:v>
                </c:pt>
                <c:pt idx="18">
                  <c:v>1.18781869533039</c:v>
                </c:pt>
                <c:pt idx="19">
                  <c:v>1.00705489774309</c:v>
                </c:pt>
                <c:pt idx="20">
                  <c:v>1.00705489774309</c:v>
                </c:pt>
                <c:pt idx="21">
                  <c:v>1.2601543639</c:v>
                </c:pt>
                <c:pt idx="22">
                  <c:v>1.13312510739865</c:v>
                </c:pt>
                <c:pt idx="23">
                  <c:v>1.32760869406898</c:v>
                </c:pt>
                <c:pt idx="24">
                  <c:v>1.05057651105715</c:v>
                </c:pt>
                <c:pt idx="25">
                  <c:v>1.22099403323395</c:v>
                </c:pt>
                <c:pt idx="26">
                  <c:v>0.952114679478278</c:v>
                </c:pt>
                <c:pt idx="27">
                  <c:v>1.14998535885395</c:v>
                </c:pt>
                <c:pt idx="28">
                  <c:v>1.37285079063421</c:v>
                </c:pt>
                <c:pt idx="29">
                  <c:v>1.05057651105715</c:v>
                </c:pt>
                <c:pt idx="30">
                  <c:v>1.05057651105715</c:v>
                </c:pt>
                <c:pt idx="31">
                  <c:v>0.969321054815573</c:v>
                </c:pt>
                <c:pt idx="32">
                  <c:v>1.06263419653789</c:v>
                </c:pt>
                <c:pt idx="33">
                  <c:v>1.13415583390299</c:v>
                </c:pt>
                <c:pt idx="34">
                  <c:v>1.18781869533039</c:v>
                </c:pt>
                <c:pt idx="35">
                  <c:v>0.943862731238816</c:v>
                </c:pt>
                <c:pt idx="36">
                  <c:v>0.920343727774416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90624"/>
        <c:axId val="82100992"/>
      </c:scatterChart>
      <c:valAx>
        <c:axId val="8209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2100992"/>
        <c:crosses val="autoZero"/>
        <c:crossBetween val="midCat"/>
      </c:valAx>
      <c:valAx>
        <c:axId val="82100992"/>
        <c:scaling>
          <c:orientation val="minMax"/>
          <c:max val="1.4"/>
          <c:min val="0.9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820906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01029659620694"/>
          <c:y val="0.751344807377358"/>
          <c:w val="0.426819553805775"/>
          <c:h val="0.100533210561885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ru-RU"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5788401162"/>
          <c:y val="0.043539306326789"/>
          <c:w val="0.839258663512372"/>
          <c:h val="0.7876306276457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диаграммы!$B$38</c:f>
              <c:strCache>
                <c:ptCount val="1"/>
                <c:pt idx="0">
                  <c:v>Интенсивность отказов (по старой методике)</c:v>
                </c:pt>
              </c:strCache>
            </c:strRef>
          </c:tx>
          <c:invertIfNegative val="0"/>
          <c:dLbls>
            <c:delete val="1"/>
          </c:dLbls>
          <c:cat>
            <c:numRef>
              <c:f>диаграммы!$A$3:$A$36</c:f>
              <c:numCache>
                <c:formatCode>General</c:formatCode>
                <c:ptCount val="34"/>
                <c:pt idx="0">
                  <c:v>3</c:v>
                </c:pt>
                <c:pt idx="1">
                  <c:v>5</c:v>
                </c:pt>
                <c:pt idx="2">
                  <c:v>44</c:v>
                </c:pt>
                <c:pt idx="3">
                  <c:v>43</c:v>
                </c:pt>
                <c:pt idx="4">
                  <c:v>38</c:v>
                </c:pt>
                <c:pt idx="5">
                  <c:v>56</c:v>
                </c:pt>
                <c:pt idx="6">
                  <c:v>55</c:v>
                </c:pt>
                <c:pt idx="7">
                  <c:v>7</c:v>
                </c:pt>
                <c:pt idx="8">
                  <c:v>13</c:v>
                </c:pt>
                <c:pt idx="9">
                  <c:v>46</c:v>
                </c:pt>
                <c:pt idx="10">
                  <c:v>45</c:v>
                </c:pt>
                <c:pt idx="11">
                  <c:v>25</c:v>
                </c:pt>
                <c:pt idx="12">
                  <c:v>27</c:v>
                </c:pt>
                <c:pt idx="13">
                  <c:v>32</c:v>
                </c:pt>
                <c:pt idx="14">
                  <c:v>52</c:v>
                </c:pt>
                <c:pt idx="15">
                  <c:v>51</c:v>
                </c:pt>
                <c:pt idx="16">
                  <c:v>15</c:v>
                </c:pt>
                <c:pt idx="17">
                  <c:v>62</c:v>
                </c:pt>
                <c:pt idx="18">
                  <c:v>69</c:v>
                </c:pt>
                <c:pt idx="19">
                  <c:v>11</c:v>
                </c:pt>
                <c:pt idx="20">
                  <c:v>64</c:v>
                </c:pt>
                <c:pt idx="21">
                  <c:v>20</c:v>
                </c:pt>
                <c:pt idx="22">
                  <c:v>48</c:v>
                </c:pt>
                <c:pt idx="23">
                  <c:v>47</c:v>
                </c:pt>
                <c:pt idx="24">
                  <c:v>22</c:v>
                </c:pt>
                <c:pt idx="25">
                  <c:v>42</c:v>
                </c:pt>
                <c:pt idx="26">
                  <c:v>54</c:v>
                </c:pt>
                <c:pt idx="27">
                  <c:v>53</c:v>
                </c:pt>
                <c:pt idx="28">
                  <c:v>39</c:v>
                </c:pt>
                <c:pt idx="29">
                  <c:v>23</c:v>
                </c:pt>
                <c:pt idx="30">
                  <c:v>34</c:v>
                </c:pt>
                <c:pt idx="31">
                  <c:v>50</c:v>
                </c:pt>
                <c:pt idx="32">
                  <c:v>49</c:v>
                </c:pt>
                <c:pt idx="33">
                  <c:v>36</c:v>
                </c:pt>
              </c:numCache>
            </c:numRef>
          </c:cat>
          <c:val>
            <c:numRef>
              <c:f>диаграммы!$B$3:$B$36</c:f>
              <c:numCache>
                <c:formatCode>General</c:formatCode>
                <c:ptCount val="34"/>
                <c:pt idx="0">
                  <c:v>2.25651588974132e-5</c:v>
                </c:pt>
                <c:pt idx="1">
                  <c:v>1.14e-5</c:v>
                </c:pt>
                <c:pt idx="2">
                  <c:v>2.28e-7</c:v>
                </c:pt>
                <c:pt idx="3">
                  <c:v>2.25651588974132e-5</c:v>
                </c:pt>
                <c:pt idx="4">
                  <c:v>1.14e-5</c:v>
                </c:pt>
                <c:pt idx="5">
                  <c:v>2.28e-7</c:v>
                </c:pt>
                <c:pt idx="6">
                  <c:v>2.25651588974132e-5</c:v>
                </c:pt>
                <c:pt idx="7">
                  <c:v>1.14e-5</c:v>
                </c:pt>
                <c:pt idx="8">
                  <c:v>1.14e-5</c:v>
                </c:pt>
                <c:pt idx="9">
                  <c:v>2.28e-7</c:v>
                </c:pt>
                <c:pt idx="10">
                  <c:v>1.14e-5</c:v>
                </c:pt>
                <c:pt idx="11">
                  <c:v>1.14e-5</c:v>
                </c:pt>
                <c:pt idx="12">
                  <c:v>1.14e-5</c:v>
                </c:pt>
                <c:pt idx="13">
                  <c:v>1.14e-5</c:v>
                </c:pt>
                <c:pt idx="14">
                  <c:v>2.28e-7</c:v>
                </c:pt>
                <c:pt idx="15">
                  <c:v>1.14e-5</c:v>
                </c:pt>
                <c:pt idx="16">
                  <c:v>1.14e-5</c:v>
                </c:pt>
                <c:pt idx="17">
                  <c:v>1.14e-5</c:v>
                </c:pt>
                <c:pt idx="18">
                  <c:v>1.14e-5</c:v>
                </c:pt>
                <c:pt idx="19">
                  <c:v>1.14e-5</c:v>
                </c:pt>
                <c:pt idx="20">
                  <c:v>1.14e-5</c:v>
                </c:pt>
                <c:pt idx="21">
                  <c:v>1.14e-5</c:v>
                </c:pt>
                <c:pt idx="22">
                  <c:v>2.28e-7</c:v>
                </c:pt>
                <c:pt idx="23">
                  <c:v>1.14e-5</c:v>
                </c:pt>
                <c:pt idx="24">
                  <c:v>1.14e-5</c:v>
                </c:pt>
                <c:pt idx="25">
                  <c:v>1.14e-5</c:v>
                </c:pt>
                <c:pt idx="26">
                  <c:v>2.28e-7</c:v>
                </c:pt>
                <c:pt idx="27">
                  <c:v>1.14e-5</c:v>
                </c:pt>
                <c:pt idx="28">
                  <c:v>1.14e-5</c:v>
                </c:pt>
                <c:pt idx="29">
                  <c:v>1.45037598565491e-5</c:v>
                </c:pt>
                <c:pt idx="30">
                  <c:v>1.14e-5</c:v>
                </c:pt>
                <c:pt idx="31">
                  <c:v>2.28e-7</c:v>
                </c:pt>
                <c:pt idx="32">
                  <c:v>1.57289181406578e-5</c:v>
                </c:pt>
                <c:pt idx="33">
                  <c:v>1.80677823940567e-5</c:v>
                </c:pt>
              </c:numCache>
            </c:numRef>
          </c:val>
        </c:ser>
        <c:ser>
          <c:idx val="1"/>
          <c:order val="1"/>
          <c:tx>
            <c:strRef>
              <c:f>диаграммы!$B$39</c:f>
              <c:strCache>
                <c:ptCount val="1"/>
                <c:pt idx="0">
                  <c:v>Интенсивность отказов (по новой методике)</c:v>
                </c:pt>
              </c:strCache>
            </c:strRef>
          </c:tx>
          <c:invertIfNegative val="0"/>
          <c:dLbls>
            <c:delete val="1"/>
          </c:dLbls>
          <c:cat>
            <c:numRef>
              <c:f>диаграммы!$A$3:$A$36</c:f>
              <c:numCache>
                <c:formatCode>General</c:formatCode>
                <c:ptCount val="34"/>
                <c:pt idx="0">
                  <c:v>3</c:v>
                </c:pt>
                <c:pt idx="1">
                  <c:v>5</c:v>
                </c:pt>
                <c:pt idx="2">
                  <c:v>44</c:v>
                </c:pt>
                <c:pt idx="3">
                  <c:v>43</c:v>
                </c:pt>
                <c:pt idx="4">
                  <c:v>38</c:v>
                </c:pt>
                <c:pt idx="5">
                  <c:v>56</c:v>
                </c:pt>
                <c:pt idx="6">
                  <c:v>55</c:v>
                </c:pt>
                <c:pt idx="7">
                  <c:v>7</c:v>
                </c:pt>
                <c:pt idx="8">
                  <c:v>13</c:v>
                </c:pt>
                <c:pt idx="9">
                  <c:v>46</c:v>
                </c:pt>
                <c:pt idx="10">
                  <c:v>45</c:v>
                </c:pt>
                <c:pt idx="11">
                  <c:v>25</c:v>
                </c:pt>
                <c:pt idx="12">
                  <c:v>27</c:v>
                </c:pt>
                <c:pt idx="13">
                  <c:v>32</c:v>
                </c:pt>
                <c:pt idx="14">
                  <c:v>52</c:v>
                </c:pt>
                <c:pt idx="15">
                  <c:v>51</c:v>
                </c:pt>
                <c:pt idx="16">
                  <c:v>15</c:v>
                </c:pt>
                <c:pt idx="17">
                  <c:v>62</c:v>
                </c:pt>
                <c:pt idx="18">
                  <c:v>69</c:v>
                </c:pt>
                <c:pt idx="19">
                  <c:v>11</c:v>
                </c:pt>
                <c:pt idx="20">
                  <c:v>64</c:v>
                </c:pt>
                <c:pt idx="21">
                  <c:v>20</c:v>
                </c:pt>
                <c:pt idx="22">
                  <c:v>48</c:v>
                </c:pt>
                <c:pt idx="23">
                  <c:v>47</c:v>
                </c:pt>
                <c:pt idx="24">
                  <c:v>22</c:v>
                </c:pt>
                <c:pt idx="25">
                  <c:v>42</c:v>
                </c:pt>
                <c:pt idx="26">
                  <c:v>54</c:v>
                </c:pt>
                <c:pt idx="27">
                  <c:v>53</c:v>
                </c:pt>
                <c:pt idx="28">
                  <c:v>39</c:v>
                </c:pt>
                <c:pt idx="29">
                  <c:v>23</c:v>
                </c:pt>
                <c:pt idx="30">
                  <c:v>34</c:v>
                </c:pt>
                <c:pt idx="31">
                  <c:v>50</c:v>
                </c:pt>
                <c:pt idx="32">
                  <c:v>49</c:v>
                </c:pt>
                <c:pt idx="33">
                  <c:v>36</c:v>
                </c:pt>
              </c:numCache>
            </c:numRef>
          </c:cat>
          <c:val>
            <c:numRef>
              <c:f>диаграммы!$C$3:$C$36</c:f>
              <c:numCache>
                <c:formatCode>General</c:formatCode>
                <c:ptCount val="34"/>
                <c:pt idx="0">
                  <c:v>8.06067399050152e-5</c:v>
                </c:pt>
                <c:pt idx="1">
                  <c:v>2.16510012709052e-5</c:v>
                </c:pt>
                <c:pt idx="2">
                  <c:v>2.28e-7</c:v>
                </c:pt>
                <c:pt idx="3">
                  <c:v>7.68048288724216e-5</c:v>
                </c:pt>
                <c:pt idx="4">
                  <c:v>1.25438661462132e-5</c:v>
                </c:pt>
                <c:pt idx="5">
                  <c:v>2.28e-7</c:v>
                </c:pt>
                <c:pt idx="6">
                  <c:v>8.67306651482306e-5</c:v>
                </c:pt>
                <c:pt idx="7">
                  <c:v>1.5102011085348e-5</c:v>
                </c:pt>
                <c:pt idx="8">
                  <c:v>1.47706885998313e-5</c:v>
                </c:pt>
                <c:pt idx="9">
                  <c:v>2.28e-7</c:v>
                </c:pt>
                <c:pt idx="10">
                  <c:v>2.36927469200645e-5</c:v>
                </c:pt>
                <c:pt idx="11">
                  <c:v>2.32864427977967e-5</c:v>
                </c:pt>
                <c:pt idx="12">
                  <c:v>2.33439419052672e-5</c:v>
                </c:pt>
                <c:pt idx="13">
                  <c:v>2.45941193713961e-5</c:v>
                </c:pt>
                <c:pt idx="14">
                  <c:v>2.28e-7</c:v>
                </c:pt>
                <c:pt idx="15">
                  <c:v>2.42889096927719e-5</c:v>
                </c:pt>
                <c:pt idx="16">
                  <c:v>1.88180735648794e-5</c:v>
                </c:pt>
                <c:pt idx="17">
                  <c:v>1.78868663495062e-5</c:v>
                </c:pt>
                <c:pt idx="18">
                  <c:v>9.86819642449597e-6</c:v>
                </c:pt>
                <c:pt idx="19">
                  <c:v>1.15264920449461e-5</c:v>
                </c:pt>
                <c:pt idx="20">
                  <c:v>1.22237295393952e-5</c:v>
                </c:pt>
                <c:pt idx="21">
                  <c:v>1.78194750617018e-5</c:v>
                </c:pt>
                <c:pt idx="22">
                  <c:v>2.28e-7</c:v>
                </c:pt>
                <c:pt idx="23">
                  <c:v>9.0320808775149e-6</c:v>
                </c:pt>
                <c:pt idx="24">
                  <c:v>1.24558100384263e-5</c:v>
                </c:pt>
                <c:pt idx="25">
                  <c:v>1.25438661462132e-5</c:v>
                </c:pt>
                <c:pt idx="26">
                  <c:v>2.28e-7</c:v>
                </c:pt>
                <c:pt idx="27">
                  <c:v>1.01436456353963e-5</c:v>
                </c:pt>
                <c:pt idx="28">
                  <c:v>9.1646197947716e-6</c:v>
                </c:pt>
                <c:pt idx="29">
                  <c:v>7.62185752812641e-6</c:v>
                </c:pt>
                <c:pt idx="30">
                  <c:v>1.48108311865605e-5</c:v>
                </c:pt>
                <c:pt idx="31">
                  <c:v>2.28e-7</c:v>
                </c:pt>
                <c:pt idx="32">
                  <c:v>7.0748352128954e-6</c:v>
                </c:pt>
                <c:pt idx="33">
                  <c:v>5.7e-6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930496"/>
        <c:axId val="79932032"/>
      </c:barChart>
      <c:catAx>
        <c:axId val="7993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9932032"/>
        <c:crosses val="autoZero"/>
        <c:auto val="1"/>
        <c:lblAlgn val="ctr"/>
        <c:lblOffset val="100"/>
        <c:noMultiLvlLbl val="0"/>
      </c:catAx>
      <c:valAx>
        <c:axId val="79932032"/>
        <c:scaling>
          <c:orientation val="minMax"/>
          <c:max val="9.00000000000002e-5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79930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42585513071188"/>
          <c:y val="0.2173216666116"/>
          <c:w val="0.455155469426964"/>
          <c:h val="0.23659479283458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ru-RU"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098454621424"/>
          <c:y val="0.0240314278896956"/>
          <c:w val="0.859670562480139"/>
          <c:h val="0.85031564236288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диаграммы!$B$41</c:f>
              <c:strCache>
                <c:ptCount val="1"/>
                <c:pt idx="0">
                  <c:v>Параметр потоков отказов (по старой методике)</c:v>
                </c:pt>
              </c:strCache>
            </c:strRef>
          </c:tx>
          <c:invertIfNegative val="0"/>
          <c:dLbls>
            <c:delete val="1"/>
          </c:dLbls>
          <c:cat>
            <c:numRef>
              <c:f>диаграммы!$A$43:$A$76</c:f>
              <c:numCache>
                <c:formatCode>General</c:formatCode>
                <c:ptCount val="34"/>
                <c:pt idx="0">
                  <c:v>3</c:v>
                </c:pt>
                <c:pt idx="1">
                  <c:v>5</c:v>
                </c:pt>
                <c:pt idx="2">
                  <c:v>44</c:v>
                </c:pt>
                <c:pt idx="3">
                  <c:v>43</c:v>
                </c:pt>
                <c:pt idx="4">
                  <c:v>38</c:v>
                </c:pt>
                <c:pt idx="5">
                  <c:v>56</c:v>
                </c:pt>
                <c:pt idx="6">
                  <c:v>55</c:v>
                </c:pt>
                <c:pt idx="7">
                  <c:v>7</c:v>
                </c:pt>
                <c:pt idx="8">
                  <c:v>13</c:v>
                </c:pt>
                <c:pt idx="9">
                  <c:v>46</c:v>
                </c:pt>
                <c:pt idx="10">
                  <c:v>45</c:v>
                </c:pt>
                <c:pt idx="11">
                  <c:v>25</c:v>
                </c:pt>
                <c:pt idx="12">
                  <c:v>27</c:v>
                </c:pt>
                <c:pt idx="13">
                  <c:v>32</c:v>
                </c:pt>
                <c:pt idx="14">
                  <c:v>52</c:v>
                </c:pt>
                <c:pt idx="15">
                  <c:v>51</c:v>
                </c:pt>
                <c:pt idx="16">
                  <c:v>15</c:v>
                </c:pt>
                <c:pt idx="17">
                  <c:v>62</c:v>
                </c:pt>
                <c:pt idx="18">
                  <c:v>69</c:v>
                </c:pt>
                <c:pt idx="19">
                  <c:v>11</c:v>
                </c:pt>
                <c:pt idx="20">
                  <c:v>64</c:v>
                </c:pt>
                <c:pt idx="21">
                  <c:v>20</c:v>
                </c:pt>
                <c:pt idx="22">
                  <c:v>48</c:v>
                </c:pt>
                <c:pt idx="23">
                  <c:v>47</c:v>
                </c:pt>
                <c:pt idx="24">
                  <c:v>22</c:v>
                </c:pt>
                <c:pt idx="25">
                  <c:v>42</c:v>
                </c:pt>
                <c:pt idx="26">
                  <c:v>54</c:v>
                </c:pt>
                <c:pt idx="27">
                  <c:v>53</c:v>
                </c:pt>
                <c:pt idx="28">
                  <c:v>39</c:v>
                </c:pt>
                <c:pt idx="29">
                  <c:v>23</c:v>
                </c:pt>
                <c:pt idx="30">
                  <c:v>34</c:v>
                </c:pt>
                <c:pt idx="31">
                  <c:v>50</c:v>
                </c:pt>
                <c:pt idx="32">
                  <c:v>49</c:v>
                </c:pt>
                <c:pt idx="33">
                  <c:v>36</c:v>
                </c:pt>
              </c:numCache>
            </c:numRef>
          </c:cat>
          <c:val>
            <c:numRef>
              <c:f>диаграммы!$B$43:$B$76</c:f>
              <c:numCache>
                <c:formatCode>General</c:formatCode>
                <c:ptCount val="34"/>
                <c:pt idx="0">
                  <c:v>1.12825794487066e-5</c:v>
                </c:pt>
                <c:pt idx="1">
                  <c:v>2.28e-9</c:v>
                </c:pt>
                <c:pt idx="2">
                  <c:v>4.56e-7</c:v>
                </c:pt>
                <c:pt idx="3">
                  <c:v>1.80521271179306e-5</c:v>
                </c:pt>
                <c:pt idx="4">
                  <c:v>2.052e-9</c:v>
                </c:pt>
                <c:pt idx="5">
                  <c:v>4.56e-7</c:v>
                </c:pt>
                <c:pt idx="6">
                  <c:v>4.51303177948265e-6</c:v>
                </c:pt>
                <c:pt idx="7">
                  <c:v>1.026e-5</c:v>
                </c:pt>
                <c:pt idx="8">
                  <c:v>3.192e-9</c:v>
                </c:pt>
                <c:pt idx="9">
                  <c:v>4.56e-7</c:v>
                </c:pt>
                <c:pt idx="10">
                  <c:v>4.56e-6</c:v>
                </c:pt>
                <c:pt idx="11">
                  <c:v>9.12e-6</c:v>
                </c:pt>
                <c:pt idx="12">
                  <c:v>5.7e-6</c:v>
                </c:pt>
                <c:pt idx="13">
                  <c:v>3.192e-9</c:v>
                </c:pt>
                <c:pt idx="14">
                  <c:v>4.56e-7</c:v>
                </c:pt>
                <c:pt idx="15">
                  <c:v>1.14e-6</c:v>
                </c:pt>
                <c:pt idx="16">
                  <c:v>2.85e-6</c:v>
                </c:pt>
                <c:pt idx="17">
                  <c:v>1.71e-6</c:v>
                </c:pt>
                <c:pt idx="18">
                  <c:v>1.026e-5</c:v>
                </c:pt>
                <c:pt idx="19">
                  <c:v>1.026e-5</c:v>
                </c:pt>
                <c:pt idx="20">
                  <c:v>6.84e-6</c:v>
                </c:pt>
                <c:pt idx="21">
                  <c:v>1.938e-9</c:v>
                </c:pt>
                <c:pt idx="22">
                  <c:v>4.56e-7</c:v>
                </c:pt>
                <c:pt idx="23">
                  <c:v>9.12e-6</c:v>
                </c:pt>
                <c:pt idx="24">
                  <c:v>7.98e-6</c:v>
                </c:pt>
                <c:pt idx="25">
                  <c:v>1.938e-9</c:v>
                </c:pt>
                <c:pt idx="26">
                  <c:v>4.56e-7</c:v>
                </c:pt>
                <c:pt idx="27">
                  <c:v>2.28e-6</c:v>
                </c:pt>
                <c:pt idx="28">
                  <c:v>9.12e-6</c:v>
                </c:pt>
                <c:pt idx="29">
                  <c:v>7.25187992827453e-6</c:v>
                </c:pt>
                <c:pt idx="30">
                  <c:v>2.508e-9</c:v>
                </c:pt>
                <c:pt idx="31">
                  <c:v>4.56e-7</c:v>
                </c:pt>
                <c:pt idx="32">
                  <c:v>7.86445907032892e-6</c:v>
                </c:pt>
                <c:pt idx="33">
                  <c:v>9.03389119702835e-6</c:v>
                </c:pt>
              </c:numCache>
            </c:numRef>
          </c:val>
        </c:ser>
        <c:ser>
          <c:idx val="2"/>
          <c:order val="1"/>
          <c:tx>
            <c:strRef>
              <c:f>диаграммы!$C$41</c:f>
              <c:strCache>
                <c:ptCount val="1"/>
                <c:pt idx="0">
                  <c:v>Параметр потоков отказов (по новой методике)</c:v>
                </c:pt>
              </c:strCache>
            </c:strRef>
          </c:tx>
          <c:invertIfNegative val="0"/>
          <c:dLbls>
            <c:delete val="1"/>
          </c:dLbls>
          <c:cat>
            <c:numRef>
              <c:f>диаграммы!$A$43:$A$76</c:f>
              <c:numCache>
                <c:formatCode>General</c:formatCode>
                <c:ptCount val="34"/>
                <c:pt idx="0">
                  <c:v>3</c:v>
                </c:pt>
                <c:pt idx="1">
                  <c:v>5</c:v>
                </c:pt>
                <c:pt idx="2">
                  <c:v>44</c:v>
                </c:pt>
                <c:pt idx="3">
                  <c:v>43</c:v>
                </c:pt>
                <c:pt idx="4">
                  <c:v>38</c:v>
                </c:pt>
                <c:pt idx="5">
                  <c:v>56</c:v>
                </c:pt>
                <c:pt idx="6">
                  <c:v>55</c:v>
                </c:pt>
                <c:pt idx="7">
                  <c:v>7</c:v>
                </c:pt>
                <c:pt idx="8">
                  <c:v>13</c:v>
                </c:pt>
                <c:pt idx="9">
                  <c:v>46</c:v>
                </c:pt>
                <c:pt idx="10">
                  <c:v>45</c:v>
                </c:pt>
                <c:pt idx="11">
                  <c:v>25</c:v>
                </c:pt>
                <c:pt idx="12">
                  <c:v>27</c:v>
                </c:pt>
                <c:pt idx="13">
                  <c:v>32</c:v>
                </c:pt>
                <c:pt idx="14">
                  <c:v>52</c:v>
                </c:pt>
                <c:pt idx="15">
                  <c:v>51</c:v>
                </c:pt>
                <c:pt idx="16">
                  <c:v>15</c:v>
                </c:pt>
                <c:pt idx="17">
                  <c:v>62</c:v>
                </c:pt>
                <c:pt idx="18">
                  <c:v>69</c:v>
                </c:pt>
                <c:pt idx="19">
                  <c:v>11</c:v>
                </c:pt>
                <c:pt idx="20">
                  <c:v>64</c:v>
                </c:pt>
                <c:pt idx="21">
                  <c:v>20</c:v>
                </c:pt>
                <c:pt idx="22">
                  <c:v>48</c:v>
                </c:pt>
                <c:pt idx="23">
                  <c:v>47</c:v>
                </c:pt>
                <c:pt idx="24">
                  <c:v>22</c:v>
                </c:pt>
                <c:pt idx="25">
                  <c:v>42</c:v>
                </c:pt>
                <c:pt idx="26">
                  <c:v>54</c:v>
                </c:pt>
                <c:pt idx="27">
                  <c:v>53</c:v>
                </c:pt>
                <c:pt idx="28">
                  <c:v>39</c:v>
                </c:pt>
                <c:pt idx="29">
                  <c:v>23</c:v>
                </c:pt>
                <c:pt idx="30">
                  <c:v>34</c:v>
                </c:pt>
                <c:pt idx="31">
                  <c:v>50</c:v>
                </c:pt>
                <c:pt idx="32">
                  <c:v>49</c:v>
                </c:pt>
                <c:pt idx="33">
                  <c:v>36</c:v>
                </c:pt>
              </c:numCache>
            </c:numRef>
          </c:cat>
          <c:val>
            <c:numRef>
              <c:f>диаграммы!$C$43:$C$76</c:f>
              <c:numCache>
                <c:formatCode>General</c:formatCode>
                <c:ptCount val="34"/>
                <c:pt idx="0">
                  <c:v>4.03033699525076e-5</c:v>
                </c:pt>
                <c:pt idx="1">
                  <c:v>4.33020025418103e-9</c:v>
                </c:pt>
                <c:pt idx="2">
                  <c:v>4.56e-7</c:v>
                </c:pt>
                <c:pt idx="3">
                  <c:v>6.14438630979373e-5</c:v>
                </c:pt>
                <c:pt idx="4">
                  <c:v>2.25789590631838e-9</c:v>
                </c:pt>
                <c:pt idx="5">
                  <c:v>4.56e-7</c:v>
                </c:pt>
                <c:pt idx="6">
                  <c:v>1.73461330296461e-5</c:v>
                </c:pt>
                <c:pt idx="7">
                  <c:v>1.35918099768132e-5</c:v>
                </c:pt>
                <c:pt idx="8">
                  <c:v>4.13579280795275e-9</c:v>
                </c:pt>
                <c:pt idx="9">
                  <c:v>4.56e-7</c:v>
                </c:pt>
                <c:pt idx="10">
                  <c:v>9.4770987680258e-6</c:v>
                </c:pt>
                <c:pt idx="11">
                  <c:v>1.86291542382374e-5</c:v>
                </c:pt>
                <c:pt idx="12">
                  <c:v>1.16719709526336e-5</c:v>
                </c:pt>
                <c:pt idx="13">
                  <c:v>6.8863534239909e-9</c:v>
                </c:pt>
                <c:pt idx="14">
                  <c:v>4.56e-7</c:v>
                </c:pt>
                <c:pt idx="15">
                  <c:v>2.42889096927719e-6</c:v>
                </c:pt>
                <c:pt idx="16">
                  <c:v>4.70451839121985e-6</c:v>
                </c:pt>
                <c:pt idx="17">
                  <c:v>2.68302995242593e-6</c:v>
                </c:pt>
                <c:pt idx="18">
                  <c:v>8.88137678204637e-6</c:v>
                </c:pt>
                <c:pt idx="19">
                  <c:v>1.03738428404515e-5</c:v>
                </c:pt>
                <c:pt idx="20">
                  <c:v>7.33423772363714e-6</c:v>
                </c:pt>
                <c:pt idx="21">
                  <c:v>3.0293107604893e-9</c:v>
                </c:pt>
                <c:pt idx="22">
                  <c:v>4.56e-7</c:v>
                </c:pt>
                <c:pt idx="23">
                  <c:v>7.22566470201192e-6</c:v>
                </c:pt>
                <c:pt idx="24">
                  <c:v>8.71906702689843e-6</c:v>
                </c:pt>
                <c:pt idx="25">
                  <c:v>2.13245724485625e-9</c:v>
                </c:pt>
                <c:pt idx="26">
                  <c:v>4.56e-7</c:v>
                </c:pt>
                <c:pt idx="27">
                  <c:v>2.02872912707926e-6</c:v>
                </c:pt>
                <c:pt idx="28">
                  <c:v>7.33169583581728e-6</c:v>
                </c:pt>
                <c:pt idx="29">
                  <c:v>3.8109287640632e-6</c:v>
                </c:pt>
                <c:pt idx="30">
                  <c:v>3.25838286104331e-9</c:v>
                </c:pt>
                <c:pt idx="31">
                  <c:v>4.56e-7</c:v>
                </c:pt>
                <c:pt idx="32">
                  <c:v>3.5374176064477e-6</c:v>
                </c:pt>
                <c:pt idx="33">
                  <c:v>2.85e-6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84832"/>
        <c:axId val="82215296"/>
      </c:barChart>
      <c:catAx>
        <c:axId val="8218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215296"/>
        <c:crosses val="autoZero"/>
        <c:auto val="1"/>
        <c:lblAlgn val="ctr"/>
        <c:lblOffset val="100"/>
        <c:noMultiLvlLbl val="0"/>
      </c:catAx>
      <c:valAx>
        <c:axId val="82215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184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0479891246778"/>
          <c:y val="0.292028326004704"/>
          <c:w val="0.33520108753222"/>
          <c:h val="0.0814545648010215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344567073739"/>
          <c:y val="0.0514899557667384"/>
          <c:w val="0.816939855473616"/>
          <c:h val="0.75162674402541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диаграммы!$B$79</c:f>
              <c:strCache>
                <c:ptCount val="1"/>
                <c:pt idx="0">
                  <c:v>Вероятность состояния сети, соответствующая отказу элемента (по методике авторов Сенновой Е.В., Кирюхина С.И.)</c:v>
                </c:pt>
              </c:strCache>
            </c:strRef>
          </c:tx>
          <c:invertIfNegative val="0"/>
          <c:dLbls>
            <c:delete val="1"/>
          </c:dLbls>
          <c:cat>
            <c:numRef>
              <c:f>диаграммы!$A$81:$A$114</c:f>
              <c:numCache>
                <c:formatCode>General</c:formatCode>
                <c:ptCount val="34"/>
                <c:pt idx="0">
                  <c:v>3</c:v>
                </c:pt>
                <c:pt idx="1">
                  <c:v>5</c:v>
                </c:pt>
                <c:pt idx="2">
                  <c:v>44</c:v>
                </c:pt>
                <c:pt idx="3">
                  <c:v>43</c:v>
                </c:pt>
                <c:pt idx="4">
                  <c:v>38</c:v>
                </c:pt>
                <c:pt idx="5">
                  <c:v>56</c:v>
                </c:pt>
                <c:pt idx="6">
                  <c:v>55</c:v>
                </c:pt>
                <c:pt idx="7">
                  <c:v>7</c:v>
                </c:pt>
                <c:pt idx="8">
                  <c:v>13</c:v>
                </c:pt>
                <c:pt idx="9">
                  <c:v>46</c:v>
                </c:pt>
                <c:pt idx="10">
                  <c:v>45</c:v>
                </c:pt>
                <c:pt idx="11">
                  <c:v>25</c:v>
                </c:pt>
                <c:pt idx="12">
                  <c:v>27</c:v>
                </c:pt>
                <c:pt idx="13">
                  <c:v>32</c:v>
                </c:pt>
                <c:pt idx="14">
                  <c:v>52</c:v>
                </c:pt>
                <c:pt idx="15">
                  <c:v>51</c:v>
                </c:pt>
                <c:pt idx="16">
                  <c:v>15</c:v>
                </c:pt>
                <c:pt idx="17">
                  <c:v>62</c:v>
                </c:pt>
                <c:pt idx="18">
                  <c:v>69</c:v>
                </c:pt>
                <c:pt idx="19">
                  <c:v>11</c:v>
                </c:pt>
                <c:pt idx="20">
                  <c:v>64</c:v>
                </c:pt>
                <c:pt idx="21">
                  <c:v>20</c:v>
                </c:pt>
                <c:pt idx="22">
                  <c:v>48</c:v>
                </c:pt>
                <c:pt idx="23">
                  <c:v>47</c:v>
                </c:pt>
                <c:pt idx="24">
                  <c:v>22</c:v>
                </c:pt>
                <c:pt idx="25">
                  <c:v>42</c:v>
                </c:pt>
                <c:pt idx="26">
                  <c:v>54</c:v>
                </c:pt>
                <c:pt idx="27">
                  <c:v>53</c:v>
                </c:pt>
                <c:pt idx="28">
                  <c:v>39</c:v>
                </c:pt>
                <c:pt idx="29">
                  <c:v>23</c:v>
                </c:pt>
                <c:pt idx="30">
                  <c:v>34</c:v>
                </c:pt>
                <c:pt idx="31">
                  <c:v>50</c:v>
                </c:pt>
                <c:pt idx="32">
                  <c:v>49</c:v>
                </c:pt>
                <c:pt idx="33">
                  <c:v>36</c:v>
                </c:pt>
              </c:numCache>
            </c:numRef>
          </c:cat>
          <c:val>
            <c:numRef>
              <c:f>диаграммы!$B$81:$B$114</c:f>
              <c:numCache>
                <c:formatCode>General</c:formatCode>
                <c:ptCount val="34"/>
                <c:pt idx="0">
                  <c:v>0.000179893341964021</c:v>
                </c:pt>
                <c:pt idx="1">
                  <c:v>2.21971438735741e-8</c:v>
                </c:pt>
                <c:pt idx="2">
                  <c:v>4.43942877471481e-6</c:v>
                </c:pt>
                <c:pt idx="3">
                  <c:v>0.000287829347142434</c:v>
                </c:pt>
                <c:pt idx="4">
                  <c:v>1.14442361984377e-8</c:v>
                </c:pt>
                <c:pt idx="5">
                  <c:v>2.54316359965281e-6</c:v>
                </c:pt>
                <c:pt idx="6">
                  <c:v>2.51696889159137e-5</c:v>
                </c:pt>
                <c:pt idx="7">
                  <c:v>0.00011206063900576</c:v>
                </c:pt>
                <c:pt idx="8">
                  <c:v>2.38365425170899e-8</c:v>
                </c:pt>
                <c:pt idx="9">
                  <c:v>3.40522035958426e-6</c:v>
                </c:pt>
                <c:pt idx="10">
                  <c:v>4.98047284470045e-5</c:v>
                </c:pt>
                <c:pt idx="11">
                  <c:v>9.96094568940089e-5</c:v>
                </c:pt>
                <c:pt idx="12">
                  <c:v>6.22559105587556e-5</c:v>
                </c:pt>
                <c:pt idx="13">
                  <c:v>1.78021451975697e-8</c:v>
                </c:pt>
                <c:pt idx="14">
                  <c:v>2.54316359965281e-6</c:v>
                </c:pt>
                <c:pt idx="15">
                  <c:v>6.35790899913204e-6</c:v>
                </c:pt>
                <c:pt idx="16">
                  <c:v>3.11279552793778e-5</c:v>
                </c:pt>
                <c:pt idx="17">
                  <c:v>1.86767731676267e-5</c:v>
                </c:pt>
                <c:pt idx="18">
                  <c:v>0.00011206063900576</c:v>
                </c:pt>
                <c:pt idx="19">
                  <c:v>6.56285764974376e-5</c:v>
                </c:pt>
                <c:pt idx="20">
                  <c:v>3.81474539947922e-5</c:v>
                </c:pt>
                <c:pt idx="21">
                  <c:v>1.08084452985245e-8</c:v>
                </c:pt>
                <c:pt idx="22">
                  <c:v>2.54316359965281e-6</c:v>
                </c:pt>
                <c:pt idx="23">
                  <c:v>5.83365124421667e-5</c:v>
                </c:pt>
                <c:pt idx="24">
                  <c:v>5.10444483868959e-5</c:v>
                </c:pt>
                <c:pt idx="25">
                  <c:v>1.08084452985245e-8</c:v>
                </c:pt>
                <c:pt idx="26">
                  <c:v>2.54316359965281e-6</c:v>
                </c:pt>
                <c:pt idx="27">
                  <c:v>1.27158179982641e-5</c:v>
                </c:pt>
                <c:pt idx="28">
                  <c:v>5.83365124421667e-5</c:v>
                </c:pt>
                <c:pt idx="29">
                  <c:v>4.63869938229042e-5</c:v>
                </c:pt>
                <c:pt idx="30">
                  <c:v>1.39873997980905e-8</c:v>
                </c:pt>
                <c:pt idx="31">
                  <c:v>2.54316359965281e-6</c:v>
                </c:pt>
                <c:pt idx="32">
                  <c:v>5.03053853516617e-5</c:v>
                </c:pt>
                <c:pt idx="33">
                  <c:v>5.03830334550581e-5</c:v>
                </c:pt>
              </c:numCache>
            </c:numRef>
          </c:val>
        </c:ser>
        <c:ser>
          <c:idx val="2"/>
          <c:order val="1"/>
          <c:tx>
            <c:strRef>
              <c:f>диаграммы!$C$79</c:f>
              <c:strCache>
                <c:ptCount val="1"/>
                <c:pt idx="0">
                  <c:v>Вероятность состояния сети, соответствующая отказу элемента (по предлагаемой методике)</c:v>
                </c:pt>
              </c:strCache>
            </c:strRef>
          </c:tx>
          <c:invertIfNegative val="0"/>
          <c:dLbls>
            <c:delete val="1"/>
          </c:dLbls>
          <c:cat>
            <c:numRef>
              <c:f>диаграммы!$A$81:$A$114</c:f>
              <c:numCache>
                <c:formatCode>General</c:formatCode>
                <c:ptCount val="34"/>
                <c:pt idx="0">
                  <c:v>3</c:v>
                </c:pt>
                <c:pt idx="1">
                  <c:v>5</c:v>
                </c:pt>
                <c:pt idx="2">
                  <c:v>44</c:v>
                </c:pt>
                <c:pt idx="3">
                  <c:v>43</c:v>
                </c:pt>
                <c:pt idx="4">
                  <c:v>38</c:v>
                </c:pt>
                <c:pt idx="5">
                  <c:v>56</c:v>
                </c:pt>
                <c:pt idx="6">
                  <c:v>55</c:v>
                </c:pt>
                <c:pt idx="7">
                  <c:v>7</c:v>
                </c:pt>
                <c:pt idx="8">
                  <c:v>13</c:v>
                </c:pt>
                <c:pt idx="9">
                  <c:v>46</c:v>
                </c:pt>
                <c:pt idx="10">
                  <c:v>45</c:v>
                </c:pt>
                <c:pt idx="11">
                  <c:v>25</c:v>
                </c:pt>
                <c:pt idx="12">
                  <c:v>27</c:v>
                </c:pt>
                <c:pt idx="13">
                  <c:v>32</c:v>
                </c:pt>
                <c:pt idx="14">
                  <c:v>52</c:v>
                </c:pt>
                <c:pt idx="15">
                  <c:v>51</c:v>
                </c:pt>
                <c:pt idx="16">
                  <c:v>15</c:v>
                </c:pt>
                <c:pt idx="17">
                  <c:v>62</c:v>
                </c:pt>
                <c:pt idx="18">
                  <c:v>69</c:v>
                </c:pt>
                <c:pt idx="19">
                  <c:v>11</c:v>
                </c:pt>
                <c:pt idx="20">
                  <c:v>64</c:v>
                </c:pt>
                <c:pt idx="21">
                  <c:v>20</c:v>
                </c:pt>
                <c:pt idx="22">
                  <c:v>48</c:v>
                </c:pt>
                <c:pt idx="23">
                  <c:v>47</c:v>
                </c:pt>
                <c:pt idx="24">
                  <c:v>22</c:v>
                </c:pt>
                <c:pt idx="25">
                  <c:v>42</c:v>
                </c:pt>
                <c:pt idx="26">
                  <c:v>54</c:v>
                </c:pt>
                <c:pt idx="27">
                  <c:v>53</c:v>
                </c:pt>
                <c:pt idx="28">
                  <c:v>39</c:v>
                </c:pt>
                <c:pt idx="29">
                  <c:v>23</c:v>
                </c:pt>
                <c:pt idx="30">
                  <c:v>34</c:v>
                </c:pt>
                <c:pt idx="31">
                  <c:v>50</c:v>
                </c:pt>
                <c:pt idx="32">
                  <c:v>49</c:v>
                </c:pt>
                <c:pt idx="33">
                  <c:v>36</c:v>
                </c:pt>
              </c:numCache>
            </c:numRef>
          </c:cat>
          <c:val>
            <c:numRef>
              <c:f>диаграммы!$C$81:$C$114</c:f>
              <c:numCache>
                <c:formatCode>General</c:formatCode>
                <c:ptCount val="34"/>
                <c:pt idx="0">
                  <c:v>0.000641707657378512</c:v>
                </c:pt>
                <c:pt idx="1">
                  <c:v>4.20978001640425e-8</c:v>
                </c:pt>
                <c:pt idx="2">
                  <c:v>4.43318917093224e-6</c:v>
                </c:pt>
                <c:pt idx="3">
                  <c:v>0.000978305225973049</c:v>
                </c:pt>
                <c:pt idx="4">
                  <c:v>1.25748421881341e-8</c:v>
                </c:pt>
                <c:pt idx="5">
                  <c:v>2.53958919086706e-6</c:v>
                </c:pt>
                <c:pt idx="6">
                  <c:v>9.66053770733143e-5</c:v>
                </c:pt>
                <c:pt idx="7">
                  <c:v>0.000148242318622468</c:v>
                </c:pt>
                <c:pt idx="8">
                  <c:v>3.08409909139298e-8</c:v>
                </c:pt>
                <c:pt idx="9">
                  <c:v>3.40043433261675e-6</c:v>
                </c:pt>
                <c:pt idx="10">
                  <c:v>0.0001033642390221</c:v>
                </c:pt>
                <c:pt idx="11">
                  <c:v>0.00020318331575876</c:v>
                </c:pt>
                <c:pt idx="12">
                  <c:v>0.000127303136216903</c:v>
                </c:pt>
                <c:pt idx="13">
                  <c:v>3.83519928071439e-8</c:v>
                </c:pt>
                <c:pt idx="14">
                  <c:v>2.53958919086706e-6</c:v>
                </c:pt>
                <c:pt idx="15">
                  <c:v>1.35271606389714e-5</c:v>
                </c:pt>
                <c:pt idx="16">
                  <c:v>5.13109523680962e-5</c:v>
                </c:pt>
                <c:pt idx="17">
                  <c:v>2.92631063677074e-5</c:v>
                </c:pt>
                <c:pt idx="18">
                  <c:v>9.68668550381696e-5</c:v>
                </c:pt>
                <c:pt idx="19">
                  <c:v>6.62635133732078e-5</c:v>
                </c:pt>
                <c:pt idx="20">
                  <c:v>4.08463834346454e-5</c:v>
                </c:pt>
                <c:pt idx="21">
                  <c:v>1.68710632963068e-8</c:v>
                </c:pt>
                <c:pt idx="22">
                  <c:v>2.53958919086706e-6</c:v>
                </c:pt>
                <c:pt idx="23">
                  <c:v>4.61543457883388e-5</c:v>
                </c:pt>
                <c:pt idx="24">
                  <c:v>5.56935383950383e-5</c:v>
                </c:pt>
                <c:pt idx="25">
                  <c:v>1.18762398443488e-8</c:v>
                </c:pt>
                <c:pt idx="26">
                  <c:v>2.53958919086706e-6</c:v>
                </c:pt>
                <c:pt idx="27">
                  <c:v>1.12985494787887e-5</c:v>
                </c:pt>
                <c:pt idx="28">
                  <c:v>4.68316257087065e-5</c:v>
                </c:pt>
                <c:pt idx="29">
                  <c:v>2.43425250416511e-5</c:v>
                </c:pt>
                <c:pt idx="30">
                  <c:v>1.81468287140615e-8</c:v>
                </c:pt>
                <c:pt idx="31">
                  <c:v>2.53958919086706e-6</c:v>
                </c:pt>
                <c:pt idx="32">
                  <c:v>2.25954569079693e-5</c:v>
                </c:pt>
                <c:pt idx="33">
                  <c:v>1.58724324429191e-5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243968"/>
        <c:axId val="82245504"/>
      </c:barChart>
      <c:catAx>
        <c:axId val="8224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ru-RU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245504"/>
        <c:crosses val="autoZero"/>
        <c:auto val="1"/>
        <c:lblAlgn val="ctr"/>
        <c:lblOffset val="100"/>
        <c:noMultiLvlLbl val="0"/>
      </c:catAx>
      <c:valAx>
        <c:axId val="82245504"/>
        <c:scaling>
          <c:orientation val="minMax"/>
          <c:max val="0.001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243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8585723594337"/>
          <c:y val="0.170180964221577"/>
          <c:w val="0.598158389646047"/>
          <c:h val="0.29648238707003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316508884058"/>
          <c:y val="0.0514899557667384"/>
          <c:w val="0.800323655285828"/>
          <c:h val="0.618995069085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диаграммы!$B$117</c:f>
              <c:strCache>
                <c:ptCount val="1"/>
                <c:pt idx="0">
                  <c:v>Готовность (по старой методике)</c:v>
                </c:pt>
              </c:strCache>
            </c:strRef>
          </c:tx>
          <c:invertIfNegative val="0"/>
          <c:dLbls>
            <c:delete val="1"/>
          </c:dLbls>
          <c:cat>
            <c:numRef>
              <c:f>диаграммы!$A$118:$A$123</c:f>
              <c:numCache>
                <c:formatCode>General</c:formatCode>
                <c:ptCount val="6"/>
                <c:pt idx="0">
                  <c:v>31</c:v>
                </c:pt>
                <c:pt idx="1">
                  <c:v>35</c:v>
                </c:pt>
                <c:pt idx="2">
                  <c:v>37</c:v>
                </c:pt>
                <c:pt idx="3">
                  <c:v>41</c:v>
                </c:pt>
                <c:pt idx="4">
                  <c:v>61</c:v>
                </c:pt>
                <c:pt idx="5">
                  <c:v>63</c:v>
                </c:pt>
              </c:numCache>
            </c:numRef>
          </c:cat>
          <c:val>
            <c:numRef>
              <c:f>диаграммы!$B$118:$B$123</c:f>
              <c:numCache>
                <c:formatCode>General</c:formatCode>
                <c:ptCount val="6"/>
                <c:pt idx="0">
                  <c:v>0.999191737018423</c:v>
                </c:pt>
                <c:pt idx="1">
                  <c:v>0.998983801206463</c:v>
                </c:pt>
                <c:pt idx="2">
                  <c:v>0.999500091388223</c:v>
                </c:pt>
                <c:pt idx="3">
                  <c:v>0.999176489684046</c:v>
                </c:pt>
                <c:pt idx="4">
                  <c:v>0.999312716532173</c:v>
                </c:pt>
                <c:pt idx="5">
                  <c:v>0.999199918376471</c:v>
                </c:pt>
              </c:numCache>
            </c:numRef>
          </c:val>
        </c:ser>
        <c:ser>
          <c:idx val="1"/>
          <c:order val="1"/>
          <c:tx>
            <c:strRef>
              <c:f>диаграммы!$C$117</c:f>
              <c:strCache>
                <c:ptCount val="1"/>
                <c:pt idx="0">
                  <c:v>Готовность (по новой методике)</c:v>
                </c:pt>
              </c:strCache>
            </c:strRef>
          </c:tx>
          <c:invertIfNegative val="0"/>
          <c:dLbls>
            <c:delete val="1"/>
          </c:dLbls>
          <c:cat>
            <c:numRef>
              <c:f>диаграммы!$A$118:$A$123</c:f>
              <c:numCache>
                <c:formatCode>General</c:formatCode>
                <c:ptCount val="6"/>
                <c:pt idx="0">
                  <c:v>31</c:v>
                </c:pt>
                <c:pt idx="1">
                  <c:v>35</c:v>
                </c:pt>
                <c:pt idx="2">
                  <c:v>37</c:v>
                </c:pt>
                <c:pt idx="3">
                  <c:v>41</c:v>
                </c:pt>
                <c:pt idx="4">
                  <c:v>61</c:v>
                </c:pt>
                <c:pt idx="5">
                  <c:v>63</c:v>
                </c:pt>
              </c:numCache>
            </c:numRef>
          </c:cat>
          <c:val>
            <c:numRef>
              <c:f>диаграммы!$C$118:$C$123</c:f>
              <c:numCache>
                <c:formatCode>General</c:formatCode>
                <c:ptCount val="6"/>
                <c:pt idx="0">
                  <c:v>0.997773882442911</c:v>
                </c:pt>
                <c:pt idx="1">
                  <c:v>0.997913810411698</c:v>
                </c:pt>
                <c:pt idx="2">
                  <c:v>0.998276354288571</c:v>
                </c:pt>
                <c:pt idx="3">
                  <c:v>0.99801214829667</c:v>
                </c:pt>
                <c:pt idx="4">
                  <c:v>0.998039899937974</c:v>
                </c:pt>
                <c:pt idx="5">
                  <c:v>0.998023292759209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23008"/>
        <c:axId val="82321408"/>
      </c:barChart>
      <c:catAx>
        <c:axId val="8212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321408"/>
        <c:crosses val="autoZero"/>
        <c:auto val="1"/>
        <c:lblAlgn val="ctr"/>
        <c:lblOffset val="100"/>
        <c:noMultiLvlLbl val="0"/>
      </c:catAx>
      <c:valAx>
        <c:axId val="82321408"/>
        <c:scaling>
          <c:orientation val="minMax"/>
          <c:min val="0.996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123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5931320253711"/>
          <c:y val="0.849394507290529"/>
          <c:w val="0.5586852923554"/>
          <c:h val="0.103152440629484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469873304018"/>
          <c:y val="0.0514899557667384"/>
          <c:w val="0.801889684729862"/>
          <c:h val="0.63290811510361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диаграммы!$B$127</c:f>
              <c:strCache>
                <c:ptCount val="1"/>
                <c:pt idx="0">
                  <c:v>Безотказность (по методике авторов Сенновой Е.В., Кирюхина С.И.)</c:v>
                </c:pt>
              </c:strCache>
            </c:strRef>
          </c:tx>
          <c:invertIfNegative val="0"/>
          <c:dLbls>
            <c:delete val="1"/>
          </c:dLbls>
          <c:cat>
            <c:numRef>
              <c:f>диаграммы!$A$128:$A$133</c:f>
              <c:numCache>
                <c:formatCode>General</c:formatCode>
                <c:ptCount val="6"/>
                <c:pt idx="0">
                  <c:v>31</c:v>
                </c:pt>
                <c:pt idx="1">
                  <c:v>35</c:v>
                </c:pt>
                <c:pt idx="2">
                  <c:v>37</c:v>
                </c:pt>
                <c:pt idx="3">
                  <c:v>41</c:v>
                </c:pt>
                <c:pt idx="4">
                  <c:v>61</c:v>
                </c:pt>
                <c:pt idx="5">
                  <c:v>63</c:v>
                </c:pt>
              </c:numCache>
            </c:numRef>
          </c:cat>
          <c:val>
            <c:numRef>
              <c:f>диаграммы!$B$128:$B$133</c:f>
              <c:numCache>
                <c:formatCode>General</c:formatCode>
                <c:ptCount val="6"/>
                <c:pt idx="0">
                  <c:v>0.973375142118385</c:v>
                </c:pt>
                <c:pt idx="1">
                  <c:v>0.973505858400163</c:v>
                </c:pt>
                <c:pt idx="2">
                  <c:v>0.973800034220014</c:v>
                </c:pt>
                <c:pt idx="3">
                  <c:v>0.973505858400163</c:v>
                </c:pt>
                <c:pt idx="4">
                  <c:v>0.973522199169611</c:v>
                </c:pt>
                <c:pt idx="5">
                  <c:v>0.973505858400163</c:v>
                </c:pt>
              </c:numCache>
            </c:numRef>
          </c:val>
        </c:ser>
        <c:ser>
          <c:idx val="2"/>
          <c:order val="1"/>
          <c:tx>
            <c:strRef>
              <c:f>диаграммы!$C$127</c:f>
              <c:strCache>
                <c:ptCount val="1"/>
                <c:pt idx="0">
                  <c:v>Безотказность (по предлагаемой методике)</c:v>
                </c:pt>
              </c:strCache>
            </c:strRef>
          </c:tx>
          <c:invertIfNegative val="0"/>
          <c:dLbls>
            <c:delete val="1"/>
          </c:dLbls>
          <c:cat>
            <c:numRef>
              <c:f>диаграммы!$A$128:$A$133</c:f>
              <c:numCache>
                <c:formatCode>General</c:formatCode>
                <c:ptCount val="6"/>
                <c:pt idx="0">
                  <c:v>31</c:v>
                </c:pt>
                <c:pt idx="1">
                  <c:v>35</c:v>
                </c:pt>
                <c:pt idx="2">
                  <c:v>37</c:v>
                </c:pt>
                <c:pt idx="3">
                  <c:v>41</c:v>
                </c:pt>
                <c:pt idx="4">
                  <c:v>61</c:v>
                </c:pt>
                <c:pt idx="5">
                  <c:v>63</c:v>
                </c:pt>
              </c:numCache>
            </c:numRef>
          </c:cat>
          <c:val>
            <c:numRef>
              <c:f>диаграммы!$C$128:$C$133</c:f>
              <c:numCache>
                <c:formatCode>General</c:formatCode>
                <c:ptCount val="6"/>
                <c:pt idx="0">
                  <c:v>0.911429203760936</c:v>
                </c:pt>
                <c:pt idx="1">
                  <c:v>0.911843346797347</c:v>
                </c:pt>
                <c:pt idx="2">
                  <c:v>0.912144696839461</c:v>
                </c:pt>
                <c:pt idx="3">
                  <c:v>0.911843346797347</c:v>
                </c:pt>
                <c:pt idx="4">
                  <c:v>0.911736320576949</c:v>
                </c:pt>
                <c:pt idx="5">
                  <c:v>0.911843346797347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365824"/>
        <c:axId val="82367616"/>
      </c:barChart>
      <c:catAx>
        <c:axId val="8236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367616"/>
        <c:crosses val="autoZero"/>
        <c:auto val="1"/>
        <c:lblAlgn val="ctr"/>
        <c:lblOffset val="100"/>
        <c:noMultiLvlLbl val="0"/>
      </c:catAx>
      <c:valAx>
        <c:axId val="82367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365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444081629112257"/>
          <c:y val="0.828506188018931"/>
          <c:w val="0.920537067461504"/>
          <c:h val="0.168494655893125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ru-RU"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696850393701"/>
          <c:y val="0.0514899557667384"/>
          <c:w val="0.844290682414699"/>
          <c:h val="0.68392261717176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диаграммы!$B$139</c:f>
              <c:strCache>
                <c:ptCount val="1"/>
                <c:pt idx="0">
                  <c:v>Недоотпуск (по методике авторов Сенновой Е.В., Кирюхина С.И.)</c:v>
                </c:pt>
              </c:strCache>
            </c:strRef>
          </c:tx>
          <c:invertIfNegative val="0"/>
          <c:dLbls>
            <c:delete val="1"/>
          </c:dLbls>
          <c:cat>
            <c:numRef>
              <c:f>диаграммы!$A$140:$A$145</c:f>
              <c:numCache>
                <c:formatCode>General</c:formatCode>
                <c:ptCount val="6"/>
                <c:pt idx="0">
                  <c:v>31</c:v>
                </c:pt>
                <c:pt idx="1">
                  <c:v>35</c:v>
                </c:pt>
                <c:pt idx="2">
                  <c:v>37</c:v>
                </c:pt>
                <c:pt idx="3">
                  <c:v>41</c:v>
                </c:pt>
                <c:pt idx="4">
                  <c:v>61</c:v>
                </c:pt>
                <c:pt idx="5">
                  <c:v>63</c:v>
                </c:pt>
              </c:numCache>
            </c:numRef>
          </c:cat>
          <c:val>
            <c:numRef>
              <c:f>диаграммы!$B$140:$B$145</c:f>
              <c:numCache>
                <c:formatCode>General</c:formatCode>
                <c:ptCount val="6"/>
                <c:pt idx="0">
                  <c:v>1.66454564672331</c:v>
                </c:pt>
                <c:pt idx="1">
                  <c:v>2.09485347904436</c:v>
                </c:pt>
                <c:pt idx="2">
                  <c:v>1.03164067176734</c:v>
                </c:pt>
                <c:pt idx="3">
                  <c:v>1.66326832448928</c:v>
                </c:pt>
                <c:pt idx="4">
                  <c:v>1.41326554592068</c:v>
                </c:pt>
                <c:pt idx="5">
                  <c:v>1.64705305995419</c:v>
                </c:pt>
              </c:numCache>
            </c:numRef>
          </c:val>
        </c:ser>
        <c:ser>
          <c:idx val="2"/>
          <c:order val="1"/>
          <c:tx>
            <c:strRef>
              <c:f>диаграммы!$C$139</c:f>
              <c:strCache>
                <c:ptCount val="1"/>
                <c:pt idx="0">
                  <c:v>Недоотпуск (по предлагаемой методике)</c:v>
                </c:pt>
              </c:strCache>
            </c:strRef>
          </c:tx>
          <c:invertIfNegative val="0"/>
          <c:dLbls>
            <c:delete val="1"/>
          </c:dLbls>
          <c:cat>
            <c:numRef>
              <c:f>диаграммы!$A$140:$A$145</c:f>
              <c:numCache>
                <c:formatCode>General</c:formatCode>
                <c:ptCount val="6"/>
                <c:pt idx="0">
                  <c:v>31</c:v>
                </c:pt>
                <c:pt idx="1">
                  <c:v>35</c:v>
                </c:pt>
                <c:pt idx="2">
                  <c:v>37</c:v>
                </c:pt>
                <c:pt idx="3">
                  <c:v>41</c:v>
                </c:pt>
                <c:pt idx="4">
                  <c:v>61</c:v>
                </c:pt>
                <c:pt idx="5">
                  <c:v>63</c:v>
                </c:pt>
              </c:numCache>
            </c:numRef>
          </c:cat>
          <c:val>
            <c:numRef>
              <c:f>диаграммы!$C$140:$C$145</c:f>
              <c:numCache>
                <c:formatCode>General</c:formatCode>
                <c:ptCount val="6"/>
                <c:pt idx="0">
                  <c:v>4.59694102172361</c:v>
                </c:pt>
                <c:pt idx="1">
                  <c:v>4.30499025355227</c:v>
                </c:pt>
                <c:pt idx="2">
                  <c:v>3.56154092948155</c:v>
                </c:pt>
                <c:pt idx="3">
                  <c:v>4.08462422927545</c:v>
                </c:pt>
                <c:pt idx="4">
                  <c:v>4.04444127853505</c:v>
                </c:pt>
                <c:pt idx="5">
                  <c:v>4.07868916436351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254080"/>
        <c:axId val="82274560"/>
      </c:barChart>
      <c:catAx>
        <c:axId val="8225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274560"/>
        <c:crosses val="autoZero"/>
        <c:auto val="1"/>
        <c:lblAlgn val="ctr"/>
        <c:lblOffset val="100"/>
        <c:noMultiLvlLbl val="0"/>
      </c:catAx>
      <c:valAx>
        <c:axId val="82274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254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120986439195101"/>
          <c:y val="0.870245326074692"/>
          <c:w val="0.962901356080491"/>
          <c:h val="0.103567107806387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функции!$A$60:$A$69</c:f>
              <c:numCache>
                <c:formatCode>0.0</c:formatCode>
                <c:ptCount val="10"/>
                <c:pt idx="0">
                  <c:v>8.8888888888889</c:v>
                </c:pt>
                <c:pt idx="1">
                  <c:v>11.1111111111111</c:v>
                </c:pt>
                <c:pt idx="2">
                  <c:v>13.3333333333333</c:v>
                </c:pt>
                <c:pt idx="3">
                  <c:v>16.4705882352941</c:v>
                </c:pt>
                <c:pt idx="4">
                  <c:v>17.5</c:v>
                </c:pt>
                <c:pt idx="5">
                  <c:v>22.5</c:v>
                </c:pt>
                <c:pt idx="6">
                  <c:v>32.5</c:v>
                </c:pt>
                <c:pt idx="7">
                  <c:v>40</c:v>
                </c:pt>
                <c:pt idx="8">
                  <c:v>42.5</c:v>
                </c:pt>
                <c:pt idx="9">
                  <c:v>48.5714285714286</c:v>
                </c:pt>
              </c:numCache>
            </c:numRef>
          </c:xVal>
          <c:yVal>
            <c:numRef>
              <c:f>функции!$B$60:$B$69</c:f>
              <c:numCache>
                <c:formatCode>General</c:formatCode>
                <c:ptCount val="10"/>
                <c:pt idx="0">
                  <c:v>0.952114679478278</c:v>
                </c:pt>
                <c:pt idx="1">
                  <c:v>1.00705489774309</c:v>
                </c:pt>
                <c:pt idx="2">
                  <c:v>1.05057651105715</c:v>
                </c:pt>
                <c:pt idx="3">
                  <c:v>1.03903553773497</c:v>
                </c:pt>
                <c:pt idx="4">
                  <c:v>1.03903553773497</c:v>
                </c:pt>
                <c:pt idx="5">
                  <c:v>1.06263419653789</c:v>
                </c:pt>
                <c:pt idx="6">
                  <c:v>1.10253897836759</c:v>
                </c:pt>
                <c:pt idx="7">
                  <c:v>1.13312510739865</c:v>
                </c:pt>
                <c:pt idx="8">
                  <c:v>1.16813318340363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30048"/>
        <c:axId val="80540032"/>
      </c:scatterChart>
      <c:valAx>
        <c:axId val="80530048"/>
        <c:scaling>
          <c:orientation val="minMax"/>
          <c:max val="64"/>
          <c:min val="8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540032"/>
        <c:crosses val="autoZero"/>
        <c:crossBetween val="midCat"/>
      </c:valAx>
      <c:valAx>
        <c:axId val="80540032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05300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функции!$A$49:$A$51</c:f>
              <c:numCache>
                <c:formatCode>0.0</c:formatCode>
                <c:ptCount val="3"/>
                <c:pt idx="0">
                  <c:v>8.8888888888889</c:v>
                </c:pt>
                <c:pt idx="1">
                  <c:v>37.5</c:v>
                </c:pt>
                <c:pt idx="2">
                  <c:v>60</c:v>
                </c:pt>
              </c:numCache>
            </c:numRef>
          </c:xVal>
          <c:yVal>
            <c:numRef>
              <c:f>функции!$B$49:$B$51</c:f>
              <c:numCache>
                <c:formatCode>General</c:formatCode>
                <c:ptCount val="3"/>
                <c:pt idx="0">
                  <c:v>0.884615449496208</c:v>
                </c:pt>
                <c:pt idx="1">
                  <c:v>1.18781869533039</c:v>
                </c:pt>
                <c:pt idx="2">
                  <c:v>1.37285079063421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88512"/>
        <c:axId val="81090048"/>
      </c:scatterChart>
      <c:valAx>
        <c:axId val="81088512"/>
        <c:scaling>
          <c:orientation val="minMax"/>
          <c:max val="64"/>
          <c:min val="8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090048"/>
        <c:crosses val="autoZero"/>
        <c:crossBetween val="midCat"/>
      </c:valAx>
      <c:valAx>
        <c:axId val="81090048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0885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функции!$A$74:$A$79</c:f>
              <c:numCache>
                <c:formatCode>0.0</c:formatCode>
                <c:ptCount val="6"/>
                <c:pt idx="0">
                  <c:v>15.5555555555556</c:v>
                </c:pt>
                <c:pt idx="1">
                  <c:v>17.5</c:v>
                </c:pt>
                <c:pt idx="2">
                  <c:v>30</c:v>
                </c:pt>
                <c:pt idx="3">
                  <c:v>35</c:v>
                </c:pt>
                <c:pt idx="4">
                  <c:v>47.5</c:v>
                </c:pt>
                <c:pt idx="5">
                  <c:v>62.8571428571429</c:v>
                </c:pt>
              </c:numCache>
            </c:numRef>
          </c:xVal>
          <c:yVal>
            <c:numRef>
              <c:f>функции!$B$74:$B$79</c:f>
              <c:numCache>
                <c:formatCode>General</c:formatCode>
                <c:ptCount val="6"/>
                <c:pt idx="0">
                  <c:v>1.05057651105715</c:v>
                </c:pt>
                <c:pt idx="1">
                  <c:v>0.927989628694177</c:v>
                </c:pt>
                <c:pt idx="2">
                  <c:v>1.18781869533039</c:v>
                </c:pt>
                <c:pt idx="3">
                  <c:v>1.22099403323395</c:v>
                </c:pt>
                <c:pt idx="4">
                  <c:v>1.2601543639</c:v>
                </c:pt>
                <c:pt idx="5">
                  <c:v>1.37285079063421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18336"/>
        <c:axId val="81119872"/>
      </c:scatterChart>
      <c:valAx>
        <c:axId val="81118336"/>
        <c:scaling>
          <c:orientation val="minMax"/>
          <c:max val="64"/>
          <c:min val="8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119872"/>
        <c:crosses val="autoZero"/>
        <c:crossBetween val="midCat"/>
      </c:valAx>
      <c:valAx>
        <c:axId val="81119872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11833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функции!$A$86:$A$90</c:f>
              <c:numCache>
                <c:formatCode>0.0</c:formatCode>
                <c:ptCount val="5"/>
                <c:pt idx="0">
                  <c:v>15.5555555555556</c:v>
                </c:pt>
                <c:pt idx="1">
                  <c:v>30</c:v>
                </c:pt>
                <c:pt idx="2">
                  <c:v>35</c:v>
                </c:pt>
                <c:pt idx="3">
                  <c:v>47.5</c:v>
                </c:pt>
                <c:pt idx="4">
                  <c:v>62.8571428571429</c:v>
                </c:pt>
              </c:numCache>
            </c:numRef>
          </c:xVal>
          <c:yVal>
            <c:numRef>
              <c:f>функции!$B$86:$B$90</c:f>
              <c:numCache>
                <c:formatCode>General</c:formatCode>
                <c:ptCount val="5"/>
                <c:pt idx="0">
                  <c:v>1.05057651105715</c:v>
                </c:pt>
                <c:pt idx="1">
                  <c:v>1.18781869533039</c:v>
                </c:pt>
                <c:pt idx="2">
                  <c:v>1.22099403323395</c:v>
                </c:pt>
                <c:pt idx="3">
                  <c:v>1.2601543639</c:v>
                </c:pt>
                <c:pt idx="4">
                  <c:v>1.37285079063421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56352"/>
        <c:axId val="81158144"/>
      </c:scatterChart>
      <c:valAx>
        <c:axId val="81156352"/>
        <c:scaling>
          <c:orientation val="minMax"/>
          <c:max val="64"/>
          <c:min val="8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158144"/>
        <c:crosses val="autoZero"/>
        <c:crossBetween val="midCat"/>
      </c:valAx>
      <c:valAx>
        <c:axId val="81158144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15635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функции!$A$99:$A$107</c:f>
              <c:numCache>
                <c:formatCode>0.0</c:formatCode>
                <c:ptCount val="9"/>
                <c:pt idx="0">
                  <c:v>7.5</c:v>
                </c:pt>
                <c:pt idx="1">
                  <c:v>11.1111111111111</c:v>
                </c:pt>
                <c:pt idx="2">
                  <c:v>17.5</c:v>
                </c:pt>
                <c:pt idx="3">
                  <c:v>17.5</c:v>
                </c:pt>
                <c:pt idx="4">
                  <c:v>20</c:v>
                </c:pt>
                <c:pt idx="5">
                  <c:v>35</c:v>
                </c:pt>
                <c:pt idx="6">
                  <c:v>35.5555555555556</c:v>
                </c:pt>
                <c:pt idx="7">
                  <c:v>53.3333333333333</c:v>
                </c:pt>
                <c:pt idx="8">
                  <c:v>62.5</c:v>
                </c:pt>
              </c:numCache>
            </c:numRef>
          </c:xVal>
          <c:yVal>
            <c:numRef>
              <c:f>функции!$B$99:$B$107</c:f>
              <c:numCache>
                <c:formatCode>General</c:formatCode>
                <c:ptCount val="9"/>
                <c:pt idx="0">
                  <c:v>0.943862731238816</c:v>
                </c:pt>
                <c:pt idx="1">
                  <c:v>1.00705489774309</c:v>
                </c:pt>
                <c:pt idx="2">
                  <c:v>1.24478341974083</c:v>
                </c:pt>
                <c:pt idx="3">
                  <c:v>1.11736007329225</c:v>
                </c:pt>
                <c:pt idx="4">
                  <c:v>1.11736007329225</c:v>
                </c:pt>
                <c:pt idx="5">
                  <c:v>1.13415583390299</c:v>
                </c:pt>
                <c:pt idx="6">
                  <c:v>1.33207804802924</c:v>
                </c:pt>
                <c:pt idx="7">
                  <c:v>1.24302053352523</c:v>
                </c:pt>
                <c:pt idx="8">
                  <c:v>1.36456440673705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82080"/>
        <c:axId val="81187968"/>
      </c:scatterChart>
      <c:valAx>
        <c:axId val="81182080"/>
        <c:scaling>
          <c:orientation val="minMax"/>
          <c:max val="64"/>
          <c:min val="0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187968"/>
        <c:crosses val="autoZero"/>
        <c:crossBetween val="midCat"/>
      </c:valAx>
      <c:valAx>
        <c:axId val="81187968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18208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trendline>
            <c:trendlineType val="linear"/>
            <c:dispRSqr val="0"/>
            <c:dispEq val="1"/>
            <c:trendlineLbl>
              <c:layout/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функции!$A$112:$A$118</c:f>
              <c:numCache>
                <c:formatCode>0.0</c:formatCode>
                <c:ptCount val="7"/>
                <c:pt idx="0">
                  <c:v>7.5</c:v>
                </c:pt>
                <c:pt idx="1">
                  <c:v>11.1111111111111</c:v>
                </c:pt>
                <c:pt idx="2">
                  <c:v>17.5</c:v>
                </c:pt>
                <c:pt idx="3">
                  <c:v>20</c:v>
                </c:pt>
                <c:pt idx="4">
                  <c:v>35</c:v>
                </c:pt>
                <c:pt idx="5">
                  <c:v>53.3333333333333</c:v>
                </c:pt>
                <c:pt idx="6">
                  <c:v>62.5</c:v>
                </c:pt>
              </c:numCache>
            </c:numRef>
          </c:xVal>
          <c:yVal>
            <c:numRef>
              <c:f>функции!$B$112:$B$118</c:f>
              <c:numCache>
                <c:formatCode>General</c:formatCode>
                <c:ptCount val="7"/>
                <c:pt idx="0">
                  <c:v>0.943862731238816</c:v>
                </c:pt>
                <c:pt idx="1">
                  <c:v>1.00705489774309</c:v>
                </c:pt>
                <c:pt idx="2">
                  <c:v>1.11736007329225</c:v>
                </c:pt>
                <c:pt idx="3">
                  <c:v>1.11736007329225</c:v>
                </c:pt>
                <c:pt idx="4">
                  <c:v>1.13415583390299</c:v>
                </c:pt>
                <c:pt idx="5">
                  <c:v>1.24302053352523</c:v>
                </c:pt>
                <c:pt idx="6">
                  <c:v>1.36456440673705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9968"/>
        <c:axId val="81221504"/>
      </c:scatterChart>
      <c:valAx>
        <c:axId val="81219968"/>
        <c:scaling>
          <c:orientation val="minMax"/>
          <c:max val="64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221504"/>
        <c:crosses val="autoZero"/>
        <c:crossBetween val="midCat"/>
      </c:valAx>
      <c:valAx>
        <c:axId val="81221504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2199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1" Type="http://schemas.openxmlformats.org/officeDocument/2006/relationships/chart" Target="../charts/chart31.xml"/><Relationship Id="rId30" Type="http://schemas.openxmlformats.org/officeDocument/2006/relationships/chart" Target="../charts/chart30.xml"/><Relationship Id="rId3" Type="http://schemas.openxmlformats.org/officeDocument/2006/relationships/chart" Target="../charts/chart3.xml"/><Relationship Id="rId29" Type="http://schemas.openxmlformats.org/officeDocument/2006/relationships/chart" Target="../charts/chart29.xml"/><Relationship Id="rId28" Type="http://schemas.openxmlformats.org/officeDocument/2006/relationships/chart" Target="../charts/chart28.xml"/><Relationship Id="rId27" Type="http://schemas.openxmlformats.org/officeDocument/2006/relationships/chart" Target="../charts/chart27.xml"/><Relationship Id="rId26" Type="http://schemas.openxmlformats.org/officeDocument/2006/relationships/chart" Target="../charts/chart26.xml"/><Relationship Id="rId25" Type="http://schemas.openxmlformats.org/officeDocument/2006/relationships/chart" Target="../charts/chart25.xml"/><Relationship Id="rId24" Type="http://schemas.openxmlformats.org/officeDocument/2006/relationships/chart" Target="../charts/chart24.xml"/><Relationship Id="rId23" Type="http://schemas.openxmlformats.org/officeDocument/2006/relationships/chart" Target="../charts/chart23.xml"/><Relationship Id="rId22" Type="http://schemas.openxmlformats.org/officeDocument/2006/relationships/chart" Target="../charts/chart22.xml"/><Relationship Id="rId21" Type="http://schemas.openxmlformats.org/officeDocument/2006/relationships/chart" Target="../charts/chart21.xml"/><Relationship Id="rId20" Type="http://schemas.openxmlformats.org/officeDocument/2006/relationships/chart" Target="../charts/chart20.xml"/><Relationship Id="rId2" Type="http://schemas.openxmlformats.org/officeDocument/2006/relationships/chart" Target="../charts/chart2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514350</xdr:colOff>
      <xdr:row>2</xdr:row>
      <xdr:rowOff>209550</xdr:rowOff>
    </xdr:from>
    <xdr:to>
      <xdr:col>9</xdr:col>
      <xdr:colOff>514350</xdr:colOff>
      <xdr:row>14</xdr:row>
      <xdr:rowOff>0</xdr:rowOff>
    </xdr:to>
    <xdr:graphicFrame>
      <xdr:nvGraphicFramePr>
        <xdr:cNvPr id="2" name="Диаграмма 1"/>
        <xdr:cNvGraphicFramePr/>
      </xdr:nvGraphicFramePr>
      <xdr:xfrm>
        <a:off x="4926330" y="666750"/>
        <a:ext cx="4526280" cy="2533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466725</xdr:colOff>
      <xdr:row>19</xdr:row>
      <xdr:rowOff>123825</xdr:rowOff>
    </xdr:from>
    <xdr:to>
      <xdr:col>9</xdr:col>
      <xdr:colOff>466725</xdr:colOff>
      <xdr:row>31</xdr:row>
      <xdr:rowOff>9525</xdr:rowOff>
    </xdr:to>
    <xdr:graphicFrame>
      <xdr:nvGraphicFramePr>
        <xdr:cNvPr id="3" name="Диаграмма 2"/>
        <xdr:cNvGraphicFramePr/>
      </xdr:nvGraphicFramePr>
      <xdr:xfrm>
        <a:off x="4878705" y="4467225"/>
        <a:ext cx="452628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466725</xdr:colOff>
      <xdr:row>31</xdr:row>
      <xdr:rowOff>200025</xdr:rowOff>
    </xdr:from>
    <xdr:to>
      <xdr:col>9</xdr:col>
      <xdr:colOff>466725</xdr:colOff>
      <xdr:row>43</xdr:row>
      <xdr:rowOff>85725</xdr:rowOff>
    </xdr:to>
    <xdr:graphicFrame>
      <xdr:nvGraphicFramePr>
        <xdr:cNvPr id="5" name="Диаграмма 4"/>
        <xdr:cNvGraphicFramePr/>
      </xdr:nvGraphicFramePr>
      <xdr:xfrm>
        <a:off x="4878705" y="7286625"/>
        <a:ext cx="452628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466725</xdr:colOff>
      <xdr:row>57</xdr:row>
      <xdr:rowOff>85725</xdr:rowOff>
    </xdr:from>
    <xdr:to>
      <xdr:col>9</xdr:col>
      <xdr:colOff>466725</xdr:colOff>
      <xdr:row>68</xdr:row>
      <xdr:rowOff>209550</xdr:rowOff>
    </xdr:to>
    <xdr:graphicFrame>
      <xdr:nvGraphicFramePr>
        <xdr:cNvPr id="7" name="Диаграмма 6"/>
        <xdr:cNvGraphicFramePr/>
      </xdr:nvGraphicFramePr>
      <xdr:xfrm>
        <a:off x="4878705" y="13115925"/>
        <a:ext cx="4526280" cy="2638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466725</xdr:colOff>
      <xdr:row>44</xdr:row>
      <xdr:rowOff>0</xdr:rowOff>
    </xdr:from>
    <xdr:to>
      <xdr:col>9</xdr:col>
      <xdr:colOff>466725</xdr:colOff>
      <xdr:row>55</xdr:row>
      <xdr:rowOff>123825</xdr:rowOff>
    </xdr:to>
    <xdr:graphicFrame>
      <xdr:nvGraphicFramePr>
        <xdr:cNvPr id="10" name="Диаграмма 9"/>
        <xdr:cNvGraphicFramePr/>
      </xdr:nvGraphicFramePr>
      <xdr:xfrm>
        <a:off x="4878705" y="10058400"/>
        <a:ext cx="4526280" cy="2638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466725</xdr:colOff>
      <xdr:row>70</xdr:row>
      <xdr:rowOff>57150</xdr:rowOff>
    </xdr:from>
    <xdr:to>
      <xdr:col>9</xdr:col>
      <xdr:colOff>466725</xdr:colOff>
      <xdr:row>81</xdr:row>
      <xdr:rowOff>180975</xdr:rowOff>
    </xdr:to>
    <xdr:graphicFrame>
      <xdr:nvGraphicFramePr>
        <xdr:cNvPr id="12" name="Диаграмма 11"/>
        <xdr:cNvGraphicFramePr/>
      </xdr:nvGraphicFramePr>
      <xdr:xfrm>
        <a:off x="4878705" y="16059150"/>
        <a:ext cx="4526280" cy="2638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457200</xdr:colOff>
      <xdr:row>83</xdr:row>
      <xdr:rowOff>9525</xdr:rowOff>
    </xdr:from>
    <xdr:to>
      <xdr:col>9</xdr:col>
      <xdr:colOff>457200</xdr:colOff>
      <xdr:row>94</xdr:row>
      <xdr:rowOff>133350</xdr:rowOff>
    </xdr:to>
    <xdr:graphicFrame>
      <xdr:nvGraphicFramePr>
        <xdr:cNvPr id="14" name="Диаграмма 13"/>
        <xdr:cNvGraphicFramePr/>
      </xdr:nvGraphicFramePr>
      <xdr:xfrm>
        <a:off x="4869180" y="18983325"/>
        <a:ext cx="4526280" cy="2638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438150</xdr:colOff>
      <xdr:row>95</xdr:row>
      <xdr:rowOff>219075</xdr:rowOff>
    </xdr:from>
    <xdr:to>
      <xdr:col>9</xdr:col>
      <xdr:colOff>438150</xdr:colOff>
      <xdr:row>107</xdr:row>
      <xdr:rowOff>104775</xdr:rowOff>
    </xdr:to>
    <xdr:graphicFrame>
      <xdr:nvGraphicFramePr>
        <xdr:cNvPr id="16" name="Диаграмма 15"/>
        <xdr:cNvGraphicFramePr/>
      </xdr:nvGraphicFramePr>
      <xdr:xfrm>
        <a:off x="4850130" y="21936075"/>
        <a:ext cx="452628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428625</xdr:colOff>
      <xdr:row>109</xdr:row>
      <xdr:rowOff>0</xdr:rowOff>
    </xdr:from>
    <xdr:to>
      <xdr:col>9</xdr:col>
      <xdr:colOff>428625</xdr:colOff>
      <xdr:row>120</xdr:row>
      <xdr:rowOff>123825</xdr:rowOff>
    </xdr:to>
    <xdr:graphicFrame>
      <xdr:nvGraphicFramePr>
        <xdr:cNvPr id="17" name="Диаграмма 16"/>
        <xdr:cNvGraphicFramePr/>
      </xdr:nvGraphicFramePr>
      <xdr:xfrm>
        <a:off x="4840605" y="24917400"/>
        <a:ext cx="4526280" cy="2638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419100</xdr:colOff>
      <xdr:row>122</xdr:row>
      <xdr:rowOff>0</xdr:rowOff>
    </xdr:from>
    <xdr:to>
      <xdr:col>9</xdr:col>
      <xdr:colOff>419100</xdr:colOff>
      <xdr:row>133</xdr:row>
      <xdr:rowOff>123825</xdr:rowOff>
    </xdr:to>
    <xdr:graphicFrame>
      <xdr:nvGraphicFramePr>
        <xdr:cNvPr id="18" name="Диаграмма 17"/>
        <xdr:cNvGraphicFramePr/>
      </xdr:nvGraphicFramePr>
      <xdr:xfrm>
        <a:off x="4831080" y="27889200"/>
        <a:ext cx="4526280" cy="264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390525</xdr:colOff>
      <xdr:row>134</xdr:row>
      <xdr:rowOff>114300</xdr:rowOff>
    </xdr:from>
    <xdr:to>
      <xdr:col>9</xdr:col>
      <xdr:colOff>390525</xdr:colOff>
      <xdr:row>146</xdr:row>
      <xdr:rowOff>0</xdr:rowOff>
    </xdr:to>
    <xdr:graphicFrame>
      <xdr:nvGraphicFramePr>
        <xdr:cNvPr id="19" name="Диаграмма 18"/>
        <xdr:cNvGraphicFramePr/>
      </xdr:nvGraphicFramePr>
      <xdr:xfrm>
        <a:off x="4802505" y="30756225"/>
        <a:ext cx="452628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409574</xdr:colOff>
      <xdr:row>150</xdr:row>
      <xdr:rowOff>171450</xdr:rowOff>
    </xdr:from>
    <xdr:to>
      <xdr:col>13</xdr:col>
      <xdr:colOff>114299</xdr:colOff>
      <xdr:row>162</xdr:row>
      <xdr:rowOff>57150</xdr:rowOff>
    </xdr:to>
    <xdr:graphicFrame>
      <xdr:nvGraphicFramePr>
        <xdr:cNvPr id="20" name="Диаграмма 19"/>
        <xdr:cNvGraphicFramePr/>
      </xdr:nvGraphicFramePr>
      <xdr:xfrm>
        <a:off x="4820920" y="34470975"/>
        <a:ext cx="7850505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152400</xdr:colOff>
      <xdr:row>197</xdr:row>
      <xdr:rowOff>38100</xdr:rowOff>
    </xdr:from>
    <xdr:to>
      <xdr:col>9</xdr:col>
      <xdr:colOff>152400</xdr:colOff>
      <xdr:row>208</xdr:row>
      <xdr:rowOff>161925</xdr:rowOff>
    </xdr:to>
    <xdr:graphicFrame>
      <xdr:nvGraphicFramePr>
        <xdr:cNvPr id="23" name="Диаграмма 22"/>
        <xdr:cNvGraphicFramePr/>
      </xdr:nvGraphicFramePr>
      <xdr:xfrm>
        <a:off x="4564380" y="45081825"/>
        <a:ext cx="4526280" cy="2638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133350</xdr:colOff>
      <xdr:row>210</xdr:row>
      <xdr:rowOff>28575</xdr:rowOff>
    </xdr:from>
    <xdr:to>
      <xdr:col>9</xdr:col>
      <xdr:colOff>133350</xdr:colOff>
      <xdr:row>221</xdr:row>
      <xdr:rowOff>152400</xdr:rowOff>
    </xdr:to>
    <xdr:graphicFrame>
      <xdr:nvGraphicFramePr>
        <xdr:cNvPr id="24" name="Диаграмма 23"/>
        <xdr:cNvGraphicFramePr/>
      </xdr:nvGraphicFramePr>
      <xdr:xfrm>
        <a:off x="4545330" y="48044100"/>
        <a:ext cx="4526280" cy="2638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123825</xdr:colOff>
      <xdr:row>223</xdr:row>
      <xdr:rowOff>209550</xdr:rowOff>
    </xdr:from>
    <xdr:to>
      <xdr:col>9</xdr:col>
      <xdr:colOff>123825</xdr:colOff>
      <xdr:row>235</xdr:row>
      <xdr:rowOff>95250</xdr:rowOff>
    </xdr:to>
    <xdr:graphicFrame>
      <xdr:nvGraphicFramePr>
        <xdr:cNvPr id="25" name="Диаграмма 24"/>
        <xdr:cNvGraphicFramePr/>
      </xdr:nvGraphicFramePr>
      <xdr:xfrm>
        <a:off x="4535805" y="51196875"/>
        <a:ext cx="452628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123825</xdr:colOff>
      <xdr:row>237</xdr:row>
      <xdr:rowOff>9525</xdr:rowOff>
    </xdr:from>
    <xdr:to>
      <xdr:col>9</xdr:col>
      <xdr:colOff>123825</xdr:colOff>
      <xdr:row>248</xdr:row>
      <xdr:rowOff>133350</xdr:rowOff>
    </xdr:to>
    <xdr:graphicFrame>
      <xdr:nvGraphicFramePr>
        <xdr:cNvPr id="26" name="Диаграмма 25"/>
        <xdr:cNvGraphicFramePr/>
      </xdr:nvGraphicFramePr>
      <xdr:xfrm>
        <a:off x="4535805" y="54197250"/>
        <a:ext cx="4526280" cy="2638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123825</xdr:colOff>
      <xdr:row>250</xdr:row>
      <xdr:rowOff>161925</xdr:rowOff>
    </xdr:from>
    <xdr:to>
      <xdr:col>9</xdr:col>
      <xdr:colOff>123825</xdr:colOff>
      <xdr:row>262</xdr:row>
      <xdr:rowOff>95250</xdr:rowOff>
    </xdr:to>
    <xdr:graphicFrame>
      <xdr:nvGraphicFramePr>
        <xdr:cNvPr id="27" name="Диаграмма 26"/>
        <xdr:cNvGraphicFramePr/>
      </xdr:nvGraphicFramePr>
      <xdr:xfrm>
        <a:off x="4535805" y="57321450"/>
        <a:ext cx="4526280" cy="2676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323850</xdr:colOff>
      <xdr:row>264</xdr:row>
      <xdr:rowOff>133350</xdr:rowOff>
    </xdr:from>
    <xdr:to>
      <xdr:col>9</xdr:col>
      <xdr:colOff>323850</xdr:colOff>
      <xdr:row>276</xdr:row>
      <xdr:rowOff>19050</xdr:rowOff>
    </xdr:to>
    <xdr:graphicFrame>
      <xdr:nvGraphicFramePr>
        <xdr:cNvPr id="28" name="Диаграмма 27"/>
        <xdr:cNvGraphicFramePr/>
      </xdr:nvGraphicFramePr>
      <xdr:xfrm>
        <a:off x="4735830" y="60493275"/>
        <a:ext cx="452628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323850</xdr:colOff>
      <xdr:row>276</xdr:row>
      <xdr:rowOff>219075</xdr:rowOff>
    </xdr:from>
    <xdr:to>
      <xdr:col>9</xdr:col>
      <xdr:colOff>323850</xdr:colOff>
      <xdr:row>288</xdr:row>
      <xdr:rowOff>104775</xdr:rowOff>
    </xdr:to>
    <xdr:graphicFrame>
      <xdr:nvGraphicFramePr>
        <xdr:cNvPr id="30" name="Диаграмма 29"/>
        <xdr:cNvGraphicFramePr/>
      </xdr:nvGraphicFramePr>
      <xdr:xfrm>
        <a:off x="4735830" y="63322200"/>
        <a:ext cx="452628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333375</xdr:colOff>
      <xdr:row>289</xdr:row>
      <xdr:rowOff>76200</xdr:rowOff>
    </xdr:from>
    <xdr:to>
      <xdr:col>9</xdr:col>
      <xdr:colOff>333375</xdr:colOff>
      <xdr:row>300</xdr:row>
      <xdr:rowOff>200025</xdr:rowOff>
    </xdr:to>
    <xdr:graphicFrame>
      <xdr:nvGraphicFramePr>
        <xdr:cNvPr id="31" name="Диаграмма 30"/>
        <xdr:cNvGraphicFramePr/>
      </xdr:nvGraphicFramePr>
      <xdr:xfrm>
        <a:off x="4745355" y="66151125"/>
        <a:ext cx="4526280" cy="2638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323850</xdr:colOff>
      <xdr:row>302</xdr:row>
      <xdr:rowOff>9525</xdr:rowOff>
    </xdr:from>
    <xdr:to>
      <xdr:col>9</xdr:col>
      <xdr:colOff>323850</xdr:colOff>
      <xdr:row>313</xdr:row>
      <xdr:rowOff>133350</xdr:rowOff>
    </xdr:to>
    <xdr:graphicFrame>
      <xdr:nvGraphicFramePr>
        <xdr:cNvPr id="32" name="Диаграмма 31"/>
        <xdr:cNvGraphicFramePr/>
      </xdr:nvGraphicFramePr>
      <xdr:xfrm>
        <a:off x="4735830" y="69056250"/>
        <a:ext cx="4526280" cy="2638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314325</xdr:colOff>
      <xdr:row>315</xdr:row>
      <xdr:rowOff>76200</xdr:rowOff>
    </xdr:from>
    <xdr:to>
      <xdr:col>9</xdr:col>
      <xdr:colOff>314325</xdr:colOff>
      <xdr:row>326</xdr:row>
      <xdr:rowOff>200025</xdr:rowOff>
    </xdr:to>
    <xdr:graphicFrame>
      <xdr:nvGraphicFramePr>
        <xdr:cNvPr id="33" name="Диаграмма 32"/>
        <xdr:cNvGraphicFramePr/>
      </xdr:nvGraphicFramePr>
      <xdr:xfrm>
        <a:off x="4726305" y="72094725"/>
        <a:ext cx="4526280" cy="2638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353786</xdr:colOff>
      <xdr:row>329</xdr:row>
      <xdr:rowOff>95250</xdr:rowOff>
    </xdr:from>
    <xdr:to>
      <xdr:col>13</xdr:col>
      <xdr:colOff>0</xdr:colOff>
      <xdr:row>340</xdr:row>
      <xdr:rowOff>149679</xdr:rowOff>
    </xdr:to>
    <xdr:graphicFrame>
      <xdr:nvGraphicFramePr>
        <xdr:cNvPr id="29" name="Диаграмма 28"/>
        <xdr:cNvGraphicFramePr/>
      </xdr:nvGraphicFramePr>
      <xdr:xfrm>
        <a:off x="4765675" y="75314175"/>
        <a:ext cx="7792085" cy="2568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102419</xdr:colOff>
      <xdr:row>392</xdr:row>
      <xdr:rowOff>133145</xdr:rowOff>
    </xdr:from>
    <xdr:to>
      <xdr:col>10</xdr:col>
      <xdr:colOff>112661</xdr:colOff>
      <xdr:row>404</xdr:row>
      <xdr:rowOff>51209</xdr:rowOff>
    </xdr:to>
    <xdr:graphicFrame>
      <xdr:nvGraphicFramePr>
        <xdr:cNvPr id="35" name="Диаграмма 34"/>
        <xdr:cNvGraphicFramePr/>
      </xdr:nvGraphicFramePr>
      <xdr:xfrm>
        <a:off x="4514215" y="89753440"/>
        <a:ext cx="5290820" cy="2661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14</xdr:col>
      <xdr:colOff>225323</xdr:colOff>
      <xdr:row>31</xdr:row>
      <xdr:rowOff>121264</xdr:rowOff>
    </xdr:to>
    <xdr:graphicFrame>
      <xdr:nvGraphicFramePr>
        <xdr:cNvPr id="37" name="Диаграмма 36"/>
        <xdr:cNvGraphicFramePr/>
      </xdr:nvGraphicFramePr>
      <xdr:xfrm>
        <a:off x="10447020" y="4572000"/>
        <a:ext cx="4461510" cy="2635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0</xdr:colOff>
      <xdr:row>164</xdr:row>
      <xdr:rowOff>0</xdr:rowOff>
    </xdr:from>
    <xdr:to>
      <xdr:col>12</xdr:col>
      <xdr:colOff>462628</xdr:colOff>
      <xdr:row>175</xdr:row>
      <xdr:rowOff>121266</xdr:rowOff>
    </xdr:to>
    <xdr:graphicFrame>
      <xdr:nvGraphicFramePr>
        <xdr:cNvPr id="34" name="Диаграмма 33"/>
        <xdr:cNvGraphicFramePr/>
      </xdr:nvGraphicFramePr>
      <xdr:xfrm>
        <a:off x="4411980" y="37499925"/>
        <a:ext cx="7853680" cy="2635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0</xdr:colOff>
      <xdr:row>302</xdr:row>
      <xdr:rowOff>0</xdr:rowOff>
    </xdr:from>
    <xdr:to>
      <xdr:col>14</xdr:col>
      <xdr:colOff>244928</xdr:colOff>
      <xdr:row>313</xdr:row>
      <xdr:rowOff>123825</xdr:rowOff>
    </xdr:to>
    <xdr:graphicFrame>
      <xdr:nvGraphicFramePr>
        <xdr:cNvPr id="36" name="Диаграмма 35"/>
        <xdr:cNvGraphicFramePr/>
      </xdr:nvGraphicFramePr>
      <xdr:xfrm>
        <a:off x="10447020" y="69046725"/>
        <a:ext cx="4481195" cy="2638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11</xdr:col>
      <xdr:colOff>0</xdr:colOff>
      <xdr:row>57</xdr:row>
      <xdr:rowOff>108857</xdr:rowOff>
    </xdr:from>
    <xdr:to>
      <xdr:col>14</xdr:col>
      <xdr:colOff>244928</xdr:colOff>
      <xdr:row>68</xdr:row>
      <xdr:rowOff>232682</xdr:rowOff>
    </xdr:to>
    <xdr:graphicFrame>
      <xdr:nvGraphicFramePr>
        <xdr:cNvPr id="38" name="Диаграмма 37"/>
        <xdr:cNvGraphicFramePr/>
      </xdr:nvGraphicFramePr>
      <xdr:xfrm>
        <a:off x="10447020" y="13138785"/>
        <a:ext cx="4481195" cy="2634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0</xdr:colOff>
      <xdr:row>83</xdr:row>
      <xdr:rowOff>0</xdr:rowOff>
    </xdr:from>
    <xdr:to>
      <xdr:col>14</xdr:col>
      <xdr:colOff>244928</xdr:colOff>
      <xdr:row>94</xdr:row>
      <xdr:rowOff>123825</xdr:rowOff>
    </xdr:to>
    <xdr:graphicFrame>
      <xdr:nvGraphicFramePr>
        <xdr:cNvPr id="39" name="Диаграмма 38"/>
        <xdr:cNvGraphicFramePr/>
      </xdr:nvGraphicFramePr>
      <xdr:xfrm>
        <a:off x="10447020" y="18973800"/>
        <a:ext cx="4481195" cy="2638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11</xdr:col>
      <xdr:colOff>0</xdr:colOff>
      <xdr:row>315</xdr:row>
      <xdr:rowOff>0</xdr:rowOff>
    </xdr:from>
    <xdr:to>
      <xdr:col>14</xdr:col>
      <xdr:colOff>244928</xdr:colOff>
      <xdr:row>326</xdr:row>
      <xdr:rowOff>123825</xdr:rowOff>
    </xdr:to>
    <xdr:graphicFrame>
      <xdr:nvGraphicFramePr>
        <xdr:cNvPr id="40" name="Диаграмма 39"/>
        <xdr:cNvGraphicFramePr/>
      </xdr:nvGraphicFramePr>
      <xdr:xfrm>
        <a:off x="10447020" y="72018525"/>
        <a:ext cx="4481195" cy="2638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17</xdr:col>
      <xdr:colOff>231321</xdr:colOff>
      <xdr:row>382</xdr:row>
      <xdr:rowOff>54429</xdr:rowOff>
    </xdr:from>
    <xdr:to>
      <xdr:col>23</xdr:col>
      <xdr:colOff>733425</xdr:colOff>
      <xdr:row>393</xdr:row>
      <xdr:rowOff>108857</xdr:rowOff>
    </xdr:to>
    <xdr:graphicFrame>
      <xdr:nvGraphicFramePr>
        <xdr:cNvPr id="41" name="Диаграмма 40"/>
        <xdr:cNvGraphicFramePr/>
      </xdr:nvGraphicFramePr>
      <xdr:xfrm>
        <a:off x="17178020" y="87388700"/>
        <a:ext cx="5028565" cy="2569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0.32552</cdr:x>
      <cdr:y>0.8087</cdr:y>
    </cdr:from>
    <cdr:to>
      <cdr:x>0.73958</cdr:x>
      <cdr:y>0.91739</cdr:y>
    </cdr:to>
    <cdr:sp>
      <cdr:nvSpPr>
        <cdr:cNvPr id="2" name="Прямоугольник 1"/>
        <cdr:cNvSpPr/>
      </cdr:nvSpPr>
      <cdr:spPr xmlns:a="http://schemas.openxmlformats.org/drawingml/2006/main">
        <a:xfrm xmlns:a="http://schemas.openxmlformats.org/drawingml/2006/main">
          <a:off x="1488282" y="2214563"/>
          <a:ext cx="1893094" cy="297657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Calibri" panose="020F0502020204030204"/>
            </a:defRPr>
          </a:lvl1pPr>
          <a:lvl2pPr marL="457200" indent="0">
            <a:defRPr sz="1100">
              <a:latin typeface="Calibri" panose="020F0502020204030204"/>
            </a:defRPr>
          </a:lvl2pPr>
          <a:lvl3pPr marL="914400" indent="0">
            <a:defRPr sz="1100">
              <a:latin typeface="Calibri" panose="020F0502020204030204"/>
            </a:defRPr>
          </a:lvl3pPr>
          <a:lvl4pPr marL="1371600" indent="0">
            <a:defRPr sz="1100">
              <a:latin typeface="Calibri" panose="020F0502020204030204"/>
            </a:defRPr>
          </a:lvl4pPr>
          <a:lvl5pPr marL="1828800" indent="0">
            <a:defRPr sz="1100">
              <a:latin typeface="Calibri" panose="020F0502020204030204"/>
            </a:defRPr>
          </a:lvl5pPr>
          <a:lvl6pPr marL="2286000" indent="0">
            <a:defRPr sz="1100">
              <a:latin typeface="Calibri" panose="020F0502020204030204"/>
            </a:defRPr>
          </a:lvl6pPr>
          <a:lvl7pPr marL="2743200" indent="0">
            <a:defRPr sz="1100">
              <a:latin typeface="Calibri" panose="020F0502020204030204"/>
            </a:defRPr>
          </a:lvl7pPr>
          <a:lvl8pPr marL="3200400" indent="0">
            <a:defRPr sz="1100">
              <a:latin typeface="Calibri" panose="020F0502020204030204"/>
            </a:defRPr>
          </a:lvl8pPr>
          <a:lvl9pPr marL="3657600" indent="0">
            <a:defRPr sz="1100">
              <a:latin typeface="Calibri" panose="020F0502020204030204"/>
            </a:defRPr>
          </a:lvl9pPr>
        </a:lstStyle>
        <a:p>
          <a:r>
            <a:rPr lang="ru-RU" sz="1100"/>
            <a:t>потребители тепловой сети</a:t>
          </a:r>
          <a:endParaRPr lang="ru-RU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0.08594</cdr:x>
      <cdr:y>0.71304</cdr:y>
    </cdr:to>
    <cdr:sp>
      <cdr:nvSpPr>
        <cdr:cNvPr id="3" name="Прямоугольник 2"/>
        <cdr:cNvSpPr/>
      </cdr:nvSpPr>
      <cdr:spPr xmlns:a="http://schemas.openxmlformats.org/drawingml/2006/main">
        <a:xfrm xmlns:a="http://schemas.openxmlformats.org/drawingml/2006/main">
          <a:off x="0" y="0"/>
          <a:ext cx="392906" cy="1952624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="vert270" wrap="square" rtlCol="0"/>
        <a:lstStyle>
          <a:lvl1pPr marL="0" indent="0">
            <a:defRPr sz="1100">
              <a:latin typeface="Calibri" panose="020F0502020204030204"/>
            </a:defRPr>
          </a:lvl1pPr>
          <a:lvl2pPr marL="457200" indent="0">
            <a:defRPr sz="1100">
              <a:latin typeface="Calibri" panose="020F0502020204030204"/>
            </a:defRPr>
          </a:lvl2pPr>
          <a:lvl3pPr marL="914400" indent="0">
            <a:defRPr sz="1100">
              <a:latin typeface="Calibri" panose="020F0502020204030204"/>
            </a:defRPr>
          </a:lvl3pPr>
          <a:lvl4pPr marL="1371600" indent="0">
            <a:defRPr sz="1100">
              <a:latin typeface="Calibri" panose="020F0502020204030204"/>
            </a:defRPr>
          </a:lvl4pPr>
          <a:lvl5pPr marL="1828800" indent="0">
            <a:defRPr sz="1100">
              <a:latin typeface="Calibri" panose="020F0502020204030204"/>
            </a:defRPr>
          </a:lvl5pPr>
          <a:lvl6pPr marL="2286000" indent="0">
            <a:defRPr sz="1100">
              <a:latin typeface="Calibri" panose="020F0502020204030204"/>
            </a:defRPr>
          </a:lvl6pPr>
          <a:lvl7pPr marL="2743200" indent="0">
            <a:defRPr sz="1100">
              <a:latin typeface="Calibri" panose="020F0502020204030204"/>
            </a:defRPr>
          </a:lvl7pPr>
          <a:lvl8pPr marL="3200400" indent="0">
            <a:defRPr sz="1100">
              <a:latin typeface="Calibri" panose="020F0502020204030204"/>
            </a:defRPr>
          </a:lvl8pPr>
          <a:lvl9pPr marL="3657600" indent="0">
            <a:defRPr sz="1100">
              <a:latin typeface="Calibri" panose="020F0502020204030204"/>
            </a:defRPr>
          </a:lvl9pPr>
        </a:lstStyle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Недоотпуск теплоты, Гкал</a:t>
          </a:r>
          <a:endParaRPr lang="ru-RU" sz="1200" baseline="30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0.16185</cdr:x>
      <cdr:y>0.00746</cdr:y>
    </cdr:from>
    <cdr:to>
      <cdr:x>0.3237</cdr:x>
      <cdr:y>0.09328</cdr:y>
    </cdr:to>
    <cdr:sp>
      <cdr:nvSpPr>
        <cdr:cNvPr id="2" name="Прямоугольник 1"/>
        <cdr:cNvSpPr/>
      </cdr:nvSpPr>
      <cdr:spPr xmlns:a="http://schemas.openxmlformats.org/drawingml/2006/main">
        <a:xfrm xmlns:a="http://schemas.openxmlformats.org/drawingml/2006/main">
          <a:off x="860323" y="20484"/>
          <a:ext cx="860322" cy="23556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/>
        <a:p>
          <a:r>
            <a:rPr lang="en-US" sz="1200" b="1" i="1">
              <a:latin typeface="Times New Roman" panose="02020603050405020304" pitchFamily="18" charset="0"/>
              <a:cs typeface="Times New Roman" panose="02020603050405020304" pitchFamily="18" charset="0"/>
              <a:sym typeface="Symbol" panose="05050102010706020507"/>
            </a:rPr>
            <a:t>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,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1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/(ч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  <a:sym typeface="Symbol" panose="05050102010706020507"/>
            </a:rPr>
            <a:t>км)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0.92293</cdr:x>
      <cdr:y>0.75</cdr:y>
    </cdr:from>
    <cdr:to>
      <cdr:x>0.97688</cdr:x>
      <cdr:y>0.85075</cdr:y>
    </cdr:to>
    <cdr:sp>
      <cdr:nvSpPr>
        <cdr:cNvPr id="3" name="Прямоугольник 2"/>
        <cdr:cNvSpPr/>
      </cdr:nvSpPr>
      <cdr:spPr xmlns:a="http://schemas.openxmlformats.org/drawingml/2006/main">
        <a:xfrm xmlns:a="http://schemas.openxmlformats.org/drawingml/2006/main">
          <a:off x="4905887" y="2058629"/>
          <a:ext cx="286774" cy="276532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/>
        <a:p>
          <a:r>
            <a:rPr lang="en-US" sz="1200" b="1" i="1">
              <a:latin typeface="Times New Roman" panose="02020603050405020304" pitchFamily="18" charset="0"/>
              <a:cs typeface="Times New Roman" panose="02020603050405020304" pitchFamily="18" charset="0"/>
              <a:sym typeface="Symbol" panose="05050102010706020507"/>
            </a:rPr>
            <a:t>i</a:t>
          </a:r>
          <a:endParaRPr lang="ru-RU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0.12613</cdr:x>
      <cdr:y>0.05286</cdr:y>
    </cdr:from>
    <cdr:to>
      <cdr:x>0.21847</cdr:x>
      <cdr:y>0.18879</cdr:y>
    </cdr:to>
    <cdr:sp>
      <cdr:nvSpPr>
        <cdr:cNvPr id="2" name="Прямоугольник 1"/>
        <cdr:cNvSpPr/>
      </cdr:nvSpPr>
      <cdr:spPr xmlns:a="http://schemas.openxmlformats.org/drawingml/2006/main">
        <a:xfrm xmlns:a="http://schemas.openxmlformats.org/drawingml/2006/main">
          <a:off x="573548" y="143388"/>
          <a:ext cx="419919" cy="36871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Ki</a:t>
          </a:r>
          <a:endParaRPr lang="ru-RU" sz="1200" b="1" baseline="30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0.86937</cdr:x>
      <cdr:y>0.7514</cdr:y>
    </cdr:from>
    <cdr:to>
      <cdr:x>0.96171</cdr:x>
      <cdr:y>0.88733</cdr:y>
    </cdr:to>
    <cdr:sp>
      <cdr:nvSpPr>
        <cdr:cNvPr id="3" name="Прямоугольник 2"/>
        <cdr:cNvSpPr/>
      </cdr:nvSpPr>
      <cdr:spPr xmlns:a="http://schemas.openxmlformats.org/drawingml/2006/main">
        <a:xfrm xmlns:a="http://schemas.openxmlformats.org/drawingml/2006/main">
          <a:off x="3953388" y="2038146"/>
          <a:ext cx="419919" cy="36871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K1</a:t>
          </a:r>
          <a:endParaRPr lang="ru-RU" sz="1200" b="1" baseline="30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180975</xdr:colOff>
      <xdr:row>3</xdr:row>
      <xdr:rowOff>76200</xdr:rowOff>
    </xdr:from>
    <xdr:to>
      <xdr:col>13</xdr:col>
      <xdr:colOff>229960</xdr:colOff>
      <xdr:row>16</xdr:row>
      <xdr:rowOff>219074</xdr:rowOff>
    </xdr:to>
    <xdr:graphicFrame>
      <xdr:nvGraphicFramePr>
        <xdr:cNvPr id="3" name="Диаграмма 2"/>
        <xdr:cNvGraphicFramePr/>
      </xdr:nvGraphicFramePr>
      <xdr:xfrm>
        <a:off x="4250055" y="762000"/>
        <a:ext cx="6838315" cy="311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685800</xdr:colOff>
      <xdr:row>46</xdr:row>
      <xdr:rowOff>95250</xdr:rowOff>
    </xdr:from>
    <xdr:to>
      <xdr:col>16</xdr:col>
      <xdr:colOff>38100</xdr:colOff>
      <xdr:row>70</xdr:row>
      <xdr:rowOff>19050</xdr:rowOff>
    </xdr:to>
    <xdr:graphicFrame>
      <xdr:nvGraphicFramePr>
        <xdr:cNvPr id="4" name="Диаграмма 3"/>
        <xdr:cNvGraphicFramePr/>
      </xdr:nvGraphicFramePr>
      <xdr:xfrm>
        <a:off x="4754880" y="10610850"/>
        <a:ext cx="8404860" cy="541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</xdr:colOff>
      <xdr:row>81</xdr:row>
      <xdr:rowOff>71439</xdr:rowOff>
    </xdr:from>
    <xdr:to>
      <xdr:col>12</xdr:col>
      <xdr:colOff>154783</xdr:colOff>
      <xdr:row>96</xdr:row>
      <xdr:rowOff>119064</xdr:rowOff>
    </xdr:to>
    <xdr:graphicFrame>
      <xdr:nvGraphicFramePr>
        <xdr:cNvPr id="6" name="Диаграмма 5"/>
        <xdr:cNvGraphicFramePr/>
      </xdr:nvGraphicFramePr>
      <xdr:xfrm>
        <a:off x="4116705" y="18587720"/>
        <a:ext cx="6141720" cy="3476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261937</xdr:colOff>
      <xdr:row>111</xdr:row>
      <xdr:rowOff>166688</xdr:rowOff>
    </xdr:from>
    <xdr:to>
      <xdr:col>13</xdr:col>
      <xdr:colOff>0</xdr:colOff>
      <xdr:row>124</xdr:row>
      <xdr:rowOff>0</xdr:rowOff>
    </xdr:to>
    <xdr:graphicFrame>
      <xdr:nvGraphicFramePr>
        <xdr:cNvPr id="7" name="Диаграмма 6"/>
        <xdr:cNvGraphicFramePr/>
      </xdr:nvGraphicFramePr>
      <xdr:xfrm>
        <a:off x="5839460" y="25540970"/>
        <a:ext cx="5019040" cy="2805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273844</xdr:colOff>
      <xdr:row>124</xdr:row>
      <xdr:rowOff>214313</xdr:rowOff>
    </xdr:from>
    <xdr:to>
      <xdr:col>13</xdr:col>
      <xdr:colOff>11907</xdr:colOff>
      <xdr:row>136</xdr:row>
      <xdr:rowOff>95250</xdr:rowOff>
    </xdr:to>
    <xdr:graphicFrame>
      <xdr:nvGraphicFramePr>
        <xdr:cNvPr id="8" name="Диаграмма 7"/>
        <xdr:cNvGraphicFramePr/>
      </xdr:nvGraphicFramePr>
      <xdr:xfrm>
        <a:off x="5851525" y="28560395"/>
        <a:ext cx="5018405" cy="2624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202406</xdr:colOff>
      <xdr:row>138</xdr:row>
      <xdr:rowOff>11907</xdr:rowOff>
    </xdr:from>
    <xdr:to>
      <xdr:col>11</xdr:col>
      <xdr:colOff>202406</xdr:colOff>
      <xdr:row>149</xdr:row>
      <xdr:rowOff>130969</xdr:rowOff>
    </xdr:to>
    <xdr:graphicFrame>
      <xdr:nvGraphicFramePr>
        <xdr:cNvPr id="9" name="Диаграмма 8"/>
        <xdr:cNvGraphicFramePr/>
      </xdr:nvGraphicFramePr>
      <xdr:xfrm>
        <a:off x="5025390" y="31558230"/>
        <a:ext cx="4526280" cy="263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0.02059</cdr:y>
    </cdr:from>
    <cdr:to>
      <cdr:x>0.0593</cdr:x>
      <cdr:y>0.74706</cdr:y>
    </cdr:to>
    <cdr:sp>
      <cdr:nvSpPr>
        <cdr:cNvPr id="2" name="Прямоугольник 1"/>
        <cdr:cNvSpPr/>
      </cdr:nvSpPr>
      <cdr:spPr xmlns:a="http://schemas.openxmlformats.org/drawingml/2006/main">
        <a:xfrm xmlns:a="http://schemas.openxmlformats.org/drawingml/2006/main">
          <a:off x="0" y="66674"/>
          <a:ext cx="409574" cy="23526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vert="vert270" wrap="square" rtlCol="0"/>
        <a:lstStyle/>
        <a:p>
          <a:r>
            <a:rPr lang="ru-RU" sz="1200" b="1">
              <a:latin typeface="Times New Roman" panose="02020603050405020304" pitchFamily="18" charset="0"/>
              <a:cs typeface="Times New Roman" panose="02020603050405020304" pitchFamily="18" charset="0"/>
            </a:rPr>
            <a:t>интенсивность отказов, 1/(км∙ч)</a:t>
          </a:r>
          <a:endParaRPr lang="ru-RU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0.46198</cdr:x>
      <cdr:y>0.90588</cdr:y>
    </cdr:from>
    <cdr:to>
      <cdr:x>0.62608</cdr:x>
      <cdr:y>0.98823</cdr:y>
    </cdr:to>
    <cdr:sp>
      <cdr:nvSpPr>
        <cdr:cNvPr id="3" name="Прямоугольник 2"/>
        <cdr:cNvSpPr/>
      </cdr:nvSpPr>
      <cdr:spPr xmlns:a="http://schemas.openxmlformats.org/drawingml/2006/main">
        <a:xfrm xmlns:a="http://schemas.openxmlformats.org/drawingml/2006/main">
          <a:off x="3190875" y="2933699"/>
          <a:ext cx="1133475" cy="2666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ru-RU" sz="1200" b="1">
              <a:latin typeface="Times New Roman" panose="02020603050405020304" pitchFamily="18" charset="0"/>
              <a:cs typeface="Times New Roman" panose="02020603050405020304" pitchFamily="18" charset="0"/>
            </a:rPr>
            <a:t>Элемент ТС</a:t>
          </a:r>
          <a:endParaRPr lang="ru-RU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</cdr:x>
      <cdr:y>0.02059</cdr:y>
    </cdr:from>
    <cdr:to>
      <cdr:x>0.0593</cdr:x>
      <cdr:y>0.74706</cdr:y>
    </cdr:to>
    <cdr:sp>
      <cdr:nvSpPr>
        <cdr:cNvPr id="4" name="Прямоугольник 3"/>
        <cdr:cNvSpPr/>
      </cdr:nvSpPr>
      <cdr:spPr xmlns:a="http://schemas.openxmlformats.org/drawingml/2006/main">
        <a:xfrm xmlns:a="http://schemas.openxmlformats.org/drawingml/2006/main">
          <a:off x="0" y="66674"/>
          <a:ext cx="409574" cy="23526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vert="vert270" wrap="square" rtlCol="0"/>
        <a:lstStyle/>
        <a:p>
          <a:r>
            <a:rPr lang="ru-RU" sz="1200" b="1">
              <a:latin typeface="Times New Roman" panose="02020603050405020304" pitchFamily="18" charset="0"/>
              <a:cs typeface="Times New Roman" panose="02020603050405020304" pitchFamily="18" charset="0"/>
            </a:rPr>
            <a:t>интенсивность отказов, 1/(км∙ч)</a:t>
          </a:r>
          <a:endParaRPr lang="ru-RU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0.46198</cdr:x>
      <cdr:y>0.90588</cdr:y>
    </cdr:from>
    <cdr:to>
      <cdr:x>0.62608</cdr:x>
      <cdr:y>0.98823</cdr:y>
    </cdr:to>
    <cdr:sp>
      <cdr:nvSpPr>
        <cdr:cNvPr id="5" name="Прямоугольник 4"/>
        <cdr:cNvSpPr/>
      </cdr:nvSpPr>
      <cdr:spPr xmlns:a="http://schemas.openxmlformats.org/drawingml/2006/main">
        <a:xfrm xmlns:a="http://schemas.openxmlformats.org/drawingml/2006/main">
          <a:off x="3190875" y="2933699"/>
          <a:ext cx="1133475" cy="2666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ru-RU" sz="1200" b="1">
              <a:latin typeface="Times New Roman" panose="02020603050405020304" pitchFamily="18" charset="0"/>
              <a:cs typeface="Times New Roman" panose="02020603050405020304" pitchFamily="18" charset="0"/>
            </a:rPr>
            <a:t>Элемент ТС</a:t>
          </a:r>
          <a:endParaRPr lang="ru-RU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0.43498</cdr:x>
      <cdr:y>0.92905</cdr:y>
    </cdr:from>
    <cdr:to>
      <cdr:x>0.62136</cdr:x>
      <cdr:y>0.98395</cdr:y>
    </cdr:to>
    <cdr:sp>
      <cdr:nvSpPr>
        <cdr:cNvPr id="2" name="Прямоугольник 1"/>
        <cdr:cNvSpPr/>
      </cdr:nvSpPr>
      <cdr:spPr xmlns:a="http://schemas.openxmlformats.org/drawingml/2006/main">
        <a:xfrm xmlns:a="http://schemas.openxmlformats.org/drawingml/2006/main">
          <a:off x="3695701" y="5238750"/>
          <a:ext cx="1583532" cy="309563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ru-RU" sz="1100"/>
            <a:t>элемент тепловой сети</a:t>
          </a:r>
          <a:endParaRPr lang="ru-RU" sz="1100"/>
        </a:p>
      </cdr:txBody>
    </cdr:sp>
  </cdr:relSizeAnchor>
  <cdr:relSizeAnchor xmlns:cdr="http://schemas.openxmlformats.org/drawingml/2006/chartDrawing">
    <cdr:from>
      <cdr:x>0.00897</cdr:x>
      <cdr:y>0.24704</cdr:y>
    </cdr:from>
    <cdr:to>
      <cdr:x>0.05101</cdr:x>
      <cdr:y>0.5891</cdr:y>
    </cdr:to>
    <cdr:sp>
      <cdr:nvSpPr>
        <cdr:cNvPr id="3" name="Прямоугольник 2"/>
        <cdr:cNvSpPr/>
      </cdr:nvSpPr>
      <cdr:spPr xmlns:a="http://schemas.openxmlformats.org/drawingml/2006/main">
        <a:xfrm xmlns:a="http://schemas.openxmlformats.org/drawingml/2006/main">
          <a:off x="76202" y="1393032"/>
          <a:ext cx="357188" cy="1928812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vert="vert270" wrap="square" rtlCol="0"/>
        <a:lstStyle/>
        <a:p>
          <a:r>
            <a:rPr lang="ru-RU" sz="1100"/>
            <a:t>параметр потока отказов, 1/ч</a:t>
          </a:r>
          <a:endParaRPr lang="ru-RU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0.36852</cdr:x>
      <cdr:y>0.88816</cdr:y>
    </cdr:from>
    <cdr:to>
      <cdr:x>0.6238</cdr:x>
      <cdr:y>0.97368</cdr:y>
    </cdr:to>
    <cdr:sp>
      <cdr:nvSpPr>
        <cdr:cNvPr id="2" name="Прямоугольник 1"/>
        <cdr:cNvSpPr/>
      </cdr:nvSpPr>
      <cdr:spPr xmlns:a="http://schemas.openxmlformats.org/drawingml/2006/main">
        <a:xfrm xmlns:a="http://schemas.openxmlformats.org/drawingml/2006/main">
          <a:off x="2286000" y="3214688"/>
          <a:ext cx="1583532" cy="309563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Calibri" panose="020F0502020204030204"/>
            </a:defRPr>
          </a:lvl1pPr>
          <a:lvl2pPr marL="457200" indent="0">
            <a:defRPr sz="1100">
              <a:latin typeface="Calibri" panose="020F0502020204030204"/>
            </a:defRPr>
          </a:lvl2pPr>
          <a:lvl3pPr marL="914400" indent="0">
            <a:defRPr sz="1100">
              <a:latin typeface="Calibri" panose="020F0502020204030204"/>
            </a:defRPr>
          </a:lvl3pPr>
          <a:lvl4pPr marL="1371600" indent="0">
            <a:defRPr sz="1100">
              <a:latin typeface="Calibri" panose="020F0502020204030204"/>
            </a:defRPr>
          </a:lvl4pPr>
          <a:lvl5pPr marL="1828800" indent="0">
            <a:defRPr sz="1100">
              <a:latin typeface="Calibri" panose="020F0502020204030204"/>
            </a:defRPr>
          </a:lvl5pPr>
          <a:lvl6pPr marL="2286000" indent="0">
            <a:defRPr sz="1100">
              <a:latin typeface="Calibri" panose="020F0502020204030204"/>
            </a:defRPr>
          </a:lvl6pPr>
          <a:lvl7pPr marL="2743200" indent="0">
            <a:defRPr sz="1100">
              <a:latin typeface="Calibri" panose="020F0502020204030204"/>
            </a:defRPr>
          </a:lvl7pPr>
          <a:lvl8pPr marL="3200400" indent="0">
            <a:defRPr sz="1100">
              <a:latin typeface="Calibri" panose="020F0502020204030204"/>
            </a:defRPr>
          </a:lvl8pPr>
          <a:lvl9pPr marL="3657600" indent="0">
            <a:defRPr sz="1100">
              <a:latin typeface="Calibri" panose="020F0502020204030204"/>
            </a:defRPr>
          </a:lvl9pPr>
        </a:lstStyle>
        <a:p>
          <a:r>
            <a:rPr lang="ru-RU" sz="1100"/>
            <a:t>элемент тепловой сети</a:t>
          </a:r>
          <a:endParaRPr lang="ru-RU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0.05758</cdr:x>
      <cdr:y>0.85855</cdr:y>
    </cdr:to>
    <cdr:sp>
      <cdr:nvSpPr>
        <cdr:cNvPr id="3" name="Прямоугольник 2"/>
        <cdr:cNvSpPr/>
      </cdr:nvSpPr>
      <cdr:spPr xmlns:a="http://schemas.openxmlformats.org/drawingml/2006/main">
        <a:xfrm xmlns:a="http://schemas.openxmlformats.org/drawingml/2006/main">
          <a:off x="0" y="0"/>
          <a:ext cx="357188" cy="310753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="vert270" wrap="square" rtlCol="0"/>
        <a:lstStyle>
          <a:lvl1pPr marL="0" indent="0">
            <a:defRPr sz="1100">
              <a:latin typeface="Calibri" panose="020F0502020204030204"/>
            </a:defRPr>
          </a:lvl1pPr>
          <a:lvl2pPr marL="457200" indent="0">
            <a:defRPr sz="1100">
              <a:latin typeface="Calibri" panose="020F0502020204030204"/>
            </a:defRPr>
          </a:lvl2pPr>
          <a:lvl3pPr marL="914400" indent="0">
            <a:defRPr sz="1100">
              <a:latin typeface="Calibri" panose="020F0502020204030204"/>
            </a:defRPr>
          </a:lvl3pPr>
          <a:lvl4pPr marL="1371600" indent="0">
            <a:defRPr sz="1100">
              <a:latin typeface="Calibri" panose="020F0502020204030204"/>
            </a:defRPr>
          </a:lvl4pPr>
          <a:lvl5pPr marL="1828800" indent="0">
            <a:defRPr sz="1100">
              <a:latin typeface="Calibri" panose="020F0502020204030204"/>
            </a:defRPr>
          </a:lvl5pPr>
          <a:lvl6pPr marL="2286000" indent="0">
            <a:defRPr sz="1100">
              <a:latin typeface="Calibri" panose="020F0502020204030204"/>
            </a:defRPr>
          </a:lvl6pPr>
          <a:lvl7pPr marL="2743200" indent="0">
            <a:defRPr sz="1100">
              <a:latin typeface="Calibri" panose="020F0502020204030204"/>
            </a:defRPr>
          </a:lvl7pPr>
          <a:lvl8pPr marL="3200400" indent="0">
            <a:defRPr sz="1100">
              <a:latin typeface="Calibri" panose="020F0502020204030204"/>
            </a:defRPr>
          </a:lvl8pPr>
          <a:lvl9pPr marL="3657600" indent="0">
            <a:defRPr sz="1100">
              <a:latin typeface="Calibri" panose="020F0502020204030204"/>
            </a:defRPr>
          </a:lvl9pPr>
        </a:lstStyle>
        <a:p>
          <a:r>
            <a:rPr lang="ru-RU" sz="1100"/>
            <a:t>Вероятность сосотояния сети, соотвествующая</a:t>
          </a:r>
          <a:r>
            <a:rPr lang="ru-RU" sz="1100" baseline="0"/>
            <a:t> отказу элемента</a:t>
          </a:r>
          <a:endParaRPr lang="ru-RU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0.30751</cdr:x>
      <cdr:y>0.7439</cdr:y>
    </cdr:from>
    <cdr:to>
      <cdr:x>0.68075</cdr:x>
      <cdr:y>0.84553</cdr:y>
    </cdr:to>
    <cdr:sp>
      <cdr:nvSpPr>
        <cdr:cNvPr id="2" name="Прямоугольник 1"/>
        <cdr:cNvSpPr/>
      </cdr:nvSpPr>
      <cdr:spPr xmlns:a="http://schemas.openxmlformats.org/drawingml/2006/main">
        <a:xfrm xmlns:a="http://schemas.openxmlformats.org/drawingml/2006/main">
          <a:off x="1559721" y="2178843"/>
          <a:ext cx="1893094" cy="297657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ru-RU" sz="1100"/>
            <a:t>потребители тепловой сети</a:t>
          </a:r>
          <a:endParaRPr lang="ru-RU" sz="1100"/>
        </a:p>
      </cdr:txBody>
    </cdr:sp>
  </cdr:relSizeAnchor>
  <cdr:relSizeAnchor xmlns:cdr="http://schemas.openxmlformats.org/drawingml/2006/chartDrawing">
    <cdr:from>
      <cdr:x>0</cdr:x>
      <cdr:y>0.06504</cdr:y>
    </cdr:from>
    <cdr:to>
      <cdr:x>0.07746</cdr:x>
      <cdr:y>0.67886</cdr:y>
    </cdr:to>
    <cdr:sp>
      <cdr:nvSpPr>
        <cdr:cNvPr id="3" name="Прямоугольник 2"/>
        <cdr:cNvSpPr/>
      </cdr:nvSpPr>
      <cdr:spPr xmlns:a="http://schemas.openxmlformats.org/drawingml/2006/main">
        <a:xfrm xmlns:a="http://schemas.openxmlformats.org/drawingml/2006/main">
          <a:off x="0" y="190500"/>
          <a:ext cx="392906" cy="1797844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vert="vert270" wrap="square" rtlCol="0"/>
        <a:lstStyle/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Коэффициент готовности</a:t>
          </a:r>
          <a:endParaRPr lang="ru-RU" sz="1200" baseline="30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0.18779</cdr:x>
      <cdr:y>0.77826</cdr:y>
    </cdr:from>
    <cdr:to>
      <cdr:x>0.56103</cdr:x>
      <cdr:y>0.88696</cdr:y>
    </cdr:to>
    <cdr:sp>
      <cdr:nvSpPr>
        <cdr:cNvPr id="2" name="Прямоугольник 1"/>
        <cdr:cNvSpPr/>
      </cdr:nvSpPr>
      <cdr:spPr xmlns:a="http://schemas.openxmlformats.org/drawingml/2006/main">
        <a:xfrm xmlns:a="http://schemas.openxmlformats.org/drawingml/2006/main">
          <a:off x="952500" y="2131219"/>
          <a:ext cx="1893094" cy="297657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Calibri" panose="020F0502020204030204"/>
            </a:defRPr>
          </a:lvl1pPr>
          <a:lvl2pPr marL="457200" indent="0">
            <a:defRPr sz="1100">
              <a:latin typeface="Calibri" panose="020F0502020204030204"/>
            </a:defRPr>
          </a:lvl2pPr>
          <a:lvl3pPr marL="914400" indent="0">
            <a:defRPr sz="1100">
              <a:latin typeface="Calibri" panose="020F0502020204030204"/>
            </a:defRPr>
          </a:lvl3pPr>
          <a:lvl4pPr marL="1371600" indent="0">
            <a:defRPr sz="1100">
              <a:latin typeface="Calibri" panose="020F0502020204030204"/>
            </a:defRPr>
          </a:lvl4pPr>
          <a:lvl5pPr marL="1828800" indent="0">
            <a:defRPr sz="1100">
              <a:latin typeface="Calibri" panose="020F0502020204030204"/>
            </a:defRPr>
          </a:lvl5pPr>
          <a:lvl6pPr marL="2286000" indent="0">
            <a:defRPr sz="1100">
              <a:latin typeface="Calibri" panose="020F0502020204030204"/>
            </a:defRPr>
          </a:lvl6pPr>
          <a:lvl7pPr marL="2743200" indent="0">
            <a:defRPr sz="1100">
              <a:latin typeface="Calibri" panose="020F0502020204030204"/>
            </a:defRPr>
          </a:lvl7pPr>
          <a:lvl8pPr marL="3200400" indent="0">
            <a:defRPr sz="1100">
              <a:latin typeface="Calibri" panose="020F0502020204030204"/>
            </a:defRPr>
          </a:lvl8pPr>
          <a:lvl9pPr marL="3657600" indent="0">
            <a:defRPr sz="1100">
              <a:latin typeface="Calibri" panose="020F0502020204030204"/>
            </a:defRPr>
          </a:lvl9pPr>
        </a:lstStyle>
        <a:p>
          <a:r>
            <a:rPr lang="ru-RU" sz="1100"/>
            <a:t>потребители тепловой сети</a:t>
          </a:r>
          <a:endParaRPr lang="ru-RU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0.07746</cdr:x>
      <cdr:y>0.71304</cdr:y>
    </cdr:to>
    <cdr:sp>
      <cdr:nvSpPr>
        <cdr:cNvPr id="3" name="Прямоугольник 2"/>
        <cdr:cNvSpPr/>
      </cdr:nvSpPr>
      <cdr:spPr xmlns:a="http://schemas.openxmlformats.org/drawingml/2006/main">
        <a:xfrm xmlns:a="http://schemas.openxmlformats.org/drawingml/2006/main">
          <a:off x="0" y="0"/>
          <a:ext cx="392906" cy="1952624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="vert270" wrap="square" rtlCol="0"/>
        <a:lstStyle>
          <a:lvl1pPr marL="0" indent="0">
            <a:defRPr sz="1100">
              <a:latin typeface="Calibri" panose="020F0502020204030204"/>
            </a:defRPr>
          </a:lvl1pPr>
          <a:lvl2pPr marL="457200" indent="0">
            <a:defRPr sz="1100">
              <a:latin typeface="Calibri" panose="020F0502020204030204"/>
            </a:defRPr>
          </a:lvl2pPr>
          <a:lvl3pPr marL="914400" indent="0">
            <a:defRPr sz="1100">
              <a:latin typeface="Calibri" panose="020F0502020204030204"/>
            </a:defRPr>
          </a:lvl3pPr>
          <a:lvl4pPr marL="1371600" indent="0">
            <a:defRPr sz="1100">
              <a:latin typeface="Calibri" panose="020F0502020204030204"/>
            </a:defRPr>
          </a:lvl4pPr>
          <a:lvl5pPr marL="1828800" indent="0">
            <a:defRPr sz="1100">
              <a:latin typeface="Calibri" panose="020F0502020204030204"/>
            </a:defRPr>
          </a:lvl5pPr>
          <a:lvl6pPr marL="2286000" indent="0">
            <a:defRPr sz="1100">
              <a:latin typeface="Calibri" panose="020F0502020204030204"/>
            </a:defRPr>
          </a:lvl6pPr>
          <a:lvl7pPr marL="2743200" indent="0">
            <a:defRPr sz="1100">
              <a:latin typeface="Calibri" panose="020F0502020204030204"/>
            </a:defRPr>
          </a:lvl7pPr>
          <a:lvl8pPr marL="3200400" indent="0">
            <a:defRPr sz="1100">
              <a:latin typeface="Calibri" panose="020F0502020204030204"/>
            </a:defRPr>
          </a:lvl8pPr>
          <a:lvl9pPr marL="3657600" indent="0">
            <a:defRPr sz="1100">
              <a:latin typeface="Calibri" panose="020F0502020204030204"/>
            </a:defRPr>
          </a:lvl9pPr>
        </a:lstStyle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Вероятность безотказного 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еплоснабжения потребителя</a:t>
          </a:r>
          <a:endParaRPr lang="ru-RU" sz="1200" baseline="30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Лист1"/>
  <dimension ref="A1:CA85"/>
  <sheetViews>
    <sheetView tabSelected="1" zoomScale="70" zoomScaleNormal="70" topLeftCell="H1" workbookViewId="0">
      <pane ySplit="1" topLeftCell="A41" activePane="bottomLeft" state="frozen"/>
      <selection/>
      <selection pane="bottomLeft" activeCell="J1" sqref="J1"/>
    </sheetView>
  </sheetViews>
  <sheetFormatPr defaultColWidth="8.90909090909091" defaultRowHeight="18"/>
  <cols>
    <col min="1" max="1" width="5.45454545454545" style="19" customWidth="1"/>
    <col min="2" max="2" width="34" style="19" customWidth="1"/>
    <col min="3" max="3" width="24.1818181818182" style="20" customWidth="1"/>
    <col min="4" max="4" width="12.3636363636364" style="19" customWidth="1"/>
    <col min="5" max="5" width="12.6363636363636" style="19" customWidth="1"/>
    <col min="6" max="6" width="11.9090909090909" style="19" customWidth="1"/>
    <col min="7" max="7" width="15.0909090909091" style="19" customWidth="1"/>
    <col min="8" max="8" width="12" style="19" customWidth="1"/>
    <col min="9" max="9" width="14.0909090909091" style="19" customWidth="1"/>
    <col min="10" max="10" width="13.1818181818182" style="19" customWidth="1"/>
    <col min="11" max="11" width="13" style="19" customWidth="1"/>
    <col min="12" max="12" width="19.3636363636364" style="19" customWidth="1"/>
    <col min="13" max="13" width="12.1818181818182" style="19" customWidth="1"/>
    <col min="14" max="14" width="12.0909090909091" style="19" customWidth="1"/>
    <col min="15" max="15" width="12.8181818181818" style="19" customWidth="1"/>
    <col min="16" max="16" width="13" style="19" customWidth="1"/>
    <col min="17" max="17" width="12.5454545454545" style="19" customWidth="1"/>
    <col min="18" max="18" width="11" style="19" customWidth="1"/>
    <col min="19" max="19" width="11.5454545454545" style="19" customWidth="1"/>
    <col min="20" max="20" width="10.1818181818182" style="19" customWidth="1"/>
    <col min="21" max="21" width="5.81818181818182" style="19" customWidth="1"/>
    <col min="22" max="25" width="8.90909090909091" style="19" customWidth="1"/>
    <col min="26" max="26" width="15.3636363636364" style="19" customWidth="1"/>
    <col min="27" max="27" width="11.0909090909091" style="19" customWidth="1"/>
    <col min="28" max="28" width="8.90909090909091" style="19"/>
    <col min="29" max="29" width="10.1818181818182" style="19" customWidth="1"/>
    <col min="30" max="30" width="12.9090909090909" style="19" customWidth="1"/>
    <col min="31" max="31" width="11.0909090909091" style="19" customWidth="1"/>
    <col min="32" max="32" width="10.1818181818182" style="19" customWidth="1"/>
    <col min="33" max="33" width="8.90909090909091" style="19"/>
    <col min="34" max="34" width="11" style="19" customWidth="1"/>
    <col min="35" max="35" width="11.4545454545455" style="19" customWidth="1"/>
    <col min="36" max="36" width="10.1818181818182" style="19" customWidth="1"/>
    <col min="37" max="37" width="9.90909090909091" style="19" customWidth="1"/>
    <col min="38" max="38" width="8.90909090909091" style="19"/>
    <col min="39" max="40" width="11.5454545454545" style="19" customWidth="1"/>
    <col min="41" max="41" width="11" style="19" customWidth="1"/>
    <col min="42" max="42" width="10.0909090909091" style="19" customWidth="1"/>
    <col min="43" max="43" width="8.90909090909091" style="19"/>
    <col min="44" max="44" width="11.0909090909091" style="19" customWidth="1"/>
    <col min="45" max="45" width="11.6363636363636" style="19" customWidth="1"/>
    <col min="46" max="47" width="10.0909090909091" style="19" customWidth="1"/>
    <col min="48" max="48" width="8.90909090909091" style="21"/>
    <col min="49" max="49" width="8.90909090909091" style="19"/>
    <col min="50" max="50" width="11.0909090909091" style="19" customWidth="1"/>
    <col min="51" max="51" width="11.8181818181818" style="19" customWidth="1"/>
    <col min="52" max="53" width="11.0909090909091" style="19" customWidth="1"/>
    <col min="54" max="54" width="10.0909090909091" style="19" customWidth="1"/>
    <col min="55" max="55" width="15.3636363636364" style="19" customWidth="1"/>
    <col min="56" max="65" width="11.0909090909091" style="19" customWidth="1"/>
    <col min="66" max="68" width="11.0909090909091" customWidth="1"/>
    <col min="69" max="70" width="11.6363636363636" customWidth="1"/>
    <col min="71" max="72" width="8.72727272727273"/>
    <col min="73" max="73" width="11.0909090909091" style="19" customWidth="1"/>
    <col min="74" max="75" width="8.90909090909091" style="19"/>
    <col min="76" max="78" width="10.9090909090909" style="19" customWidth="1"/>
    <col min="79" max="79" width="11.0909090909091" style="19" customWidth="1"/>
    <col min="80" max="16384" width="8.90909090909091" style="19"/>
  </cols>
  <sheetData>
    <row r="1" ht="89.25" customHeight="1" spans="1:79">
      <c r="A1" s="22" t="s">
        <v>0</v>
      </c>
      <c r="B1" s="22" t="s">
        <v>1</v>
      </c>
      <c r="C1" s="23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43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19" t="s">
        <v>26</v>
      </c>
      <c r="AC1" s="19" t="s">
        <v>27</v>
      </c>
      <c r="AD1" s="54" t="s">
        <v>28</v>
      </c>
      <c r="AE1" s="55" t="s">
        <v>29</v>
      </c>
      <c r="AF1" s="19" t="s">
        <v>30</v>
      </c>
      <c r="AH1" s="19" t="s">
        <v>31</v>
      </c>
      <c r="AI1" s="19" t="s">
        <v>32</v>
      </c>
      <c r="AJ1" s="19" t="s">
        <v>33</v>
      </c>
      <c r="AK1" s="19" t="s">
        <v>34</v>
      </c>
      <c r="AM1" s="19" t="s">
        <v>35</v>
      </c>
      <c r="AN1" s="19" t="s">
        <v>28</v>
      </c>
      <c r="AO1" s="19" t="s">
        <v>36</v>
      </c>
      <c r="AP1" s="19" t="s">
        <v>37</v>
      </c>
      <c r="AR1" s="19" t="s">
        <v>38</v>
      </c>
      <c r="AS1" s="19" t="s">
        <v>28</v>
      </c>
      <c r="AT1" s="19" t="s">
        <v>36</v>
      </c>
      <c r="AU1" s="19" t="s">
        <v>37</v>
      </c>
      <c r="AW1" s="43" t="s">
        <v>19</v>
      </c>
      <c r="AX1" s="22" t="s">
        <v>18</v>
      </c>
      <c r="AY1" s="19" t="s">
        <v>31</v>
      </c>
      <c r="AZ1" s="19" t="s">
        <v>28</v>
      </c>
      <c r="BA1" s="19" t="s">
        <v>36</v>
      </c>
      <c r="BC1" s="22" t="s">
        <v>25</v>
      </c>
      <c r="BD1" s="19" t="s">
        <v>31</v>
      </c>
      <c r="BE1" s="19" t="s">
        <v>28</v>
      </c>
      <c r="BF1" s="19" t="s">
        <v>36</v>
      </c>
      <c r="BG1" s="19" t="s">
        <v>31</v>
      </c>
      <c r="BH1" s="19" t="s">
        <v>28</v>
      </c>
      <c r="BI1" s="19" t="s">
        <v>36</v>
      </c>
      <c r="BJ1" s="19" t="s">
        <v>31</v>
      </c>
      <c r="BK1" s="19" t="s">
        <v>28</v>
      </c>
      <c r="BL1" s="19" t="s">
        <v>36</v>
      </c>
      <c r="BM1" s="19" t="s">
        <v>31</v>
      </c>
      <c r="BN1" s="19" t="s">
        <v>28</v>
      </c>
      <c r="BO1" s="19" t="s">
        <v>36</v>
      </c>
      <c r="BP1" s="59" t="s">
        <v>31</v>
      </c>
      <c r="BQ1" s="59" t="s">
        <v>28</v>
      </c>
      <c r="BR1" s="59" t="s">
        <v>39</v>
      </c>
      <c r="BU1" s="22" t="s">
        <v>18</v>
      </c>
      <c r="BV1" s="43" t="s">
        <v>19</v>
      </c>
      <c r="BX1" s="19" t="s">
        <v>40</v>
      </c>
      <c r="BY1" s="19" t="s">
        <v>41</v>
      </c>
      <c r="BZ1" s="19" t="s">
        <v>42</v>
      </c>
      <c r="CA1" s="19" t="s">
        <v>36</v>
      </c>
    </row>
    <row r="2" s="13" customFormat="1" ht="15.9" customHeight="1" spans="1:79">
      <c r="A2" s="24">
        <v>1</v>
      </c>
      <c r="B2" s="25" t="s">
        <v>43</v>
      </c>
      <c r="C2" s="26" t="s">
        <v>44</v>
      </c>
      <c r="D2" s="24">
        <v>85</v>
      </c>
      <c r="E2" s="24">
        <v>50</v>
      </c>
      <c r="F2" s="24" t="s">
        <v>45</v>
      </c>
      <c r="G2" s="24">
        <v>2.3</v>
      </c>
      <c r="H2" s="24" t="s">
        <v>46</v>
      </c>
      <c r="I2" s="24" t="s">
        <v>47</v>
      </c>
      <c r="J2" s="24" t="s">
        <v>46</v>
      </c>
      <c r="K2" s="24" t="s">
        <v>48</v>
      </c>
      <c r="L2" s="24" t="s">
        <v>49</v>
      </c>
      <c r="M2" s="24" t="s">
        <v>46</v>
      </c>
      <c r="N2" s="24">
        <v>90</v>
      </c>
      <c r="O2" s="35">
        <v>0.0277777777777778</v>
      </c>
      <c r="P2" s="36">
        <v>27</v>
      </c>
      <c r="Q2" s="24">
        <f t="shared" ref="Q2:Q33" si="0">1000/(D2*P2*8760)</f>
        <v>4.97408501706111e-5</v>
      </c>
      <c r="R2" s="24">
        <v>1.65730205824998</v>
      </c>
      <c r="S2" s="27">
        <v>1.19833819463617</v>
      </c>
      <c r="T2" s="44">
        <f>100-G2*100/AA2</f>
        <v>34.2857142857143</v>
      </c>
      <c r="U2" s="24"/>
      <c r="V2" s="45">
        <v>1</v>
      </c>
      <c r="W2" s="45">
        <v>1</v>
      </c>
      <c r="X2" s="45">
        <v>1</v>
      </c>
      <c r="Y2" s="45">
        <v>1</v>
      </c>
      <c r="Z2" s="27" t="s">
        <v>50</v>
      </c>
      <c r="AA2" s="13">
        <v>3.5</v>
      </c>
      <c r="AC2" s="13">
        <f>0.0074*T2+0.9139-0.018755</f>
        <v>1.14885928571429</v>
      </c>
      <c r="AD2" s="13">
        <f>S2-AC2</f>
        <v>0.0494789089218848</v>
      </c>
      <c r="AE2" s="13">
        <f>ABS(AD2/AC2)*100</f>
        <v>4.30678582983485</v>
      </c>
      <c r="AF2" s="13">
        <f>ABS(AD2/AC2)*100</f>
        <v>4.30678582983485</v>
      </c>
      <c r="AG2" s="5"/>
      <c r="AH2" s="13">
        <f>0.0074*T2+0.9228</f>
        <v>1.17651428571429</v>
      </c>
      <c r="AI2" s="13">
        <f>AH2-S2</f>
        <v>-0.021823908921885</v>
      </c>
      <c r="AJ2" s="13">
        <f>ABS(AI2/AH2)*100</f>
        <v>1.85496335972115</v>
      </c>
      <c r="AK2" s="12">
        <f>ABS(AI2/AH2)*100</f>
        <v>1.85496335972115</v>
      </c>
      <c r="AM2" s="13">
        <f>0.0074*T2+0.9139</f>
        <v>1.16761428571429</v>
      </c>
      <c r="AN2" s="13">
        <f>AM2-S2</f>
        <v>-0.0307239089218847</v>
      </c>
      <c r="AO2" s="13">
        <f>ABS(AN2/AM2)*100</f>
        <v>2.63134061460111</v>
      </c>
      <c r="AP2" s="13">
        <f>ABS(AN2/AM2)*100</f>
        <v>2.63134061460111</v>
      </c>
      <c r="AR2" s="13">
        <f>0.0074*T2+0.9228</f>
        <v>1.17651428571429</v>
      </c>
      <c r="AS2" s="13">
        <f>AR2-S2</f>
        <v>-0.021823908921885</v>
      </c>
      <c r="AT2" s="13">
        <f>ABS(AS2/AR2)*100</f>
        <v>1.85496335972115</v>
      </c>
      <c r="AU2" s="13">
        <f>ABS(AS2/AR2)*100</f>
        <v>1.85496335972115</v>
      </c>
      <c r="AV2" s="57"/>
      <c r="AW2" s="11">
        <f>100-G2*100/AA2</f>
        <v>34.2857142857143</v>
      </c>
      <c r="AX2" s="12">
        <f t="shared" ref="AX2:AX10" si="1">LN(R2*2)</f>
        <v>1.19833819463617</v>
      </c>
      <c r="AY2" s="13">
        <f>0.006732*AW2+0.954156</f>
        <v>1.18496742857143</v>
      </c>
      <c r="AZ2" s="13">
        <f>AX2-AY2</f>
        <v>0.0133707660647417</v>
      </c>
      <c r="BA2" s="13">
        <f>ABS(AZ2/AX2)*100</f>
        <v>1.11577567372801</v>
      </c>
      <c r="BC2" s="27" t="s">
        <v>50</v>
      </c>
      <c r="BD2" s="13">
        <f>0.006732*AW2+0.954156</f>
        <v>1.18496742857143</v>
      </c>
      <c r="BE2" s="13">
        <f>AX2-BD2</f>
        <v>0.0133707660647417</v>
      </c>
      <c r="BF2" s="13">
        <f>ABS(BE2/AX2)*100</f>
        <v>1.11577567372801</v>
      </c>
      <c r="BG2" s="13">
        <f>0.006732*AW2+0.954156</f>
        <v>1.18496742857143</v>
      </c>
      <c r="BH2" s="13">
        <f>AX2-BG2</f>
        <v>0.0133707660647417</v>
      </c>
      <c r="BI2" s="13">
        <f>ABS(BH2/AX2)*100</f>
        <v>1.11577567372801</v>
      </c>
      <c r="BJ2" s="13">
        <f>0.006732*AW2+0.954156</f>
        <v>1.18496742857143</v>
      </c>
      <c r="BK2" s="13">
        <f>AX2-BJ2</f>
        <v>0.0133707660647417</v>
      </c>
      <c r="BL2" s="13">
        <f>ABS(BK2/AX2)*100</f>
        <v>1.11577567372801</v>
      </c>
      <c r="BM2" s="13">
        <f>0.006732*AW2+0.954156</f>
        <v>1.18496742857143</v>
      </c>
      <c r="BN2" s="13">
        <f>BU2-BM2</f>
        <v>0.0133707660647417</v>
      </c>
      <c r="BO2" s="13">
        <f>ABS(BN2/BU2)*100</f>
        <v>1.11577567372801</v>
      </c>
      <c r="BP2" s="59">
        <v>1.18496742857143</v>
      </c>
      <c r="BQ2" s="59">
        <v>0.013370766064742</v>
      </c>
      <c r="BR2" s="59">
        <v>1.11577567372802</v>
      </c>
      <c r="BU2" s="13">
        <f>LN(R2*2)</f>
        <v>1.19833819463617</v>
      </c>
      <c r="BV2" s="11">
        <f>100-G2*100/AA2</f>
        <v>34.2857142857143</v>
      </c>
      <c r="BX2" s="13">
        <f>Q2</f>
        <v>4.97408501706111e-5</v>
      </c>
      <c r="BY2" s="13" t="e">
        <f>Intens(P2,BJ2)</f>
        <v>#NAME?</v>
      </c>
      <c r="BZ2" s="13" t="e">
        <f>ABS(BX2-BY2)</f>
        <v>#NAME?</v>
      </c>
      <c r="CA2" s="13" t="e">
        <f>BZ2*100/BX2</f>
        <v>#NAME?</v>
      </c>
    </row>
    <row r="3" s="13" customFormat="1" ht="15.75" customHeight="1" spans="1:79">
      <c r="A3" s="24">
        <v>2</v>
      </c>
      <c r="B3" s="25" t="s">
        <v>51</v>
      </c>
      <c r="C3" s="26" t="s">
        <v>52</v>
      </c>
      <c r="D3" s="24">
        <v>190</v>
      </c>
      <c r="E3" s="24">
        <v>100</v>
      </c>
      <c r="F3" s="24" t="s">
        <v>45</v>
      </c>
      <c r="G3" s="24">
        <v>3.3</v>
      </c>
      <c r="H3" s="24" t="s">
        <v>46</v>
      </c>
      <c r="I3" s="24" t="s">
        <v>47</v>
      </c>
      <c r="J3" s="24" t="s">
        <v>53</v>
      </c>
      <c r="K3" s="24" t="s">
        <v>48</v>
      </c>
      <c r="L3" s="24" t="s">
        <v>49</v>
      </c>
      <c r="M3" s="24" t="s">
        <v>46</v>
      </c>
      <c r="N3" s="24">
        <v>88</v>
      </c>
      <c r="O3" s="35">
        <v>0.298611111111111</v>
      </c>
      <c r="P3" s="36">
        <v>27</v>
      </c>
      <c r="Q3" s="24">
        <f t="shared" si="0"/>
        <v>2.22524856026418e-5</v>
      </c>
      <c r="R3" s="24">
        <v>1.4132448283649</v>
      </c>
      <c r="S3" s="24">
        <v>1.03903553773497</v>
      </c>
      <c r="T3" s="44">
        <f t="shared" ref="T3:T33" si="2">100-G3*100/AA3</f>
        <v>17.5</v>
      </c>
      <c r="U3" s="24"/>
      <c r="V3" s="46">
        <v>1</v>
      </c>
      <c r="W3" s="46">
        <v>1</v>
      </c>
      <c r="X3" s="46"/>
      <c r="Y3" s="46">
        <v>1</v>
      </c>
      <c r="Z3" s="27" t="s">
        <v>54</v>
      </c>
      <c r="AA3" s="13">
        <v>4</v>
      </c>
      <c r="AC3" s="13">
        <f>0.0074*T3+0.9139</f>
        <v>1.0434</v>
      </c>
      <c r="AD3" s="13">
        <f t="shared" ref="AD3:AD51" si="3">S3-AC3</f>
        <v>-0.00436446226503473</v>
      </c>
      <c r="AE3" s="13">
        <f t="shared" ref="AE3:AE51" si="4">ABS(AD3/AC3)*100</f>
        <v>0.418292338991253</v>
      </c>
      <c r="AF3" s="13">
        <f t="shared" ref="AF3:AF51" si="5">ABS(AD3/AC3)*100</f>
        <v>0.418292338991253</v>
      </c>
      <c r="AG3" s="5"/>
      <c r="AH3" s="13">
        <f>0.0059*T3+0.9331</f>
        <v>1.03635</v>
      </c>
      <c r="AI3" s="13">
        <f t="shared" ref="AI3:AI51" si="6">AH3-S3</f>
        <v>-0.00268553773496527</v>
      </c>
      <c r="AJ3" s="13">
        <f t="shared" ref="AJ3:AJ51" si="7">ABS(AI3/AH3)*100</f>
        <v>0.259134243736698</v>
      </c>
      <c r="AK3" s="12">
        <f t="shared" ref="AK3:AK51" si="8">ABS(AI3/AH3)*100</f>
        <v>0.259134243736698</v>
      </c>
      <c r="AM3" s="13">
        <f t="shared" ref="AM3:AM51" si="9">0.0074*T3+0.9139</f>
        <v>1.0434</v>
      </c>
      <c r="AN3" s="13">
        <f t="shared" ref="AN3:AN51" si="10">AM3-S3</f>
        <v>0.00436446226503473</v>
      </c>
      <c r="AO3" s="13">
        <f t="shared" ref="AO3:AO51" si="11">ABS(AN3/AM3)*100</f>
        <v>0.418292338991253</v>
      </c>
      <c r="AP3" s="13">
        <f t="shared" ref="AP3:AP51" si="12">ABS(AN3/AM3)*100</f>
        <v>0.418292338991253</v>
      </c>
      <c r="AR3" s="13">
        <f t="shared" ref="AR3:AR51" si="13">0.0074*T3+0.9228</f>
        <v>1.0523</v>
      </c>
      <c r="AS3" s="13">
        <f t="shared" ref="AS3:AS51" si="14">AR3-S3</f>
        <v>0.0132644622650346</v>
      </c>
      <c r="AT3" s="13">
        <f t="shared" ref="AT3:AT51" si="15">ABS(AS3/AR3)*100</f>
        <v>1.26052097928677</v>
      </c>
      <c r="AU3" s="13">
        <f t="shared" ref="AU3:AU51" si="16">ABS(AS3/AR3)*100</f>
        <v>1.26052097928677</v>
      </c>
      <c r="AV3" s="57"/>
      <c r="AW3" s="11">
        <f t="shared" ref="AW3:AW51" si="17">100-G3*100/AA3</f>
        <v>17.5</v>
      </c>
      <c r="AX3" s="12">
        <f t="shared" si="1"/>
        <v>1.03903553773497</v>
      </c>
      <c r="AY3" s="13">
        <f>0.005867*AW3+0.933127293</f>
        <v>1.035799793</v>
      </c>
      <c r="AZ3" s="13">
        <f t="shared" ref="AZ3:AZ51" si="18">AX3-AY3</f>
        <v>0.00323574473496535</v>
      </c>
      <c r="BA3" s="13">
        <f t="shared" ref="BA3:BA51" si="19">ABS(AZ3/AX3)*100</f>
        <v>0.31141810048375</v>
      </c>
      <c r="BC3" s="27" t="s">
        <v>54</v>
      </c>
      <c r="BD3" s="13">
        <f>0.005867*AW3+0.933127293</f>
        <v>1.035799793</v>
      </c>
      <c r="BE3" s="13">
        <f t="shared" ref="BE3:BE51" si="20">AX3-BD3</f>
        <v>0.00323574473496535</v>
      </c>
      <c r="BF3" s="13">
        <f t="shared" ref="BF3:BF51" si="21">ABS(BE3/AX3)*100</f>
        <v>0.31141810048375</v>
      </c>
      <c r="BG3" s="13">
        <f>0.005867*AW3+0.933127293</f>
        <v>1.035799793</v>
      </c>
      <c r="BH3" s="13">
        <f t="shared" ref="BH3:BH51" si="22">AX3-BG3</f>
        <v>0.00323574473496535</v>
      </c>
      <c r="BI3" s="13">
        <f t="shared" ref="BI3:BI51" si="23">ABS(BH3/AX3)*100</f>
        <v>0.31141810048375</v>
      </c>
      <c r="BJ3" s="13">
        <f>0.005867*AW3+0.933127293</f>
        <v>1.035799793</v>
      </c>
      <c r="BK3" s="13">
        <f t="shared" ref="BK3:BK51" si="24">AX3-BJ3</f>
        <v>0.00323574473496535</v>
      </c>
      <c r="BL3" s="13">
        <f t="shared" ref="BL3:BL51" si="25">ABS(BK3/AX3)*100</f>
        <v>0.31141810048375</v>
      </c>
      <c r="BM3" s="13">
        <f>0.004939237*AW3+0.949185949</f>
        <v>1.0356225965</v>
      </c>
      <c r="BN3" s="13">
        <f>BU3-BM3</f>
        <v>0.00341294123496549</v>
      </c>
      <c r="BO3" s="13">
        <f>ABS(BN3/BU3)*100</f>
        <v>0.328472040754785</v>
      </c>
      <c r="BP3" s="59">
        <f>0.00433025*AW3+0.969221602</f>
        <v>1.045000977</v>
      </c>
      <c r="BQ3" s="59">
        <f>BU3-BP3</f>
        <v>-0.00596543926503457</v>
      </c>
      <c r="BR3" s="59">
        <f>ABS(BQ3/BU3)*100</f>
        <v>0.574132361058493</v>
      </c>
      <c r="BU3" s="13">
        <f>LN(R3*2)</f>
        <v>1.03903553773497</v>
      </c>
      <c r="BV3" s="11">
        <f>100-G3*100/AA3</f>
        <v>17.5</v>
      </c>
      <c r="BX3" s="13">
        <f>Q3</f>
        <v>2.22524856026418e-5</v>
      </c>
      <c r="BY3" s="13" t="e">
        <f>Intens(P3,BJ3)</f>
        <v>#NAME?</v>
      </c>
      <c r="BZ3" s="13" t="e">
        <f t="shared" ref="BZ3:BZ51" si="26">ABS(BX3-BY3)</f>
        <v>#NAME?</v>
      </c>
      <c r="CA3" s="13" t="e">
        <f t="shared" ref="CA3:CA51" si="27">BZ3*100/BX3</f>
        <v>#NAME?</v>
      </c>
    </row>
    <row r="4" s="13" customFormat="1" ht="15.9" customHeight="1" spans="1:74">
      <c r="A4" s="24">
        <v>3</v>
      </c>
      <c r="B4" s="25" t="s">
        <v>55</v>
      </c>
      <c r="C4" s="26" t="s">
        <v>56</v>
      </c>
      <c r="D4" s="24">
        <v>130</v>
      </c>
      <c r="E4" s="24">
        <v>200</v>
      </c>
      <c r="F4" s="24" t="s">
        <v>45</v>
      </c>
      <c r="G4" s="24">
        <v>7.2</v>
      </c>
      <c r="H4" s="24" t="s">
        <v>53</v>
      </c>
      <c r="I4" s="24" t="s">
        <v>57</v>
      </c>
      <c r="J4" s="24" t="s">
        <v>53</v>
      </c>
      <c r="K4" s="24" t="s">
        <v>48</v>
      </c>
      <c r="L4" s="24" t="s">
        <v>49</v>
      </c>
      <c r="M4" s="24" t="s">
        <v>53</v>
      </c>
      <c r="N4" s="24">
        <v>85</v>
      </c>
      <c r="O4" s="35">
        <v>0.163194444444444</v>
      </c>
      <c r="P4" s="36">
        <v>27</v>
      </c>
      <c r="Q4" s="24">
        <f t="shared" si="0"/>
        <v>3.25228635730919e-5</v>
      </c>
      <c r="R4" s="24">
        <v>1.52838694162276</v>
      </c>
      <c r="S4" s="24">
        <v>1.11736007329225</v>
      </c>
      <c r="T4" s="44">
        <f t="shared" si="2"/>
        <v>20</v>
      </c>
      <c r="U4" s="24"/>
      <c r="V4" s="24"/>
      <c r="W4" s="24"/>
      <c r="X4" s="24"/>
      <c r="Y4" s="24"/>
      <c r="Z4" s="27" t="s">
        <v>58</v>
      </c>
      <c r="AA4" s="13">
        <v>9</v>
      </c>
      <c r="AC4" s="13">
        <f>0.0074*T4+0.9139+0.00372+0.0021+0.0215</f>
        <v>1.08922</v>
      </c>
      <c r="AD4" s="13">
        <f t="shared" si="3"/>
        <v>0.0281400732922514</v>
      </c>
      <c r="AE4" s="13">
        <f t="shared" si="4"/>
        <v>2.58350684822638</v>
      </c>
      <c r="AF4" s="13">
        <f t="shared" si="5"/>
        <v>2.58350684822638</v>
      </c>
      <c r="AG4" s="5"/>
      <c r="AH4" s="13">
        <f>0.0058*T4+1.0043</f>
        <v>1.1203</v>
      </c>
      <c r="AI4" s="13">
        <f t="shared" si="6"/>
        <v>0.00293992670774834</v>
      </c>
      <c r="AJ4" s="13">
        <f t="shared" si="7"/>
        <v>0.262423164129996</v>
      </c>
      <c r="AK4" s="12">
        <f t="shared" si="8"/>
        <v>0.262423164129996</v>
      </c>
      <c r="AM4" s="13">
        <f t="shared" si="9"/>
        <v>1.0619</v>
      </c>
      <c r="AN4" s="13">
        <f t="shared" si="10"/>
        <v>-0.0554600732922514</v>
      </c>
      <c r="AO4" s="13">
        <f t="shared" si="11"/>
        <v>5.22272090519366</v>
      </c>
      <c r="AP4" s="13">
        <f t="shared" si="12"/>
        <v>5.22272090519366</v>
      </c>
      <c r="AR4" s="13">
        <f t="shared" si="13"/>
        <v>1.0708</v>
      </c>
      <c r="AS4" s="13">
        <f t="shared" si="14"/>
        <v>-0.0465600732922515</v>
      </c>
      <c r="AT4" s="13">
        <f t="shared" si="15"/>
        <v>4.34815775982924</v>
      </c>
      <c r="AU4" s="13">
        <f t="shared" si="16"/>
        <v>4.34815775982924</v>
      </c>
      <c r="AV4" s="57"/>
      <c r="AW4" s="11">
        <f t="shared" si="17"/>
        <v>20</v>
      </c>
      <c r="AX4" s="12">
        <f t="shared" si="1"/>
        <v>1.11736007329225</v>
      </c>
      <c r="AY4" s="13">
        <f>0.0062266*AW4+0.9484024</f>
        <v>1.0729344</v>
      </c>
      <c r="AZ4" s="13">
        <f t="shared" si="18"/>
        <v>0.0444256732922517</v>
      </c>
      <c r="BA4" s="13">
        <f t="shared" si="19"/>
        <v>3.97594959352301</v>
      </c>
      <c r="BC4" s="27" t="s">
        <v>58</v>
      </c>
      <c r="BD4" s="13">
        <f>0.0062266*AW4+0.9484024</f>
        <v>1.0729344</v>
      </c>
      <c r="BE4" s="13">
        <f t="shared" si="20"/>
        <v>0.0444256732922517</v>
      </c>
      <c r="BF4" s="13">
        <f t="shared" si="21"/>
        <v>3.97594959352301</v>
      </c>
      <c r="BG4" s="13">
        <f>0.006554648*AW4+0.928046135</f>
        <v>1.059139095</v>
      </c>
      <c r="BH4" s="13">
        <f t="shared" si="22"/>
        <v>0.0582209782922518</v>
      </c>
      <c r="BI4" s="13">
        <f t="shared" si="23"/>
        <v>5.21058338165837</v>
      </c>
      <c r="BP4" s="59"/>
      <c r="BQ4" s="59"/>
      <c r="BR4" s="59"/>
      <c r="BV4" s="11"/>
    </row>
    <row r="5" s="13" customFormat="1" ht="15.9" customHeight="1" spans="1:79">
      <c r="A5" s="24">
        <v>4</v>
      </c>
      <c r="B5" s="25" t="s">
        <v>59</v>
      </c>
      <c r="C5" s="26" t="s">
        <v>60</v>
      </c>
      <c r="D5" s="24">
        <v>50</v>
      </c>
      <c r="E5" s="24">
        <v>70</v>
      </c>
      <c r="F5" s="24" t="s">
        <v>45</v>
      </c>
      <c r="G5" s="24">
        <v>1.9</v>
      </c>
      <c r="H5" s="24" t="s">
        <v>46</v>
      </c>
      <c r="I5" s="24" t="s">
        <v>47</v>
      </c>
      <c r="J5" s="24" t="s">
        <v>46</v>
      </c>
      <c r="K5" s="24" t="s">
        <v>48</v>
      </c>
      <c r="L5" s="24" t="s">
        <v>49</v>
      </c>
      <c r="M5" s="24" t="s">
        <v>46</v>
      </c>
      <c r="N5" s="24">
        <v>95</v>
      </c>
      <c r="O5" s="35">
        <v>0.180555555555556</v>
      </c>
      <c r="P5" s="36">
        <v>27</v>
      </c>
      <c r="Q5" s="24">
        <f t="shared" si="0"/>
        <v>8.45594452900389e-5</v>
      </c>
      <c r="R5" s="24">
        <v>1.81830160787438</v>
      </c>
      <c r="S5" s="27">
        <v>1.2910500634762</v>
      </c>
      <c r="T5" s="44">
        <f t="shared" si="2"/>
        <v>52.5</v>
      </c>
      <c r="U5" s="24"/>
      <c r="V5" s="45">
        <v>1</v>
      </c>
      <c r="W5" s="45">
        <v>1</v>
      </c>
      <c r="X5" s="45">
        <v>1</v>
      </c>
      <c r="Y5" s="45">
        <v>1</v>
      </c>
      <c r="Z5" s="27" t="s">
        <v>50</v>
      </c>
      <c r="AA5" s="5">
        <v>4</v>
      </c>
      <c r="AC5" s="13">
        <f>0.0074*T5+0.9139-0.01875</f>
        <v>1.28365</v>
      </c>
      <c r="AD5" s="13">
        <f t="shared" si="3"/>
        <v>0.00740006347619659</v>
      </c>
      <c r="AE5" s="13">
        <f t="shared" si="4"/>
        <v>0.576486073010291</v>
      </c>
      <c r="AF5" s="13">
        <f t="shared" si="5"/>
        <v>0.576486073010291</v>
      </c>
      <c r="AG5" s="5"/>
      <c r="AH5" s="13">
        <f t="shared" ref="AH5:AH40" si="28">0.0074*T5+0.9228</f>
        <v>1.3113</v>
      </c>
      <c r="AI5" s="13">
        <f t="shared" si="6"/>
        <v>0.0202499365238034</v>
      </c>
      <c r="AJ5" s="13">
        <f t="shared" si="7"/>
        <v>1.54426420527746</v>
      </c>
      <c r="AK5" s="12">
        <f t="shared" si="8"/>
        <v>1.54426420527746</v>
      </c>
      <c r="AM5" s="13">
        <f t="shared" si="9"/>
        <v>1.3024</v>
      </c>
      <c r="AN5" s="13">
        <f t="shared" si="10"/>
        <v>0.0113499365238034</v>
      </c>
      <c r="AO5" s="13">
        <f t="shared" si="11"/>
        <v>0.871463185181469</v>
      </c>
      <c r="AP5" s="13">
        <f t="shared" si="12"/>
        <v>0.871463185181469</v>
      </c>
      <c r="AR5" s="13">
        <f t="shared" si="13"/>
        <v>1.3113</v>
      </c>
      <c r="AS5" s="13">
        <f t="shared" si="14"/>
        <v>0.0202499365238034</v>
      </c>
      <c r="AT5" s="13">
        <f t="shared" si="15"/>
        <v>1.54426420527746</v>
      </c>
      <c r="AU5" s="13">
        <f t="shared" si="16"/>
        <v>1.54426420527746</v>
      </c>
      <c r="AV5" s="57"/>
      <c r="AW5" s="11">
        <f t="shared" si="17"/>
        <v>52.5</v>
      </c>
      <c r="AX5" s="12">
        <f t="shared" si="1"/>
        <v>1.2910500634762</v>
      </c>
      <c r="AY5" s="13">
        <f>0.006732*AW5+0.954156</f>
        <v>1.307586</v>
      </c>
      <c r="AZ5" s="13">
        <f t="shared" si="18"/>
        <v>-0.0165359365238036</v>
      </c>
      <c r="BA5" s="13">
        <f t="shared" si="19"/>
        <v>1.2808129592806</v>
      </c>
      <c r="BC5" s="27" t="s">
        <v>50</v>
      </c>
      <c r="BD5" s="13">
        <f>0.006732*AW5+0.954156</f>
        <v>1.307586</v>
      </c>
      <c r="BE5" s="13">
        <f t="shared" si="20"/>
        <v>-0.0165359365238036</v>
      </c>
      <c r="BF5" s="13">
        <f t="shared" si="21"/>
        <v>1.2808129592806</v>
      </c>
      <c r="BG5" s="13">
        <f>0.006732*AW5+0.954156</f>
        <v>1.307586</v>
      </c>
      <c r="BH5" s="13">
        <f t="shared" si="22"/>
        <v>-0.0165359365238036</v>
      </c>
      <c r="BI5" s="13">
        <f t="shared" si="23"/>
        <v>1.2808129592806</v>
      </c>
      <c r="BJ5" s="13">
        <f>0.006732*AW5+0.954156</f>
        <v>1.307586</v>
      </c>
      <c r="BK5" s="13">
        <f t="shared" si="24"/>
        <v>-0.0165359365238036</v>
      </c>
      <c r="BL5" s="13">
        <f t="shared" si="25"/>
        <v>1.2808129592806</v>
      </c>
      <c r="BM5" s="13">
        <f>0.006732*AW5+0.954156</f>
        <v>1.307586</v>
      </c>
      <c r="BN5" s="13">
        <f>BU5-BM5</f>
        <v>-0.0165359365238036</v>
      </c>
      <c r="BO5" s="13">
        <f>ABS(BN5/BU5)*100</f>
        <v>1.2808129592806</v>
      </c>
      <c r="BP5" s="59">
        <v>1.307586</v>
      </c>
      <c r="BQ5" s="59">
        <v>-0.0165359365238036</v>
      </c>
      <c r="BR5" s="59">
        <v>1.2808129592806</v>
      </c>
      <c r="BU5" s="13">
        <f>LN(R5*2)</f>
        <v>1.2910500634762</v>
      </c>
      <c r="BV5" s="11">
        <f>100-G5*100/AA5</f>
        <v>52.5</v>
      </c>
      <c r="BX5" s="13">
        <f>Q5</f>
        <v>8.45594452900389e-5</v>
      </c>
      <c r="BY5" s="13" t="e">
        <f>Intens(P5,BJ5)</f>
        <v>#NAME?</v>
      </c>
      <c r="BZ5" s="13" t="e">
        <f t="shared" si="26"/>
        <v>#NAME?</v>
      </c>
      <c r="CA5" s="13" t="e">
        <f t="shared" si="27"/>
        <v>#NAME?</v>
      </c>
    </row>
    <row r="6" s="12" customFormat="1" ht="15.9" customHeight="1" spans="1:79">
      <c r="A6" s="27">
        <v>5</v>
      </c>
      <c r="B6" s="28" t="s">
        <v>61</v>
      </c>
      <c r="C6" s="29" t="s">
        <v>62</v>
      </c>
      <c r="D6" s="27">
        <v>70</v>
      </c>
      <c r="E6" s="27">
        <v>80</v>
      </c>
      <c r="F6" s="27">
        <v>1990</v>
      </c>
      <c r="G6" s="27">
        <v>3.3</v>
      </c>
      <c r="H6" s="27" t="s">
        <v>53</v>
      </c>
      <c r="I6" s="27" t="s">
        <v>57</v>
      </c>
      <c r="J6" s="27" t="s">
        <v>53</v>
      </c>
      <c r="K6" s="27" t="s">
        <v>48</v>
      </c>
      <c r="L6" s="27" t="s">
        <v>49</v>
      </c>
      <c r="M6" s="27" t="s">
        <v>53</v>
      </c>
      <c r="N6" s="27">
        <v>85</v>
      </c>
      <c r="O6" s="37">
        <v>0.163194444444444</v>
      </c>
      <c r="P6" s="38">
        <v>26</v>
      </c>
      <c r="Q6" s="27">
        <f t="shared" si="0"/>
        <v>6.27226654623915e-5</v>
      </c>
      <c r="R6" s="27">
        <v>1.73609135583226</v>
      </c>
      <c r="S6" s="27">
        <v>1.24478341974083</v>
      </c>
      <c r="T6" s="44">
        <f t="shared" si="2"/>
        <v>17.5</v>
      </c>
      <c r="U6" s="27"/>
      <c r="V6" s="32"/>
      <c r="W6" s="32"/>
      <c r="X6" s="32"/>
      <c r="Y6" s="32"/>
      <c r="Z6" s="27" t="s">
        <v>58</v>
      </c>
      <c r="AA6" s="2">
        <v>4</v>
      </c>
      <c r="AC6" s="13">
        <f>0.0074*T6+0.9139+0.00372+0.0021+0.0215</f>
        <v>1.07072</v>
      </c>
      <c r="AD6" s="13">
        <f t="shared" si="3"/>
        <v>0.174063419740832</v>
      </c>
      <c r="AE6" s="13">
        <f t="shared" si="4"/>
        <v>16.2566702537387</v>
      </c>
      <c r="AF6" s="13"/>
      <c r="AG6" s="2"/>
      <c r="AH6" s="13">
        <f>0.0058*T6+1.0043</f>
        <v>1.1058</v>
      </c>
      <c r="AI6" s="13">
        <f t="shared" si="6"/>
        <v>-0.138983419740832</v>
      </c>
      <c r="AJ6" s="13">
        <f t="shared" si="7"/>
        <v>12.5685856159189</v>
      </c>
      <c r="AM6" s="13">
        <f t="shared" si="9"/>
        <v>1.0434</v>
      </c>
      <c r="AN6" s="13">
        <f t="shared" si="10"/>
        <v>-0.201383419740832</v>
      </c>
      <c r="AO6" s="13">
        <f t="shared" si="11"/>
        <v>19.3006919437255</v>
      </c>
      <c r="AP6" s="13"/>
      <c r="AR6" s="13">
        <f t="shared" si="13"/>
        <v>1.0523</v>
      </c>
      <c r="AS6" s="13">
        <f t="shared" si="14"/>
        <v>-0.192483419740832</v>
      </c>
      <c r="AT6" s="13">
        <f t="shared" si="15"/>
        <v>18.2916867567074</v>
      </c>
      <c r="AU6" s="13"/>
      <c r="AV6" s="58"/>
      <c r="AW6" s="11"/>
      <c r="AY6" s="13"/>
      <c r="AZ6" s="13"/>
      <c r="BA6" s="13"/>
      <c r="BB6" s="13"/>
      <c r="BC6" s="27" t="s">
        <v>58</v>
      </c>
      <c r="BD6" s="13"/>
      <c r="BE6" s="13">
        <f t="shared" si="20"/>
        <v>0</v>
      </c>
      <c r="BF6" s="13"/>
      <c r="BG6" s="13"/>
      <c r="BH6" s="13"/>
      <c r="BI6" s="13"/>
      <c r="BJ6" s="13"/>
      <c r="BK6" s="13"/>
      <c r="BL6" s="13"/>
      <c r="BN6" s="13"/>
      <c r="BO6" s="13"/>
      <c r="BP6" s="59"/>
      <c r="BQ6" s="59"/>
      <c r="BR6" s="59"/>
      <c r="BU6" s="13"/>
      <c r="BV6" s="11"/>
      <c r="BX6" s="13"/>
      <c r="BY6" s="13"/>
      <c r="BZ6" s="13"/>
      <c r="CA6" s="13"/>
    </row>
    <row r="7" s="12" customFormat="1" ht="15.9" customHeight="1" spans="1:79">
      <c r="A7" s="27">
        <v>6</v>
      </c>
      <c r="B7" s="28" t="s">
        <v>63</v>
      </c>
      <c r="C7" s="29" t="s">
        <v>64</v>
      </c>
      <c r="D7" s="27">
        <v>30</v>
      </c>
      <c r="E7" s="27">
        <v>50</v>
      </c>
      <c r="F7" s="27" t="s">
        <v>45</v>
      </c>
      <c r="G7" s="27">
        <v>1.4</v>
      </c>
      <c r="H7" s="27" t="s">
        <v>46</v>
      </c>
      <c r="I7" s="27" t="s">
        <v>57</v>
      </c>
      <c r="J7" s="27" t="s">
        <v>46</v>
      </c>
      <c r="K7" s="27" t="s">
        <v>48</v>
      </c>
      <c r="L7" s="27" t="s">
        <v>49</v>
      </c>
      <c r="M7" s="27" t="s">
        <v>46</v>
      </c>
      <c r="N7" s="27">
        <v>70</v>
      </c>
      <c r="O7" s="37">
        <v>0.0881944444444444</v>
      </c>
      <c r="P7" s="38">
        <v>27</v>
      </c>
      <c r="Q7" s="27">
        <f t="shared" si="0"/>
        <v>0.000140932408816731</v>
      </c>
      <c r="R7" s="27">
        <v>1.97329278144702</v>
      </c>
      <c r="S7" s="27">
        <v>1.37285079063421</v>
      </c>
      <c r="T7" s="44">
        <f t="shared" si="2"/>
        <v>60</v>
      </c>
      <c r="U7" s="27"/>
      <c r="V7" s="47">
        <v>1</v>
      </c>
      <c r="W7" s="47"/>
      <c r="X7" s="47">
        <v>1</v>
      </c>
      <c r="Y7" s="47">
        <v>1</v>
      </c>
      <c r="Z7" s="27" t="s">
        <v>65</v>
      </c>
      <c r="AA7" s="2">
        <v>3.5</v>
      </c>
      <c r="AC7" s="13">
        <f>0.0074*T7+0.9139+0.0021-0.01875</f>
        <v>1.34125</v>
      </c>
      <c r="AD7" s="13">
        <f t="shared" si="3"/>
        <v>0.0316007906342088</v>
      </c>
      <c r="AE7" s="13">
        <f t="shared" si="4"/>
        <v>2.35607013116189</v>
      </c>
      <c r="AF7" s="13">
        <f t="shared" si="5"/>
        <v>2.35607013116189</v>
      </c>
      <c r="AG7" s="2"/>
      <c r="AH7" s="13">
        <f>0.0096*T7+0.808</f>
        <v>1.384</v>
      </c>
      <c r="AI7" s="13">
        <f t="shared" si="6"/>
        <v>0.011149209365791</v>
      </c>
      <c r="AJ7" s="13">
        <f t="shared" si="7"/>
        <v>0.805578711401084</v>
      </c>
      <c r="AK7" s="12">
        <f t="shared" si="8"/>
        <v>0.805578711401084</v>
      </c>
      <c r="AM7" s="13">
        <f t="shared" si="9"/>
        <v>1.3579</v>
      </c>
      <c r="AN7" s="13">
        <f t="shared" si="10"/>
        <v>-0.0149507906342088</v>
      </c>
      <c r="AO7" s="13">
        <f t="shared" si="11"/>
        <v>1.10102294971712</v>
      </c>
      <c r="AP7" s="13">
        <f t="shared" si="12"/>
        <v>1.10102294971712</v>
      </c>
      <c r="AR7" s="13">
        <f t="shared" si="13"/>
        <v>1.3668</v>
      </c>
      <c r="AS7" s="13">
        <f t="shared" si="14"/>
        <v>-0.00605079063420888</v>
      </c>
      <c r="AT7" s="13">
        <f t="shared" si="15"/>
        <v>0.442697588104249</v>
      </c>
      <c r="AU7" s="13">
        <f t="shared" si="16"/>
        <v>0.442697588104249</v>
      </c>
      <c r="AV7" s="58"/>
      <c r="AW7" s="11">
        <f t="shared" si="17"/>
        <v>60</v>
      </c>
      <c r="AX7" s="12">
        <f t="shared" si="1"/>
        <v>1.37285079063421</v>
      </c>
      <c r="AY7" s="12">
        <f>0.00910123*AW7+0.86365767</f>
        <v>1.40973147</v>
      </c>
      <c r="AZ7" s="13">
        <f t="shared" si="18"/>
        <v>-0.0368806793657912</v>
      </c>
      <c r="BA7" s="13">
        <f t="shared" si="19"/>
        <v>2.68643028196485</v>
      </c>
      <c r="BB7" s="13"/>
      <c r="BC7" s="27" t="s">
        <v>65</v>
      </c>
      <c r="BD7" s="12">
        <f>0.006645157*AW7+0.964808634</f>
        <v>1.363518054</v>
      </c>
      <c r="BE7" s="13">
        <f t="shared" si="20"/>
        <v>0.00933273663420886</v>
      </c>
      <c r="BF7" s="13">
        <f t="shared" si="21"/>
        <v>0.6798070626377</v>
      </c>
      <c r="BG7" s="12">
        <f>0.006645157*AW7+0.964808634</f>
        <v>1.363518054</v>
      </c>
      <c r="BH7" s="13">
        <f t="shared" si="22"/>
        <v>0.00933273663420886</v>
      </c>
      <c r="BI7" s="13">
        <f t="shared" si="23"/>
        <v>0.6798070626377</v>
      </c>
      <c r="BJ7" s="12">
        <f>0.006645157*AW7+0.964808634</f>
        <v>1.363518054</v>
      </c>
      <c r="BK7" s="13">
        <f t="shared" si="24"/>
        <v>0.00933273663420886</v>
      </c>
      <c r="BL7" s="13">
        <f t="shared" si="25"/>
        <v>0.6798070626377</v>
      </c>
      <c r="BM7" s="12">
        <f>0.006645157*AW7+0.964808634</f>
        <v>1.363518054</v>
      </c>
      <c r="BN7" s="13">
        <f>BU7-BM7</f>
        <v>0.00933273663420886</v>
      </c>
      <c r="BO7" s="13">
        <f>ABS(BN7/BU7)*100</f>
        <v>0.6798070626377</v>
      </c>
      <c r="BP7" s="59">
        <v>1.363518054</v>
      </c>
      <c r="BQ7" s="59">
        <v>0.00933273663420886</v>
      </c>
      <c r="BR7" s="59">
        <v>0.6798070626377</v>
      </c>
      <c r="BU7" s="13">
        <f>LN(R7*2)</f>
        <v>1.37285079063421</v>
      </c>
      <c r="BV7" s="11">
        <f>100-G7*100/AA7</f>
        <v>60</v>
      </c>
      <c r="BX7" s="13">
        <f>Q7</f>
        <v>0.000140932408816731</v>
      </c>
      <c r="BY7" s="13" t="e">
        <f>Intens(P7,BJ7)</f>
        <v>#NAME?</v>
      </c>
      <c r="BZ7" s="13" t="e">
        <f t="shared" si="26"/>
        <v>#NAME?</v>
      </c>
      <c r="CA7" s="13" t="e">
        <f t="shared" si="27"/>
        <v>#NAME?</v>
      </c>
    </row>
    <row r="8" s="12" customFormat="1" ht="15.9" customHeight="1" spans="1:79">
      <c r="A8" s="27">
        <v>7</v>
      </c>
      <c r="B8" s="28" t="s">
        <v>66</v>
      </c>
      <c r="C8" s="29" t="s">
        <v>67</v>
      </c>
      <c r="D8" s="27">
        <v>155</v>
      </c>
      <c r="E8" s="27">
        <v>100</v>
      </c>
      <c r="F8" s="27" t="s">
        <v>45</v>
      </c>
      <c r="G8" s="27">
        <v>3.2</v>
      </c>
      <c r="H8" s="27" t="s">
        <v>46</v>
      </c>
      <c r="I8" s="27" t="s">
        <v>47</v>
      </c>
      <c r="J8" s="27" t="s">
        <v>46</v>
      </c>
      <c r="K8" s="27" t="s">
        <v>48</v>
      </c>
      <c r="L8" s="27" t="s">
        <v>49</v>
      </c>
      <c r="M8" s="27" t="s">
        <v>46</v>
      </c>
      <c r="N8" s="27">
        <v>85</v>
      </c>
      <c r="O8" s="37">
        <v>0.142361111111111</v>
      </c>
      <c r="P8" s="38">
        <v>27</v>
      </c>
      <c r="Q8" s="27">
        <f t="shared" si="0"/>
        <v>2.72772404161416e-5</v>
      </c>
      <c r="R8" s="27">
        <v>1.47501941355183</v>
      </c>
      <c r="S8" s="27">
        <v>1.08181833199517</v>
      </c>
      <c r="T8" s="44">
        <f t="shared" si="2"/>
        <v>20</v>
      </c>
      <c r="U8" s="27"/>
      <c r="V8" s="48">
        <v>1</v>
      </c>
      <c r="W8" s="48">
        <v>1</v>
      </c>
      <c r="X8" s="48">
        <v>1</v>
      </c>
      <c r="Y8" s="48">
        <v>1</v>
      </c>
      <c r="Z8" s="27" t="s">
        <v>50</v>
      </c>
      <c r="AA8" s="2">
        <v>4</v>
      </c>
      <c r="AC8" s="13">
        <f>0.0074*T8+0.9139-0.01875</f>
        <v>1.04315</v>
      </c>
      <c r="AD8" s="13">
        <f t="shared" si="3"/>
        <v>0.0386683319951711</v>
      </c>
      <c r="AE8" s="13">
        <f t="shared" si="4"/>
        <v>3.70688127260423</v>
      </c>
      <c r="AF8" s="13">
        <f t="shared" si="5"/>
        <v>3.70688127260423</v>
      </c>
      <c r="AG8" s="2"/>
      <c r="AH8" s="13">
        <f t="shared" si="28"/>
        <v>1.0708</v>
      </c>
      <c r="AI8" s="13">
        <f t="shared" si="6"/>
        <v>-0.0110183319951711</v>
      </c>
      <c r="AJ8" s="13">
        <f t="shared" si="7"/>
        <v>1.02898132192483</v>
      </c>
      <c r="AK8" s="12">
        <f t="shared" si="8"/>
        <v>1.02898132192483</v>
      </c>
      <c r="AM8" s="13">
        <f t="shared" si="9"/>
        <v>1.0619</v>
      </c>
      <c r="AN8" s="13">
        <f t="shared" si="10"/>
        <v>-0.019918331995171</v>
      </c>
      <c r="AO8" s="13">
        <f t="shared" si="11"/>
        <v>1.87572577410029</v>
      </c>
      <c r="AP8" s="13">
        <f t="shared" si="12"/>
        <v>1.87572577410029</v>
      </c>
      <c r="AR8" s="13">
        <f t="shared" si="13"/>
        <v>1.0708</v>
      </c>
      <c r="AS8" s="13">
        <f t="shared" si="14"/>
        <v>-0.0110183319951711</v>
      </c>
      <c r="AT8" s="13">
        <f t="shared" si="15"/>
        <v>1.02898132192483</v>
      </c>
      <c r="AU8" s="13">
        <f t="shared" si="16"/>
        <v>1.02898132192483</v>
      </c>
      <c r="AV8" s="58"/>
      <c r="AW8" s="11">
        <f t="shared" si="17"/>
        <v>20</v>
      </c>
      <c r="AX8" s="12">
        <f t="shared" si="1"/>
        <v>1.08181833199517</v>
      </c>
      <c r="AY8" s="13">
        <f>0.006732*AW8+0.954156</f>
        <v>1.088796</v>
      </c>
      <c r="AZ8" s="13">
        <f t="shared" si="18"/>
        <v>-0.0069776680048288</v>
      </c>
      <c r="BA8" s="13">
        <f t="shared" si="19"/>
        <v>0.644994431917238</v>
      </c>
      <c r="BB8" s="13"/>
      <c r="BC8" s="27" t="s">
        <v>50</v>
      </c>
      <c r="BD8" s="13">
        <f>0.006732*AW8+0.954156</f>
        <v>1.088796</v>
      </c>
      <c r="BE8" s="13">
        <f t="shared" si="20"/>
        <v>-0.0069776680048288</v>
      </c>
      <c r="BF8" s="13">
        <f t="shared" si="21"/>
        <v>0.644994431917238</v>
      </c>
      <c r="BG8" s="13">
        <f>0.006732*AW8+0.954156</f>
        <v>1.088796</v>
      </c>
      <c r="BH8" s="13">
        <f t="shared" si="22"/>
        <v>-0.0069776680048288</v>
      </c>
      <c r="BI8" s="13">
        <f t="shared" si="23"/>
        <v>0.644994431917238</v>
      </c>
      <c r="BJ8" s="13">
        <f>0.006732*AW8+0.954156</f>
        <v>1.088796</v>
      </c>
      <c r="BK8" s="13">
        <f t="shared" si="24"/>
        <v>-0.0069776680048288</v>
      </c>
      <c r="BL8" s="13">
        <f t="shared" si="25"/>
        <v>0.644994431917238</v>
      </c>
      <c r="BM8" s="13">
        <f>0.006732*AW8+0.954156</f>
        <v>1.088796</v>
      </c>
      <c r="BN8" s="13">
        <f>BU8-BM8</f>
        <v>-0.0069776680048288</v>
      </c>
      <c r="BO8" s="13">
        <f>ABS(BN8/BU8)*100</f>
        <v>0.644994431917238</v>
      </c>
      <c r="BP8" s="59">
        <v>1.088796</v>
      </c>
      <c r="BQ8" s="59">
        <v>-0.00697766800482902</v>
      </c>
      <c r="BR8" s="59">
        <v>0.644994431917259</v>
      </c>
      <c r="BU8" s="13">
        <f>LN(R8*2)</f>
        <v>1.08181833199517</v>
      </c>
      <c r="BV8" s="11">
        <f>100-G8*100/AA8</f>
        <v>20</v>
      </c>
      <c r="BX8" s="13">
        <f>Q8</f>
        <v>2.72772404161416e-5</v>
      </c>
      <c r="BY8" s="13" t="e">
        <f>Intens(P8,BJ8)</f>
        <v>#NAME?</v>
      </c>
      <c r="BZ8" s="13" t="e">
        <f t="shared" si="26"/>
        <v>#NAME?</v>
      </c>
      <c r="CA8" s="13" t="e">
        <f t="shared" si="27"/>
        <v>#NAME?</v>
      </c>
    </row>
    <row r="9" s="12" customFormat="1" ht="15.9" customHeight="1" spans="1:79">
      <c r="A9" s="27">
        <v>8</v>
      </c>
      <c r="B9" s="28" t="s">
        <v>68</v>
      </c>
      <c r="C9" s="29" t="s">
        <v>69</v>
      </c>
      <c r="D9" s="27">
        <v>75</v>
      </c>
      <c r="E9" s="27">
        <v>50</v>
      </c>
      <c r="F9" s="27" t="s">
        <v>45</v>
      </c>
      <c r="G9" s="27">
        <v>1.9</v>
      </c>
      <c r="H9" s="27" t="s">
        <v>46</v>
      </c>
      <c r="I9" s="27" t="s">
        <v>47</v>
      </c>
      <c r="J9" s="27" t="s">
        <v>53</v>
      </c>
      <c r="K9" s="27" t="s">
        <v>48</v>
      </c>
      <c r="L9" s="27" t="s">
        <v>49</v>
      </c>
      <c r="M9" s="27" t="s">
        <v>53</v>
      </c>
      <c r="N9" s="27">
        <v>85</v>
      </c>
      <c r="O9" s="37">
        <v>0.4375</v>
      </c>
      <c r="P9" s="38">
        <v>27</v>
      </c>
      <c r="Q9" s="27">
        <f t="shared" si="0"/>
        <v>5.63729635266926e-5</v>
      </c>
      <c r="R9" s="27">
        <v>1.6952781923982</v>
      </c>
      <c r="S9" s="27">
        <v>1.22099403323395</v>
      </c>
      <c r="T9" s="44">
        <f t="shared" si="2"/>
        <v>45.7142857142857</v>
      </c>
      <c r="U9" s="27"/>
      <c r="V9" s="27">
        <v>1</v>
      </c>
      <c r="W9" s="27">
        <v>1</v>
      </c>
      <c r="X9" s="27"/>
      <c r="Y9" s="27"/>
      <c r="Z9" s="27" t="s">
        <v>70</v>
      </c>
      <c r="AA9" s="2">
        <v>3.5</v>
      </c>
      <c r="AC9" s="13">
        <f>0.0074*T9+0.9139+0.0215</f>
        <v>1.27368571428571</v>
      </c>
      <c r="AD9" s="13">
        <f t="shared" si="3"/>
        <v>-0.0526916810517695</v>
      </c>
      <c r="AE9" s="13">
        <f t="shared" si="4"/>
        <v>4.13694528098865</v>
      </c>
      <c r="AF9" s="13">
        <f t="shared" si="5"/>
        <v>4.13694528098865</v>
      </c>
      <c r="AG9" s="2"/>
      <c r="AH9" s="13">
        <f>0.0074*T9+0.9139</f>
        <v>1.25218571428571</v>
      </c>
      <c r="AI9" s="13">
        <f t="shared" si="6"/>
        <v>0.0311916810517694</v>
      </c>
      <c r="AJ9" s="13">
        <f t="shared" si="7"/>
        <v>2.49097882973071</v>
      </c>
      <c r="AK9" s="12">
        <f t="shared" si="8"/>
        <v>2.49097882973071</v>
      </c>
      <c r="AM9" s="13">
        <f t="shared" si="9"/>
        <v>1.25218571428571</v>
      </c>
      <c r="AN9" s="13">
        <f t="shared" si="10"/>
        <v>0.0311916810517694</v>
      </c>
      <c r="AO9" s="13">
        <f t="shared" si="11"/>
        <v>2.49097882973071</v>
      </c>
      <c r="AP9" s="13">
        <f t="shared" si="12"/>
        <v>2.49097882973071</v>
      </c>
      <c r="AR9" s="13">
        <f t="shared" si="13"/>
        <v>1.26108571428571</v>
      </c>
      <c r="AS9" s="13">
        <f t="shared" si="14"/>
        <v>0.0400916810517691</v>
      </c>
      <c r="AT9" s="13">
        <f t="shared" si="15"/>
        <v>3.17914005349567</v>
      </c>
      <c r="AU9" s="13">
        <f t="shared" si="16"/>
        <v>3.17914005349567</v>
      </c>
      <c r="AV9" s="58"/>
      <c r="AW9" s="11">
        <f t="shared" si="17"/>
        <v>45.7142857142857</v>
      </c>
      <c r="AX9" s="12">
        <f t="shared" si="1"/>
        <v>1.22099403323395</v>
      </c>
      <c r="AY9" s="12">
        <f>0.01*AW9+0.76</f>
        <v>1.21714285714286</v>
      </c>
      <c r="AZ9" s="13">
        <f t="shared" si="18"/>
        <v>0.00385117609108798</v>
      </c>
      <c r="BA9" s="13">
        <f t="shared" si="19"/>
        <v>0.315413178628539</v>
      </c>
      <c r="BB9" s="13"/>
      <c r="BC9" s="27" t="s">
        <v>70</v>
      </c>
      <c r="BD9" s="12">
        <f>0.01*AW9+0.76</f>
        <v>1.21714285714286</v>
      </c>
      <c r="BE9" s="13">
        <f t="shared" si="20"/>
        <v>0.00385117609108798</v>
      </c>
      <c r="BF9" s="13">
        <f t="shared" si="21"/>
        <v>0.315413178628539</v>
      </c>
      <c r="BG9" s="12">
        <f>0.01*AW9+0.76</f>
        <v>1.21714285714286</v>
      </c>
      <c r="BH9" s="13">
        <f t="shared" si="22"/>
        <v>0.00385117609108798</v>
      </c>
      <c r="BI9" s="13">
        <f t="shared" si="23"/>
        <v>0.315413178628539</v>
      </c>
      <c r="BJ9" s="12">
        <f>0.01*AW9+0.76</f>
        <v>1.21714285714286</v>
      </c>
      <c r="BK9" s="13">
        <f t="shared" si="24"/>
        <v>0.00385117609108798</v>
      </c>
      <c r="BL9" s="13">
        <f t="shared" si="25"/>
        <v>0.315413178628539</v>
      </c>
      <c r="BM9" s="12">
        <f>0.01*AW9+0.76</f>
        <v>1.21714285714286</v>
      </c>
      <c r="BN9" s="13">
        <f>BU9-BM9</f>
        <v>0.00385117609108798</v>
      </c>
      <c r="BO9" s="13">
        <f>ABS(BN9/BU9)*100</f>
        <v>0.315413178628539</v>
      </c>
      <c r="BP9" s="59">
        <v>1.21714285714286</v>
      </c>
      <c r="BQ9" s="59">
        <v>0.00385117609108798</v>
      </c>
      <c r="BR9" s="59">
        <v>0.315413178628539</v>
      </c>
      <c r="BU9" s="13">
        <f>LN(R9*2)</f>
        <v>1.22099403323395</v>
      </c>
      <c r="BV9" s="11">
        <f>100-G9*100/AA9</f>
        <v>45.7142857142857</v>
      </c>
      <c r="BX9" s="13">
        <f>Q9</f>
        <v>5.63729635266926e-5</v>
      </c>
      <c r="BY9" s="13" t="e">
        <f>Intens(P9,BJ9)</f>
        <v>#NAME?</v>
      </c>
      <c r="BZ9" s="13" t="e">
        <f t="shared" si="26"/>
        <v>#NAME?</v>
      </c>
      <c r="CA9" s="13" t="e">
        <f t="shared" si="27"/>
        <v>#NAME?</v>
      </c>
    </row>
    <row r="10" s="12" customFormat="1" ht="15.9" customHeight="1" spans="1:79">
      <c r="A10" s="27">
        <v>9</v>
      </c>
      <c r="B10" s="28" t="s">
        <v>68</v>
      </c>
      <c r="C10" s="29" t="s">
        <v>71</v>
      </c>
      <c r="D10" s="27">
        <v>140</v>
      </c>
      <c r="E10" s="27">
        <v>100</v>
      </c>
      <c r="F10" s="27" t="s">
        <v>45</v>
      </c>
      <c r="G10" s="27">
        <v>2.7</v>
      </c>
      <c r="H10" s="27" t="s">
        <v>46</v>
      </c>
      <c r="I10" s="27" t="s">
        <v>47</v>
      </c>
      <c r="J10" s="27" t="s">
        <v>53</v>
      </c>
      <c r="K10" s="27" t="s">
        <v>48</v>
      </c>
      <c r="L10" s="27" t="s">
        <v>49</v>
      </c>
      <c r="M10" s="27" t="s">
        <v>46</v>
      </c>
      <c r="N10" s="27">
        <v>90</v>
      </c>
      <c r="O10" s="37">
        <v>0.367361111111111</v>
      </c>
      <c r="P10" s="38">
        <v>27</v>
      </c>
      <c r="Q10" s="27">
        <f t="shared" si="0"/>
        <v>3.01998018892996e-5</v>
      </c>
      <c r="R10" s="27">
        <v>1.50590161386939</v>
      </c>
      <c r="S10" s="27">
        <v>1.10253897836759</v>
      </c>
      <c r="T10" s="44">
        <f t="shared" si="2"/>
        <v>32.5</v>
      </c>
      <c r="U10" s="27"/>
      <c r="V10" s="49">
        <v>1</v>
      </c>
      <c r="W10" s="49">
        <v>1</v>
      </c>
      <c r="X10" s="49"/>
      <c r="Y10" s="49">
        <v>1</v>
      </c>
      <c r="Z10" s="27" t="s">
        <v>54</v>
      </c>
      <c r="AA10" s="2">
        <v>4</v>
      </c>
      <c r="AC10" s="13">
        <f t="shared" ref="AC10:AC44" si="29">0.0074*T10+0.9139</f>
        <v>1.1544</v>
      </c>
      <c r="AD10" s="13">
        <f t="shared" si="3"/>
        <v>-0.0518610216324067</v>
      </c>
      <c r="AE10" s="13">
        <f t="shared" si="4"/>
        <v>4.49246549137272</v>
      </c>
      <c r="AF10" s="13">
        <f t="shared" si="5"/>
        <v>4.49246549137272</v>
      </c>
      <c r="AG10" s="2"/>
      <c r="AH10" s="13">
        <f>0.0059*T10+0.9331</f>
        <v>1.12485</v>
      </c>
      <c r="AI10" s="13">
        <f t="shared" si="6"/>
        <v>0.0223110216324067</v>
      </c>
      <c r="AJ10" s="13">
        <f t="shared" si="7"/>
        <v>1.98346638506527</v>
      </c>
      <c r="AK10" s="12">
        <f t="shared" si="8"/>
        <v>1.98346638506527</v>
      </c>
      <c r="AM10" s="13">
        <f t="shared" si="9"/>
        <v>1.1544</v>
      </c>
      <c r="AN10" s="13">
        <f t="shared" si="10"/>
        <v>0.0518610216324067</v>
      </c>
      <c r="AO10" s="13">
        <f t="shared" si="11"/>
        <v>4.49246549137272</v>
      </c>
      <c r="AP10" s="13">
        <f t="shared" si="12"/>
        <v>4.49246549137272</v>
      </c>
      <c r="AR10" s="13">
        <f t="shared" si="13"/>
        <v>1.1633</v>
      </c>
      <c r="AS10" s="13">
        <f t="shared" si="14"/>
        <v>0.0607610216324066</v>
      </c>
      <c r="AT10" s="13">
        <f t="shared" si="15"/>
        <v>5.22316011625605</v>
      </c>
      <c r="AU10" s="13">
        <f t="shared" si="16"/>
        <v>5.22316011625605</v>
      </c>
      <c r="AV10" s="58"/>
      <c r="AW10" s="11">
        <f t="shared" si="17"/>
        <v>32.5</v>
      </c>
      <c r="AX10" s="12">
        <f t="shared" si="1"/>
        <v>1.10253897836759</v>
      </c>
      <c r="AY10" s="13">
        <f>0.005867*AW10+0.933127293</f>
        <v>1.123804793</v>
      </c>
      <c r="AZ10" s="13">
        <f t="shared" si="18"/>
        <v>-0.0212658146324065</v>
      </c>
      <c r="BA10" s="13">
        <f t="shared" si="19"/>
        <v>1.92880388354999</v>
      </c>
      <c r="BB10" s="13"/>
      <c r="BC10" s="27" t="s">
        <v>54</v>
      </c>
      <c r="BD10" s="13">
        <f>0.005867*AW10+0.933127293</f>
        <v>1.123804793</v>
      </c>
      <c r="BE10" s="13">
        <f t="shared" si="20"/>
        <v>-0.0212658146324065</v>
      </c>
      <c r="BF10" s="13">
        <f t="shared" si="21"/>
        <v>1.92880388354999</v>
      </c>
      <c r="BG10" s="13">
        <f>0.005867*AW10+0.933127293</f>
        <v>1.123804793</v>
      </c>
      <c r="BH10" s="13">
        <f t="shared" si="22"/>
        <v>-0.0212658146324065</v>
      </c>
      <c r="BI10" s="13">
        <f t="shared" si="23"/>
        <v>1.92880388354999</v>
      </c>
      <c r="BJ10" s="13">
        <f>0.005867*AW10+0.933127293</f>
        <v>1.123804793</v>
      </c>
      <c r="BK10" s="13">
        <f t="shared" si="24"/>
        <v>-0.0212658146324065</v>
      </c>
      <c r="BL10" s="13">
        <f t="shared" si="25"/>
        <v>1.92880388354999</v>
      </c>
      <c r="BM10" s="13">
        <f>0.004939237*AW10+0.949185949</f>
        <v>1.1097111515</v>
      </c>
      <c r="BN10" s="13">
        <f>BU10-BM10</f>
        <v>-0.00717217313240659</v>
      </c>
      <c r="BO10" s="13">
        <f>ABS(BN10/BU10)*100</f>
        <v>0.650514246945321</v>
      </c>
      <c r="BP10" s="59">
        <f>0.00433025*AW10+0.969221602</f>
        <v>1.109954727</v>
      </c>
      <c r="BQ10" s="59">
        <f>BU10-BP10</f>
        <v>-0.00741574863240646</v>
      </c>
      <c r="BR10" s="59">
        <f>ABS(BQ10/BU10)*100</f>
        <v>0.672606481757782</v>
      </c>
      <c r="BU10" s="13">
        <f>LN(R10*2)</f>
        <v>1.10253897836759</v>
      </c>
      <c r="BV10" s="11">
        <f>100-G10*100/AA10</f>
        <v>32.5</v>
      </c>
      <c r="BX10" s="13">
        <f>Q10</f>
        <v>3.01998018892996e-5</v>
      </c>
      <c r="BY10" s="13" t="e">
        <f>Intens(P10,BJ10)</f>
        <v>#NAME?</v>
      </c>
      <c r="BZ10" s="13" t="e">
        <f t="shared" si="26"/>
        <v>#NAME?</v>
      </c>
      <c r="CA10" s="13" t="e">
        <f t="shared" si="27"/>
        <v>#NAME?</v>
      </c>
    </row>
    <row r="11" s="12" customFormat="1" ht="15.9" customHeight="1" spans="1:79">
      <c r="A11" s="27">
        <v>10</v>
      </c>
      <c r="B11" s="28" t="s">
        <v>72</v>
      </c>
      <c r="C11" s="29" t="s">
        <v>73</v>
      </c>
      <c r="D11" s="27">
        <v>50</v>
      </c>
      <c r="E11" s="27">
        <v>100</v>
      </c>
      <c r="F11" s="27" t="s">
        <v>45</v>
      </c>
      <c r="G11" s="27">
        <v>2.7</v>
      </c>
      <c r="H11" s="27" t="s">
        <v>46</v>
      </c>
      <c r="I11" s="27" t="s">
        <v>47</v>
      </c>
      <c r="J11" s="27" t="s">
        <v>46</v>
      </c>
      <c r="K11" s="27" t="s">
        <v>48</v>
      </c>
      <c r="L11" s="27" t="s">
        <v>49</v>
      </c>
      <c r="M11" s="27" t="s">
        <v>46</v>
      </c>
      <c r="N11" s="27">
        <v>85</v>
      </c>
      <c r="O11" s="37">
        <v>0.131944444444444</v>
      </c>
      <c r="P11" s="38">
        <v>27</v>
      </c>
      <c r="Q11" s="27">
        <f t="shared" si="0"/>
        <v>8.45594452900389e-5</v>
      </c>
      <c r="R11" s="27">
        <v>1.81830160787438</v>
      </c>
      <c r="S11" s="27">
        <v>1.2910500634762</v>
      </c>
      <c r="T11" s="44">
        <f t="shared" si="2"/>
        <v>32.5</v>
      </c>
      <c r="U11" s="27"/>
      <c r="V11" s="48">
        <v>1</v>
      </c>
      <c r="W11" s="48">
        <v>1</v>
      </c>
      <c r="X11" s="48">
        <v>1</v>
      </c>
      <c r="Y11" s="48">
        <v>1</v>
      </c>
      <c r="Z11" s="27" t="s">
        <v>50</v>
      </c>
      <c r="AA11" s="2">
        <v>4</v>
      </c>
      <c r="AC11" s="13">
        <f>0.0074*T11+0.9139-0.01875</f>
        <v>1.13565</v>
      </c>
      <c r="AD11" s="13">
        <f t="shared" si="3"/>
        <v>0.155400063476197</v>
      </c>
      <c r="AE11" s="13">
        <f t="shared" si="4"/>
        <v>13.6837990116846</v>
      </c>
      <c r="AF11" s="13"/>
      <c r="AG11" s="2"/>
      <c r="AH11" s="13">
        <f t="shared" si="28"/>
        <v>1.1633</v>
      </c>
      <c r="AI11" s="13">
        <f t="shared" si="6"/>
        <v>-0.127750063476197</v>
      </c>
      <c r="AJ11" s="13">
        <f t="shared" si="7"/>
        <v>10.9816954763343</v>
      </c>
      <c r="AM11" s="13">
        <f t="shared" si="9"/>
        <v>1.1544</v>
      </c>
      <c r="AN11" s="13">
        <f t="shared" si="10"/>
        <v>-0.136650063476196</v>
      </c>
      <c r="AO11" s="13">
        <f t="shared" si="11"/>
        <v>11.8373235859491</v>
      </c>
      <c r="AP11" s="13"/>
      <c r="AR11" s="13">
        <f t="shared" si="13"/>
        <v>1.1633</v>
      </c>
      <c r="AS11" s="13">
        <f t="shared" si="14"/>
        <v>-0.127750063476197</v>
      </c>
      <c r="AT11" s="13">
        <f t="shared" si="15"/>
        <v>10.9816954763343</v>
      </c>
      <c r="AU11" s="13"/>
      <c r="AV11" s="58"/>
      <c r="AW11" s="11"/>
      <c r="AY11" s="13"/>
      <c r="AZ11" s="13"/>
      <c r="BA11" s="13"/>
      <c r="BB11" s="13"/>
      <c r="BC11" s="27" t="s">
        <v>50</v>
      </c>
      <c r="BD11" s="13"/>
      <c r="BE11" s="13">
        <f t="shared" si="20"/>
        <v>0</v>
      </c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59"/>
      <c r="BQ11" s="59"/>
      <c r="BR11" s="59"/>
      <c r="BU11" s="13"/>
      <c r="BV11" s="11"/>
      <c r="BX11" s="13"/>
      <c r="BY11" s="13"/>
      <c r="BZ11" s="13"/>
      <c r="CA11" s="13"/>
    </row>
    <row r="12" s="12" customFormat="1" ht="15.9" customHeight="1" spans="1:79">
      <c r="A12" s="27">
        <v>11</v>
      </c>
      <c r="B12" s="28" t="s">
        <v>74</v>
      </c>
      <c r="C12" s="29" t="s">
        <v>75</v>
      </c>
      <c r="D12" s="27">
        <v>210</v>
      </c>
      <c r="E12" s="27">
        <v>150</v>
      </c>
      <c r="F12" s="27" t="s">
        <v>45</v>
      </c>
      <c r="G12" s="27">
        <v>4</v>
      </c>
      <c r="H12" s="27" t="s">
        <v>46</v>
      </c>
      <c r="I12" s="27" t="s">
        <v>47</v>
      </c>
      <c r="J12" s="27" t="s">
        <v>46</v>
      </c>
      <c r="K12" s="27" t="s">
        <v>48</v>
      </c>
      <c r="L12" s="27" t="s">
        <v>49</v>
      </c>
      <c r="M12" s="27" t="s">
        <v>46</v>
      </c>
      <c r="N12" s="27">
        <v>85</v>
      </c>
      <c r="O12" s="37">
        <v>0.114583333333333</v>
      </c>
      <c r="P12" s="38">
        <v>27</v>
      </c>
      <c r="Q12" s="27">
        <f t="shared" si="0"/>
        <v>2.01332012595331e-5</v>
      </c>
      <c r="R12" s="27">
        <v>1.38287819839321</v>
      </c>
      <c r="S12" s="27">
        <v>1.017314158788</v>
      </c>
      <c r="T12" s="44">
        <f t="shared" si="2"/>
        <v>11.1111111111111</v>
      </c>
      <c r="U12" s="27"/>
      <c r="V12" s="48">
        <v>1</v>
      </c>
      <c r="W12" s="48">
        <v>1</v>
      </c>
      <c r="X12" s="48">
        <v>1</v>
      </c>
      <c r="Y12" s="48">
        <v>1</v>
      </c>
      <c r="Z12" s="27" t="s">
        <v>50</v>
      </c>
      <c r="AA12" s="2">
        <v>4.5</v>
      </c>
      <c r="AC12" s="13">
        <f>0.0074*T12+0.9139-0.01875</f>
        <v>0.977372222222222</v>
      </c>
      <c r="AD12" s="13">
        <f t="shared" si="3"/>
        <v>0.039941936565774</v>
      </c>
      <c r="AE12" s="13">
        <f t="shared" si="4"/>
        <v>4.0866658226647</v>
      </c>
      <c r="AF12" s="13">
        <f t="shared" si="5"/>
        <v>4.0866658226647</v>
      </c>
      <c r="AG12" s="2"/>
      <c r="AH12" s="13">
        <f t="shared" si="28"/>
        <v>1.00502222222222</v>
      </c>
      <c r="AI12" s="13">
        <f t="shared" si="6"/>
        <v>-0.0122919365657741</v>
      </c>
      <c r="AJ12" s="13">
        <f t="shared" si="7"/>
        <v>1.22305122155361</v>
      </c>
      <c r="AK12" s="12">
        <f t="shared" si="8"/>
        <v>1.22305122155361</v>
      </c>
      <c r="AM12" s="13">
        <f t="shared" si="9"/>
        <v>0.996122222222222</v>
      </c>
      <c r="AN12" s="13">
        <f t="shared" si="10"/>
        <v>-0.021191936565774</v>
      </c>
      <c r="AO12" s="13">
        <f t="shared" si="11"/>
        <v>2.12744340935367</v>
      </c>
      <c r="AP12" s="13">
        <f t="shared" si="12"/>
        <v>2.12744340935367</v>
      </c>
      <c r="AR12" s="13">
        <f t="shared" si="13"/>
        <v>1.00502222222222</v>
      </c>
      <c r="AS12" s="13">
        <f t="shared" si="14"/>
        <v>-0.0122919365657741</v>
      </c>
      <c r="AT12" s="13">
        <f t="shared" si="15"/>
        <v>1.22305122155361</v>
      </c>
      <c r="AU12" s="13">
        <f t="shared" si="16"/>
        <v>1.22305122155361</v>
      </c>
      <c r="AV12" s="58"/>
      <c r="AW12" s="11">
        <f t="shared" si="17"/>
        <v>11.1111111111111</v>
      </c>
      <c r="AX12" s="12">
        <f t="shared" ref="AX12:AX51" si="30">LN(R12*2)</f>
        <v>1.017314158788</v>
      </c>
      <c r="AY12" s="13">
        <f t="shared" ref="AY12" si="31">0.006732*AW12+0.954156</f>
        <v>1.028956</v>
      </c>
      <c r="AZ12" s="13">
        <f t="shared" si="18"/>
        <v>-0.0116418412120036</v>
      </c>
      <c r="BA12" s="13">
        <f t="shared" si="19"/>
        <v>1.14437031190772</v>
      </c>
      <c r="BB12" s="13"/>
      <c r="BC12" s="27" t="s">
        <v>50</v>
      </c>
      <c r="BD12" s="13">
        <f t="shared" ref="BD12" si="32">0.006732*AW12+0.954156</f>
        <v>1.028956</v>
      </c>
      <c r="BE12" s="13">
        <f t="shared" si="20"/>
        <v>-0.0116418412120036</v>
      </c>
      <c r="BF12" s="13">
        <f t="shared" si="21"/>
        <v>1.14437031190772</v>
      </c>
      <c r="BG12" s="13">
        <f>0.006732*AW12+0.954156</f>
        <v>1.028956</v>
      </c>
      <c r="BH12" s="13">
        <f t="shared" si="22"/>
        <v>-0.0116418412120036</v>
      </c>
      <c r="BI12" s="13">
        <f t="shared" si="23"/>
        <v>1.14437031190772</v>
      </c>
      <c r="BJ12" s="13">
        <f>0.006732*AW12+0.954156</f>
        <v>1.028956</v>
      </c>
      <c r="BK12" s="13">
        <f t="shared" si="24"/>
        <v>-0.0116418412120036</v>
      </c>
      <c r="BL12" s="13">
        <f t="shared" si="25"/>
        <v>1.14437031190772</v>
      </c>
      <c r="BM12" s="13">
        <f t="shared" ref="BM12" si="33">0.006732*AW12+0.954156</f>
        <v>1.028956</v>
      </c>
      <c r="BN12" s="13">
        <f>BU12-BM12</f>
        <v>-0.0116418412120036</v>
      </c>
      <c r="BO12" s="13">
        <f>ABS(BN12/BU12)*100</f>
        <v>1.14437031190772</v>
      </c>
      <c r="BP12" s="59">
        <v>1.028956</v>
      </c>
      <c r="BQ12" s="59">
        <v>-0.0116418412120036</v>
      </c>
      <c r="BR12" s="59">
        <v>1.14437031190772</v>
      </c>
      <c r="BU12" s="13">
        <f>LN(R12*2)</f>
        <v>1.017314158788</v>
      </c>
      <c r="BV12" s="11">
        <f>100-G12*100/AA12</f>
        <v>11.1111111111111</v>
      </c>
      <c r="BX12" s="13">
        <f>Q12</f>
        <v>2.01332012595331e-5</v>
      </c>
      <c r="BY12" s="13" t="e">
        <f>Intens(P12,BJ12)</f>
        <v>#NAME?</v>
      </c>
      <c r="BZ12" s="13" t="e">
        <f t="shared" si="26"/>
        <v>#NAME?</v>
      </c>
      <c r="CA12" s="13" t="e">
        <f t="shared" si="27"/>
        <v>#NAME?</v>
      </c>
    </row>
    <row r="13" s="12" customFormat="1" ht="15.9" customHeight="1" spans="1:79">
      <c r="A13" s="27">
        <v>12</v>
      </c>
      <c r="B13" s="28" t="s">
        <v>76</v>
      </c>
      <c r="C13" s="29" t="s">
        <v>77</v>
      </c>
      <c r="D13" s="27">
        <v>30</v>
      </c>
      <c r="E13" s="27">
        <v>50</v>
      </c>
      <c r="F13" s="27" t="s">
        <v>45</v>
      </c>
      <c r="G13" s="27">
        <v>1.3</v>
      </c>
      <c r="H13" s="27" t="s">
        <v>46</v>
      </c>
      <c r="I13" s="27" t="s">
        <v>47</v>
      </c>
      <c r="J13" s="27" t="s">
        <v>46</v>
      </c>
      <c r="K13" s="27" t="s">
        <v>48</v>
      </c>
      <c r="L13" s="27" t="s">
        <v>49</v>
      </c>
      <c r="M13" s="27" t="s">
        <v>53</v>
      </c>
      <c r="N13" s="27">
        <v>70</v>
      </c>
      <c r="O13" s="37">
        <v>0.152777777777778</v>
      </c>
      <c r="P13" s="38">
        <v>27</v>
      </c>
      <c r="Q13" s="27">
        <f t="shared" si="0"/>
        <v>0.000140932408816731</v>
      </c>
      <c r="R13" s="27">
        <v>1.97329278144702</v>
      </c>
      <c r="S13" s="27">
        <v>1.37285079063421</v>
      </c>
      <c r="T13" s="44">
        <f t="shared" si="2"/>
        <v>62.8571428571429</v>
      </c>
      <c r="U13" s="27"/>
      <c r="V13" s="50">
        <v>1</v>
      </c>
      <c r="W13" s="50">
        <v>1</v>
      </c>
      <c r="X13" s="50">
        <v>1</v>
      </c>
      <c r="Y13" s="50"/>
      <c r="Z13" s="27" t="s">
        <v>78</v>
      </c>
      <c r="AA13" s="2">
        <v>3.5</v>
      </c>
      <c r="AC13" s="13">
        <f>0.0074*T13+0.9139+0.0215-0.01875</f>
        <v>1.38179285714286</v>
      </c>
      <c r="AD13" s="13">
        <f t="shared" si="3"/>
        <v>-0.00894206650864837</v>
      </c>
      <c r="AE13" s="13">
        <f t="shared" si="4"/>
        <v>0.647135094267164</v>
      </c>
      <c r="AF13" s="13">
        <f t="shared" si="5"/>
        <v>0.647135094267164</v>
      </c>
      <c r="AG13" s="2"/>
      <c r="AH13" s="13">
        <f>0.0064*T13+0.9736</f>
        <v>1.37588571428571</v>
      </c>
      <c r="AI13" s="13">
        <f t="shared" si="6"/>
        <v>0.00303492365150548</v>
      </c>
      <c r="AJ13" s="13">
        <f t="shared" si="7"/>
        <v>0.220579632450145</v>
      </c>
      <c r="AK13" s="12">
        <f t="shared" si="8"/>
        <v>0.220579632450145</v>
      </c>
      <c r="AM13" s="13">
        <f t="shared" si="9"/>
        <v>1.37904285714286</v>
      </c>
      <c r="AN13" s="13">
        <f t="shared" si="10"/>
        <v>0.00619206650864834</v>
      </c>
      <c r="AO13" s="13">
        <f t="shared" si="11"/>
        <v>0.44901189811296</v>
      </c>
      <c r="AP13" s="13">
        <f t="shared" si="12"/>
        <v>0.44901189811296</v>
      </c>
      <c r="AR13" s="13">
        <f t="shared" si="13"/>
        <v>1.38794285714286</v>
      </c>
      <c r="AS13" s="13">
        <f t="shared" si="14"/>
        <v>0.0150920665086482</v>
      </c>
      <c r="AT13" s="13">
        <f t="shared" si="15"/>
        <v>1.08736944255154</v>
      </c>
      <c r="AU13" s="13">
        <f t="shared" si="16"/>
        <v>1.08736944255154</v>
      </c>
      <c r="AV13" s="58"/>
      <c r="AW13" s="11">
        <f t="shared" si="17"/>
        <v>62.8571428571429</v>
      </c>
      <c r="AX13" s="12">
        <f t="shared" si="30"/>
        <v>1.37285079063421</v>
      </c>
      <c r="AY13" s="12">
        <f>0.006413391*AW13+0.9735993</f>
        <v>1.37672673428571</v>
      </c>
      <c r="AZ13" s="13">
        <f t="shared" si="18"/>
        <v>-0.00387594365150523</v>
      </c>
      <c r="BA13" s="13">
        <f t="shared" si="19"/>
        <v>0.282328107172862</v>
      </c>
      <c r="BB13" s="13"/>
      <c r="BC13" s="27" t="s">
        <v>78</v>
      </c>
      <c r="BD13" s="12">
        <f>0.006413391*AW13+0.9735993</f>
        <v>1.37672673428571</v>
      </c>
      <c r="BE13" s="13">
        <f t="shared" si="20"/>
        <v>-0.00387594365150523</v>
      </c>
      <c r="BF13" s="13">
        <f t="shared" si="21"/>
        <v>0.282328107172862</v>
      </c>
      <c r="BG13" s="12">
        <f>0.006413391*AW13+0.9735993</f>
        <v>1.37672673428571</v>
      </c>
      <c r="BH13" s="13">
        <f t="shared" si="22"/>
        <v>-0.00387594365150523</v>
      </c>
      <c r="BI13" s="13">
        <f t="shared" si="23"/>
        <v>0.282328107172862</v>
      </c>
      <c r="BJ13" s="12">
        <f>0.006413391*AW13+0.9735993</f>
        <v>1.37672673428571</v>
      </c>
      <c r="BK13" s="13">
        <f t="shared" si="24"/>
        <v>-0.00387594365150523</v>
      </c>
      <c r="BL13" s="13">
        <f t="shared" si="25"/>
        <v>0.282328107172862</v>
      </c>
      <c r="BM13" s="12">
        <f>0.006413391*AW13+0.9735993</f>
        <v>1.37672673428571</v>
      </c>
      <c r="BN13" s="13">
        <f>BU13-BM13</f>
        <v>-0.00387594365150523</v>
      </c>
      <c r="BO13" s="13">
        <f>ABS(BN13/BU13)*100</f>
        <v>0.282328107172862</v>
      </c>
      <c r="BP13" s="59">
        <v>1.37672673428571</v>
      </c>
      <c r="BQ13" s="59">
        <v>-0.00387594365150523</v>
      </c>
      <c r="BR13" s="59">
        <v>0.282328107172862</v>
      </c>
      <c r="BU13" s="13">
        <f>LN(R13*2)</f>
        <v>1.37285079063421</v>
      </c>
      <c r="BV13" s="11">
        <f>100-G13*100/AA13</f>
        <v>62.8571428571429</v>
      </c>
      <c r="BX13" s="13">
        <f>Q13</f>
        <v>0.000140932408816731</v>
      </c>
      <c r="BY13" s="13" t="e">
        <f>Intens(P13,BJ13)</f>
        <v>#NAME?</v>
      </c>
      <c r="BZ13" s="13" t="e">
        <f t="shared" si="26"/>
        <v>#NAME?</v>
      </c>
      <c r="CA13" s="13" t="e">
        <f t="shared" si="27"/>
        <v>#NAME?</v>
      </c>
    </row>
    <row r="14" s="12" customFormat="1" ht="15.9" customHeight="1" spans="1:79">
      <c r="A14" s="27">
        <v>13</v>
      </c>
      <c r="B14" s="28" t="s">
        <v>79</v>
      </c>
      <c r="C14" s="29" t="s">
        <v>80</v>
      </c>
      <c r="D14" s="27">
        <v>170</v>
      </c>
      <c r="E14" s="27">
        <v>200</v>
      </c>
      <c r="F14" s="27">
        <v>1994</v>
      </c>
      <c r="G14" s="27">
        <v>6.4</v>
      </c>
      <c r="H14" s="27" t="s">
        <v>53</v>
      </c>
      <c r="I14" s="27" t="s">
        <v>57</v>
      </c>
      <c r="J14" s="27" t="s">
        <v>53</v>
      </c>
      <c r="K14" s="27" t="s">
        <v>48</v>
      </c>
      <c r="L14" s="27" t="s">
        <v>49</v>
      </c>
      <c r="M14" s="27" t="s">
        <v>53</v>
      </c>
      <c r="N14" s="27">
        <v>75</v>
      </c>
      <c r="O14" s="37">
        <v>0.496527777777778</v>
      </c>
      <c r="P14" s="38">
        <v>22</v>
      </c>
      <c r="Q14" s="27">
        <f t="shared" si="0"/>
        <v>3.0522794422875e-5</v>
      </c>
      <c r="R14" s="27">
        <v>1.54286138514332</v>
      </c>
      <c r="S14" s="27">
        <v>1.12678591526095</v>
      </c>
      <c r="T14" s="44">
        <f t="shared" si="2"/>
        <v>24.7058823529412</v>
      </c>
      <c r="U14" s="27"/>
      <c r="V14" s="27"/>
      <c r="W14" s="27"/>
      <c r="X14" s="27">
        <v>1</v>
      </c>
      <c r="Y14" s="27">
        <v>1</v>
      </c>
      <c r="Z14" s="27" t="s">
        <v>81</v>
      </c>
      <c r="AA14" s="13">
        <v>8.5</v>
      </c>
      <c r="AC14" s="13">
        <f>0.0074*T14+0.9139-0.01875</f>
        <v>1.07797352941176</v>
      </c>
      <c r="AD14" s="13">
        <f t="shared" si="3"/>
        <v>0.0488123858491887</v>
      </c>
      <c r="AE14" s="13">
        <f t="shared" si="4"/>
        <v>4.5281618256271</v>
      </c>
      <c r="AF14" s="13">
        <f t="shared" si="5"/>
        <v>4.5281618256271</v>
      </c>
      <c r="AG14" s="2"/>
      <c r="AH14" s="13">
        <f t="shared" si="28"/>
        <v>1.10562352941176</v>
      </c>
      <c r="AI14" s="13">
        <f t="shared" si="6"/>
        <v>-0.0211623858491887</v>
      </c>
      <c r="AJ14" s="13">
        <f t="shared" si="7"/>
        <v>1.91406797035587</v>
      </c>
      <c r="AK14" s="12">
        <f t="shared" si="8"/>
        <v>1.91406797035587</v>
      </c>
      <c r="AM14" s="13">
        <f t="shared" si="9"/>
        <v>1.09672352941176</v>
      </c>
      <c r="AN14" s="13">
        <f t="shared" si="10"/>
        <v>-0.0300623858491886</v>
      </c>
      <c r="AO14" s="13">
        <f t="shared" si="11"/>
        <v>2.74110886134747</v>
      </c>
      <c r="AP14" s="13">
        <f t="shared" si="12"/>
        <v>2.74110886134747</v>
      </c>
      <c r="AR14" s="13">
        <f t="shared" si="13"/>
        <v>1.10562352941176</v>
      </c>
      <c r="AS14" s="13">
        <f t="shared" si="14"/>
        <v>-0.0211623858491887</v>
      </c>
      <c r="AT14" s="13">
        <f t="shared" si="15"/>
        <v>1.91406797035587</v>
      </c>
      <c r="AU14" s="13">
        <f t="shared" si="16"/>
        <v>1.91406797035587</v>
      </c>
      <c r="AV14" s="58"/>
      <c r="AW14" s="11">
        <f t="shared" si="17"/>
        <v>24.7058823529412</v>
      </c>
      <c r="AX14" s="12">
        <f t="shared" si="30"/>
        <v>1.12678591526095</v>
      </c>
      <c r="AY14" s="12">
        <f>0.00910123*AW14+0.86365767</f>
        <v>1.08851158764706</v>
      </c>
      <c r="AZ14" s="13">
        <f t="shared" si="18"/>
        <v>0.0382743276138946</v>
      </c>
      <c r="BA14" s="13">
        <f t="shared" si="19"/>
        <v>3.3967701491042</v>
      </c>
      <c r="BB14" s="13"/>
      <c r="BC14" s="27" t="s">
        <v>81</v>
      </c>
      <c r="BD14" s="12">
        <f>0.006645157*AW14+0.964808634</f>
        <v>1.12898310105882</v>
      </c>
      <c r="BE14" s="13">
        <f t="shared" si="20"/>
        <v>-0.0021971857978702</v>
      </c>
      <c r="BF14" s="13">
        <f t="shared" si="21"/>
        <v>0.194995852194457</v>
      </c>
      <c r="BG14" s="12">
        <f>0.006645157*AW14+0.964808634</f>
        <v>1.12898310105882</v>
      </c>
      <c r="BH14" s="13">
        <f t="shared" si="22"/>
        <v>-0.0021971857978702</v>
      </c>
      <c r="BI14" s="13">
        <f t="shared" si="23"/>
        <v>0.194995852194457</v>
      </c>
      <c r="BJ14" s="12">
        <f>0.006645157*AW14+0.964808634</f>
        <v>1.12898310105882</v>
      </c>
      <c r="BK14" s="13">
        <f t="shared" si="24"/>
        <v>-0.0021971857978702</v>
      </c>
      <c r="BL14" s="13">
        <f t="shared" si="25"/>
        <v>0.194995852194457</v>
      </c>
      <c r="BM14" s="12">
        <f>0.006645157*AW14+0.964808634</f>
        <v>1.12898310105882</v>
      </c>
      <c r="BN14" s="13">
        <f>BU14-BM14</f>
        <v>-0.0021971857978702</v>
      </c>
      <c r="BO14" s="13">
        <f>ABS(BN14/BU14)*100</f>
        <v>0.194995852194457</v>
      </c>
      <c r="BP14" s="59">
        <v>1.12898310105882</v>
      </c>
      <c r="BQ14" s="59">
        <v>-0.0021971857978702</v>
      </c>
      <c r="BR14" s="59">
        <v>0.194995852194457</v>
      </c>
      <c r="BU14" s="13">
        <f>LN(R14*2)</f>
        <v>1.12678591526095</v>
      </c>
      <c r="BV14" s="11">
        <f>100-G14*100/AA14</f>
        <v>24.7058823529412</v>
      </c>
      <c r="BX14" s="13">
        <f>Q14</f>
        <v>3.0522794422875e-5</v>
      </c>
      <c r="BY14" s="13" t="e">
        <f>Intens(P14,BJ14)</f>
        <v>#NAME?</v>
      </c>
      <c r="BZ14" s="13" t="e">
        <f t="shared" si="26"/>
        <v>#NAME?</v>
      </c>
      <c r="CA14" s="13" t="e">
        <f t="shared" si="27"/>
        <v>#NAME?</v>
      </c>
    </row>
    <row r="15" s="12" customFormat="1" ht="15.9" customHeight="1" spans="1:79">
      <c r="A15" s="27">
        <v>14</v>
      </c>
      <c r="B15" s="28" t="s">
        <v>82</v>
      </c>
      <c r="C15" s="29" t="s">
        <v>83</v>
      </c>
      <c r="D15" s="27">
        <v>100</v>
      </c>
      <c r="E15" s="27">
        <v>100</v>
      </c>
      <c r="F15" s="27">
        <v>2001</v>
      </c>
      <c r="G15" s="27">
        <v>1.5</v>
      </c>
      <c r="H15" s="27" t="s">
        <v>53</v>
      </c>
      <c r="I15" s="27" t="s">
        <v>84</v>
      </c>
      <c r="J15" s="27" t="s">
        <v>53</v>
      </c>
      <c r="K15" s="27" t="s">
        <v>85</v>
      </c>
      <c r="L15" s="27" t="s">
        <v>49</v>
      </c>
      <c r="M15" s="27" t="s">
        <v>53</v>
      </c>
      <c r="N15" s="27">
        <v>60</v>
      </c>
      <c r="O15" s="37">
        <v>0.138194444444444</v>
      </c>
      <c r="P15" s="38">
        <v>15</v>
      </c>
      <c r="Q15" s="27">
        <f t="shared" si="0"/>
        <v>7.6103500761035e-5</v>
      </c>
      <c r="R15" s="27">
        <v>1.95700888042265</v>
      </c>
      <c r="S15" s="27">
        <v>1.36456440673705</v>
      </c>
      <c r="T15" s="44">
        <f t="shared" si="2"/>
        <v>62.5</v>
      </c>
      <c r="U15" s="27"/>
      <c r="V15" s="27"/>
      <c r="W15" s="27"/>
      <c r="X15" s="27"/>
      <c r="Y15" s="27"/>
      <c r="Z15" s="27" t="s">
        <v>58</v>
      </c>
      <c r="AA15" s="2">
        <v>4</v>
      </c>
      <c r="AC15" s="13">
        <f>0.0074*T15+0.9139+0.00372+0.0021+0.0215</f>
        <v>1.40372</v>
      </c>
      <c r="AD15" s="13">
        <f t="shared" si="3"/>
        <v>-0.039155593262955</v>
      </c>
      <c r="AE15" s="13">
        <f t="shared" si="4"/>
        <v>2.78941621284551</v>
      </c>
      <c r="AF15" s="13">
        <f t="shared" si="5"/>
        <v>2.78941621284551</v>
      </c>
      <c r="AG15" s="2"/>
      <c r="AH15" s="13">
        <f>0.0067*T15+0.9249</f>
        <v>1.34365</v>
      </c>
      <c r="AI15" s="13">
        <f t="shared" si="6"/>
        <v>-0.020914406737045</v>
      </c>
      <c r="AJ15" s="13">
        <f t="shared" si="7"/>
        <v>1.55653680177465</v>
      </c>
      <c r="AK15" s="12">
        <f t="shared" si="8"/>
        <v>1.55653680177465</v>
      </c>
      <c r="AM15" s="13">
        <f t="shared" si="9"/>
        <v>1.3764</v>
      </c>
      <c r="AN15" s="13">
        <f t="shared" si="10"/>
        <v>0.011835593262955</v>
      </c>
      <c r="AO15" s="13">
        <f t="shared" si="11"/>
        <v>0.859894889781678</v>
      </c>
      <c r="AP15" s="13">
        <f t="shared" si="12"/>
        <v>0.859894889781678</v>
      </c>
      <c r="AR15" s="13">
        <f t="shared" si="13"/>
        <v>1.3853</v>
      </c>
      <c r="AS15" s="13">
        <f t="shared" si="14"/>
        <v>0.0207355932629549</v>
      </c>
      <c r="AT15" s="13">
        <f t="shared" si="15"/>
        <v>1.49683052500938</v>
      </c>
      <c r="AU15" s="13">
        <f t="shared" si="16"/>
        <v>1.49683052500938</v>
      </c>
      <c r="AV15" s="58"/>
      <c r="AW15" s="11">
        <f t="shared" si="17"/>
        <v>62.5</v>
      </c>
      <c r="AX15" s="12">
        <f t="shared" si="30"/>
        <v>1.36456440673705</v>
      </c>
      <c r="AY15" s="13">
        <f t="shared" ref="AY15:AY16" si="34">0.0062266*AW15+0.9484024</f>
        <v>1.3375649</v>
      </c>
      <c r="AZ15" s="13">
        <f t="shared" si="18"/>
        <v>0.0269995067370452</v>
      </c>
      <c r="BA15" s="13">
        <f t="shared" si="19"/>
        <v>1.9786172498524</v>
      </c>
      <c r="BB15" s="13"/>
      <c r="BC15" s="27" t="s">
        <v>58</v>
      </c>
      <c r="BD15" s="13">
        <f t="shared" ref="BD15:BD16" si="35">0.0062266*AW15+0.9484024</f>
        <v>1.3375649</v>
      </c>
      <c r="BE15" s="13">
        <f t="shared" si="20"/>
        <v>0.0269995067370452</v>
      </c>
      <c r="BF15" s="13">
        <f t="shared" si="21"/>
        <v>1.9786172498524</v>
      </c>
      <c r="BG15" s="13">
        <f t="shared" ref="BG15:BG16" si="36">0.006554648*AW15+0.928046135</f>
        <v>1.337711635</v>
      </c>
      <c r="BH15" s="13">
        <f t="shared" si="22"/>
        <v>0.026852771737045</v>
      </c>
      <c r="BI15" s="13">
        <f t="shared" si="23"/>
        <v>1.96786400146956</v>
      </c>
      <c r="BJ15" s="13">
        <f>0.006889744*AW15+0.905045926</f>
        <v>1.335654926</v>
      </c>
      <c r="BK15" s="13">
        <f t="shared" si="24"/>
        <v>0.0289094807370451</v>
      </c>
      <c r="BL15" s="13">
        <f t="shared" si="25"/>
        <v>2.11858675151682</v>
      </c>
      <c r="BM15" s="12">
        <f>0.006889744*AW15+0.905045926</f>
        <v>1.335654926</v>
      </c>
      <c r="BN15" s="13">
        <f>BU15-BM15</f>
        <v>0.0289094807370451</v>
      </c>
      <c r="BO15" s="13">
        <f>ABS(BN15/BU15)*100</f>
        <v>2.11858675151682</v>
      </c>
      <c r="BP15" s="59">
        <v>1.335654926</v>
      </c>
      <c r="BQ15" s="59">
        <v>0.0289094807370451</v>
      </c>
      <c r="BR15" s="59">
        <v>2.11858675151682</v>
      </c>
      <c r="BU15" s="13">
        <f>LN(R15*2)</f>
        <v>1.36456440673705</v>
      </c>
      <c r="BV15" s="11">
        <f>100-G15*100/AA15</f>
        <v>62.5</v>
      </c>
      <c r="BX15" s="13">
        <f>Q15</f>
        <v>7.6103500761035e-5</v>
      </c>
      <c r="BY15" s="13" t="e">
        <f>Intens(P15,BJ15)</f>
        <v>#NAME?</v>
      </c>
      <c r="BZ15" s="13" t="e">
        <f t="shared" si="26"/>
        <v>#NAME?</v>
      </c>
      <c r="CA15" s="13" t="e">
        <f t="shared" si="27"/>
        <v>#NAME?</v>
      </c>
    </row>
    <row r="16" s="12" customFormat="1" ht="15.9" customHeight="1" spans="1:79">
      <c r="A16" s="27">
        <v>15</v>
      </c>
      <c r="B16" s="28" t="s">
        <v>86</v>
      </c>
      <c r="C16" s="29" t="s">
        <v>87</v>
      </c>
      <c r="D16" s="27">
        <v>270</v>
      </c>
      <c r="E16" s="27">
        <v>150</v>
      </c>
      <c r="F16" s="27">
        <v>2004</v>
      </c>
      <c r="G16" s="27">
        <v>2.1</v>
      </c>
      <c r="H16" s="27" t="s">
        <v>53</v>
      </c>
      <c r="I16" s="27" t="s">
        <v>84</v>
      </c>
      <c r="J16" s="27" t="s">
        <v>53</v>
      </c>
      <c r="K16" s="27" t="s">
        <v>88</v>
      </c>
      <c r="L16" s="27" t="s">
        <v>49</v>
      </c>
      <c r="M16" s="27" t="s">
        <v>53</v>
      </c>
      <c r="N16" s="27">
        <v>50</v>
      </c>
      <c r="O16" s="37">
        <v>0.305555555555556</v>
      </c>
      <c r="P16" s="38">
        <v>12</v>
      </c>
      <c r="Q16" s="27">
        <f t="shared" si="0"/>
        <v>3.52331022041829e-5</v>
      </c>
      <c r="R16" s="27">
        <v>1.73303352041192</v>
      </c>
      <c r="S16" s="27">
        <v>1.24302053352523</v>
      </c>
      <c r="T16" s="44">
        <f t="shared" si="2"/>
        <v>53.3333333333333</v>
      </c>
      <c r="U16" s="27"/>
      <c r="V16" s="27"/>
      <c r="W16" s="27"/>
      <c r="X16" s="27"/>
      <c r="Y16" s="27"/>
      <c r="Z16" s="27" t="s">
        <v>58</v>
      </c>
      <c r="AA16" s="2">
        <v>4.5</v>
      </c>
      <c r="AC16" s="13">
        <f>0.0074*T16+0.9139+0.00372+0.0021+0.0215</f>
        <v>1.33588666666667</v>
      </c>
      <c r="AD16" s="13">
        <f t="shared" si="3"/>
        <v>-0.0928661331414324</v>
      </c>
      <c r="AE16" s="13">
        <f t="shared" si="4"/>
        <v>6.95164758049079</v>
      </c>
      <c r="AF16" s="13">
        <f t="shared" si="5"/>
        <v>6.95164758049079</v>
      </c>
      <c r="AG16" s="2"/>
      <c r="AH16" s="13">
        <f>0.0067*T16+0.9249</f>
        <v>1.28223333333333</v>
      </c>
      <c r="AI16" s="13">
        <f t="shared" si="6"/>
        <v>0.0392127998080991</v>
      </c>
      <c r="AJ16" s="13">
        <f t="shared" si="7"/>
        <v>3.05816412572588</v>
      </c>
      <c r="AK16" s="12">
        <f t="shared" si="8"/>
        <v>3.05816412572588</v>
      </c>
      <c r="AM16" s="13">
        <f t="shared" si="9"/>
        <v>1.30856666666667</v>
      </c>
      <c r="AN16" s="13">
        <f t="shared" si="10"/>
        <v>0.0655461331414324</v>
      </c>
      <c r="AO16" s="13">
        <f t="shared" si="11"/>
        <v>5.0090022015003</v>
      </c>
      <c r="AP16" s="13">
        <f t="shared" si="12"/>
        <v>5.0090022015003</v>
      </c>
      <c r="AR16" s="13">
        <f t="shared" si="13"/>
        <v>1.31746666666667</v>
      </c>
      <c r="AS16" s="13">
        <f t="shared" si="14"/>
        <v>0.0744461331414326</v>
      </c>
      <c r="AT16" s="13">
        <f t="shared" si="15"/>
        <v>5.65070335553835</v>
      </c>
      <c r="AU16" s="13">
        <f t="shared" si="16"/>
        <v>5.65070335553835</v>
      </c>
      <c r="AV16" s="58"/>
      <c r="AW16" s="11">
        <f t="shared" si="17"/>
        <v>53.3333333333333</v>
      </c>
      <c r="AX16" s="12">
        <f t="shared" si="30"/>
        <v>1.24302053352523</v>
      </c>
      <c r="AY16" s="13">
        <f t="shared" si="34"/>
        <v>1.28048773333333</v>
      </c>
      <c r="AZ16" s="13">
        <f t="shared" si="18"/>
        <v>-0.0374671998080991</v>
      </c>
      <c r="BA16" s="13">
        <f t="shared" si="19"/>
        <v>3.01420602456512</v>
      </c>
      <c r="BB16" s="13"/>
      <c r="BC16" s="27" t="s">
        <v>58</v>
      </c>
      <c r="BD16" s="13">
        <f t="shared" si="35"/>
        <v>1.28048773333333</v>
      </c>
      <c r="BE16" s="13">
        <f t="shared" si="20"/>
        <v>-0.0374671998080991</v>
      </c>
      <c r="BF16" s="13">
        <f t="shared" si="21"/>
        <v>3.01420602456512</v>
      </c>
      <c r="BG16" s="13">
        <f t="shared" si="36"/>
        <v>1.27762736166667</v>
      </c>
      <c r="BH16" s="13">
        <f t="shared" si="22"/>
        <v>-0.0346068281414325</v>
      </c>
      <c r="BI16" s="13">
        <f t="shared" si="23"/>
        <v>2.78409142955078</v>
      </c>
      <c r="BJ16" s="13">
        <f t="shared" ref="BJ16" si="37">0.006889744*AW16+0.905045926</f>
        <v>1.27249893933333</v>
      </c>
      <c r="BK16" s="13">
        <f t="shared" si="24"/>
        <v>-0.0294784058080992</v>
      </c>
      <c r="BL16" s="13">
        <f t="shared" si="25"/>
        <v>2.37151398653873</v>
      </c>
      <c r="BM16" s="12">
        <f>0.006889744*AW16+0.905045926</f>
        <v>1.27249893933333</v>
      </c>
      <c r="BN16" s="13">
        <f>BU16-BM16</f>
        <v>-0.0294784058080992</v>
      </c>
      <c r="BO16" s="13">
        <f>ABS(BN16/BU16)*100</f>
        <v>2.37151398653873</v>
      </c>
      <c r="BP16" s="59">
        <v>1.27249893933333</v>
      </c>
      <c r="BQ16" s="59">
        <v>-0.0294784058080992</v>
      </c>
      <c r="BR16" s="59">
        <v>2.37151398653873</v>
      </c>
      <c r="BU16" s="13">
        <f>LN(R16*2)</f>
        <v>1.24302053352523</v>
      </c>
      <c r="BV16" s="11">
        <f>100-G16*100/AA16</f>
        <v>53.3333333333333</v>
      </c>
      <c r="BX16" s="13">
        <f>Q16</f>
        <v>3.52331022041829e-5</v>
      </c>
      <c r="BY16" s="13" t="e">
        <f>Intens(P16,BJ16)</f>
        <v>#NAME?</v>
      </c>
      <c r="BZ16" s="13" t="e">
        <f t="shared" si="26"/>
        <v>#NAME?</v>
      </c>
      <c r="CA16" s="13" t="e">
        <f t="shared" si="27"/>
        <v>#NAME?</v>
      </c>
    </row>
    <row r="17" s="12" customFormat="1" ht="15.9" customHeight="1" spans="1:79">
      <c r="A17" s="27">
        <v>16</v>
      </c>
      <c r="B17" s="28" t="s">
        <v>89</v>
      </c>
      <c r="C17" s="29" t="s">
        <v>77</v>
      </c>
      <c r="D17" s="27">
        <v>340</v>
      </c>
      <c r="E17" s="27">
        <v>250</v>
      </c>
      <c r="F17" s="27" t="s">
        <v>45</v>
      </c>
      <c r="G17" s="27">
        <v>8.2</v>
      </c>
      <c r="H17" s="27" t="s">
        <v>46</v>
      </c>
      <c r="I17" s="27" t="s">
        <v>47</v>
      </c>
      <c r="J17" s="27" t="s">
        <v>46</v>
      </c>
      <c r="K17" s="27" t="s">
        <v>48</v>
      </c>
      <c r="L17" s="27" t="s">
        <v>49</v>
      </c>
      <c r="M17" s="27" t="s">
        <v>46</v>
      </c>
      <c r="N17" s="27">
        <v>85</v>
      </c>
      <c r="O17" s="37">
        <v>0.284722222222222</v>
      </c>
      <c r="P17" s="38">
        <v>27</v>
      </c>
      <c r="Q17" s="27">
        <f t="shared" si="0"/>
        <v>1.24352125426528e-5</v>
      </c>
      <c r="R17" s="27">
        <v>1.23668222253568</v>
      </c>
      <c r="S17" s="27">
        <v>0.905579347301888</v>
      </c>
      <c r="T17" s="44">
        <f t="shared" si="2"/>
        <v>8.8888888888889</v>
      </c>
      <c r="U17" s="27"/>
      <c r="V17" s="48">
        <v>1</v>
      </c>
      <c r="W17" s="48">
        <v>1</v>
      </c>
      <c r="X17" s="48">
        <v>1</v>
      </c>
      <c r="Y17" s="48">
        <v>1</v>
      </c>
      <c r="Z17" s="27" t="s">
        <v>50</v>
      </c>
      <c r="AA17" s="2">
        <v>9</v>
      </c>
      <c r="AC17" s="13">
        <f>0.0074*T17+0.9139-0.01875</f>
        <v>0.960927777777778</v>
      </c>
      <c r="AD17" s="13">
        <f t="shared" si="3"/>
        <v>-0.0553484304758899</v>
      </c>
      <c r="AE17" s="13">
        <f t="shared" si="4"/>
        <v>5.75989494276953</v>
      </c>
      <c r="AF17" s="13">
        <f t="shared" si="5"/>
        <v>5.75989494276953</v>
      </c>
      <c r="AG17" s="2"/>
      <c r="AH17" s="13">
        <f t="shared" si="28"/>
        <v>0.988577777777778</v>
      </c>
      <c r="AI17" s="13">
        <f t="shared" si="6"/>
        <v>0.0829984304758898</v>
      </c>
      <c r="AJ17" s="13">
        <f t="shared" si="7"/>
        <v>8.39574106778547</v>
      </c>
      <c r="AK17" s="12">
        <f t="shared" si="8"/>
        <v>8.39574106778547</v>
      </c>
      <c r="AM17" s="13">
        <f t="shared" si="9"/>
        <v>0.979677777777778</v>
      </c>
      <c r="AN17" s="13">
        <f t="shared" si="10"/>
        <v>0.0740984304758899</v>
      </c>
      <c r="AO17" s="13">
        <f t="shared" si="11"/>
        <v>7.56355121619364</v>
      </c>
      <c r="AP17" s="13">
        <f t="shared" si="12"/>
        <v>7.56355121619364</v>
      </c>
      <c r="AR17" s="13">
        <f t="shared" si="13"/>
        <v>0.988577777777778</v>
      </c>
      <c r="AS17" s="13">
        <f t="shared" si="14"/>
        <v>0.0829984304758898</v>
      </c>
      <c r="AT17" s="13">
        <f t="shared" si="15"/>
        <v>8.39574106778547</v>
      </c>
      <c r="AU17" s="13">
        <f t="shared" si="16"/>
        <v>8.39574106778547</v>
      </c>
      <c r="AV17" s="58"/>
      <c r="AW17" s="11"/>
      <c r="AY17" s="13"/>
      <c r="AZ17" s="13"/>
      <c r="BA17" s="13"/>
      <c r="BB17" s="13"/>
      <c r="BC17" s="27" t="s">
        <v>50</v>
      </c>
      <c r="BD17" s="13"/>
      <c r="BE17" s="13">
        <f t="shared" si="20"/>
        <v>0</v>
      </c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59"/>
      <c r="BQ17" s="59"/>
      <c r="BR17" s="59"/>
      <c r="BU17" s="13"/>
      <c r="BV17" s="11"/>
      <c r="BX17" s="13"/>
      <c r="BY17" s="13"/>
      <c r="BZ17" s="13"/>
      <c r="CA17" s="13"/>
    </row>
    <row r="18" s="12" customFormat="1" ht="15.9" customHeight="1" spans="1:79">
      <c r="A18" s="27">
        <v>17</v>
      </c>
      <c r="B18" s="28" t="s">
        <v>89</v>
      </c>
      <c r="C18" s="29" t="s">
        <v>90</v>
      </c>
      <c r="D18" s="27">
        <v>190</v>
      </c>
      <c r="E18" s="27">
        <v>200</v>
      </c>
      <c r="F18" s="27" t="s">
        <v>45</v>
      </c>
      <c r="G18" s="27">
        <v>7.1</v>
      </c>
      <c r="H18" s="27" t="s">
        <v>46</v>
      </c>
      <c r="I18" s="27" t="s">
        <v>47</v>
      </c>
      <c r="J18" s="27" t="s">
        <v>53</v>
      </c>
      <c r="K18" s="27" t="s">
        <v>48</v>
      </c>
      <c r="L18" s="27" t="s">
        <v>49</v>
      </c>
      <c r="M18" s="27" t="s">
        <v>46</v>
      </c>
      <c r="N18" s="27">
        <v>90</v>
      </c>
      <c r="O18" s="37">
        <v>0.388888888888889</v>
      </c>
      <c r="P18" s="38">
        <v>27</v>
      </c>
      <c r="Q18" s="27">
        <f t="shared" si="0"/>
        <v>2.22524856026418e-5</v>
      </c>
      <c r="R18" s="27">
        <v>1.4132448283649</v>
      </c>
      <c r="S18" s="27">
        <v>1.03903553773497</v>
      </c>
      <c r="T18" s="44">
        <f t="shared" si="2"/>
        <v>16.4705882352941</v>
      </c>
      <c r="U18" s="27"/>
      <c r="V18" s="49">
        <v>1</v>
      </c>
      <c r="W18" s="49">
        <v>1</v>
      </c>
      <c r="X18" s="49"/>
      <c r="Y18" s="49">
        <v>1</v>
      </c>
      <c r="Z18" s="27" t="s">
        <v>54</v>
      </c>
      <c r="AA18" s="13">
        <v>8.5</v>
      </c>
      <c r="AC18" s="13">
        <f t="shared" si="29"/>
        <v>1.03578235294118</v>
      </c>
      <c r="AD18" s="13">
        <f t="shared" si="3"/>
        <v>0.00325318479378889</v>
      </c>
      <c r="AE18" s="13">
        <f t="shared" si="4"/>
        <v>0.314079959419201</v>
      </c>
      <c r="AF18" s="13">
        <f t="shared" si="5"/>
        <v>0.314079959419201</v>
      </c>
      <c r="AG18" s="2"/>
      <c r="AH18" s="13">
        <f>0.0059*T18+0.9331</f>
        <v>1.03027647058824</v>
      </c>
      <c r="AI18" s="13">
        <f t="shared" si="6"/>
        <v>-0.00875906714673014</v>
      </c>
      <c r="AJ18" s="13">
        <f t="shared" si="7"/>
        <v>0.850166668537927</v>
      </c>
      <c r="AK18" s="12">
        <f t="shared" si="8"/>
        <v>0.850166668537927</v>
      </c>
      <c r="AM18" s="13">
        <f t="shared" si="9"/>
        <v>1.03578235294118</v>
      </c>
      <c r="AN18" s="13">
        <f t="shared" si="10"/>
        <v>-0.00325318479378889</v>
      </c>
      <c r="AO18" s="13">
        <f t="shared" si="11"/>
        <v>0.314079959419201</v>
      </c>
      <c r="AP18" s="13">
        <f t="shared" si="12"/>
        <v>0.314079959419201</v>
      </c>
      <c r="AR18" s="13">
        <f t="shared" si="13"/>
        <v>1.04468235294118</v>
      </c>
      <c r="AS18" s="13">
        <f t="shared" si="14"/>
        <v>0.00564681520621102</v>
      </c>
      <c r="AT18" s="13">
        <f t="shared" si="15"/>
        <v>0.540529395400726</v>
      </c>
      <c r="AU18" s="13">
        <f t="shared" si="16"/>
        <v>0.540529395400726</v>
      </c>
      <c r="AV18" s="58"/>
      <c r="AW18" s="11">
        <f t="shared" si="17"/>
        <v>16.4705882352941</v>
      </c>
      <c r="AX18" s="12">
        <f t="shared" si="30"/>
        <v>1.03903553773497</v>
      </c>
      <c r="AY18" s="13">
        <f>0.005867*AW18+0.933127293</f>
        <v>1.02976023417647</v>
      </c>
      <c r="AZ18" s="13">
        <f t="shared" si="18"/>
        <v>0.00927530355849493</v>
      </c>
      <c r="BA18" s="13">
        <f t="shared" si="19"/>
        <v>0.892683957539559</v>
      </c>
      <c r="BB18" s="13"/>
      <c r="BC18" s="27" t="s">
        <v>54</v>
      </c>
      <c r="BD18" s="13">
        <f>0.005867*AW18+0.933127293</f>
        <v>1.02976023417647</v>
      </c>
      <c r="BE18" s="13">
        <f t="shared" si="20"/>
        <v>0.00927530355849493</v>
      </c>
      <c r="BF18" s="13">
        <f t="shared" si="21"/>
        <v>0.892683957539559</v>
      </c>
      <c r="BG18" s="13">
        <f>0.005867*AW18+0.933127293</f>
        <v>1.02976023417647</v>
      </c>
      <c r="BH18" s="13">
        <f t="shared" si="22"/>
        <v>0.00927530355849493</v>
      </c>
      <c r="BI18" s="13">
        <f t="shared" si="23"/>
        <v>0.892683957539559</v>
      </c>
      <c r="BJ18" s="13">
        <f>0.005867*AW18+0.933127293</f>
        <v>1.02976023417647</v>
      </c>
      <c r="BK18" s="13">
        <f t="shared" si="24"/>
        <v>0.00927530355849493</v>
      </c>
      <c r="BL18" s="13">
        <f t="shared" si="25"/>
        <v>0.892683957539559</v>
      </c>
      <c r="BM18" s="13">
        <f>0.004939237*AW18+0.949185949</f>
        <v>1.03053808782353</v>
      </c>
      <c r="BN18" s="13">
        <f>BU18-BM18</f>
        <v>0.00849744991143608</v>
      </c>
      <c r="BO18" s="13">
        <f>ABS(BN18/BU18)*100</f>
        <v>0.817820912070054</v>
      </c>
      <c r="BP18" s="59">
        <f>0.00433025*AW18+0.969221602</f>
        <v>1.04054336670588</v>
      </c>
      <c r="BQ18" s="59">
        <f>BU18-BP18</f>
        <v>-0.00150782897091695</v>
      </c>
      <c r="BR18" s="59">
        <f>ABS(BQ18/BU18)*100</f>
        <v>0.145118132744903</v>
      </c>
      <c r="BU18" s="13">
        <f>LN(R18*2)</f>
        <v>1.03903553773497</v>
      </c>
      <c r="BV18" s="11">
        <f>100-G18*100/AA18</f>
        <v>16.4705882352941</v>
      </c>
      <c r="BX18" s="13">
        <f>Q18</f>
        <v>2.22524856026418e-5</v>
      </c>
      <c r="BY18" s="13" t="e">
        <f>Intens(P18,BJ18)</f>
        <v>#NAME?</v>
      </c>
      <c r="BZ18" s="13" t="e">
        <f t="shared" si="26"/>
        <v>#NAME?</v>
      </c>
      <c r="CA18" s="13" t="e">
        <f t="shared" si="27"/>
        <v>#NAME?</v>
      </c>
    </row>
    <row r="19" s="12" customFormat="1" ht="15.9" customHeight="1" spans="1:79">
      <c r="A19" s="27">
        <v>18</v>
      </c>
      <c r="B19" s="28" t="s">
        <v>91</v>
      </c>
      <c r="C19" s="29" t="s">
        <v>92</v>
      </c>
      <c r="D19" s="27">
        <v>135</v>
      </c>
      <c r="E19" s="27">
        <v>150</v>
      </c>
      <c r="F19" s="27">
        <v>2002</v>
      </c>
      <c r="G19" s="27">
        <v>2.9</v>
      </c>
      <c r="H19" s="27" t="s">
        <v>53</v>
      </c>
      <c r="I19" s="27" t="s">
        <v>84</v>
      </c>
      <c r="J19" s="27" t="s">
        <v>53</v>
      </c>
      <c r="K19" s="27" t="s">
        <v>48</v>
      </c>
      <c r="L19" s="27" t="s">
        <v>49</v>
      </c>
      <c r="M19" s="27" t="s">
        <v>53</v>
      </c>
      <c r="N19" s="27">
        <v>50</v>
      </c>
      <c r="O19" s="37">
        <v>0.243055555555556</v>
      </c>
      <c r="P19" s="38">
        <v>14</v>
      </c>
      <c r="Q19" s="27">
        <f t="shared" si="0"/>
        <v>6.03996037785992e-5</v>
      </c>
      <c r="R19" s="27">
        <v>1.89445437339776</v>
      </c>
      <c r="S19" s="27">
        <v>1.33207804802924</v>
      </c>
      <c r="T19" s="44">
        <f t="shared" si="2"/>
        <v>35.5555555555556</v>
      </c>
      <c r="U19" s="27"/>
      <c r="V19" s="27"/>
      <c r="W19" s="27"/>
      <c r="X19" s="27"/>
      <c r="Y19" s="27"/>
      <c r="Z19" s="27" t="s">
        <v>58</v>
      </c>
      <c r="AA19" s="2">
        <v>4.5</v>
      </c>
      <c r="AC19" s="13">
        <f>0.0074*T19+0.9139+0.00372+0.0021+0.0215</f>
        <v>1.20433111111111</v>
      </c>
      <c r="AD19" s="13">
        <f t="shared" si="3"/>
        <v>0.127746936918133</v>
      </c>
      <c r="AE19" s="13">
        <f t="shared" si="4"/>
        <v>10.6072936038556</v>
      </c>
      <c r="AF19" s="13"/>
      <c r="AG19" s="2"/>
      <c r="AH19" s="13">
        <f>0.0067*T19+0.9249</f>
        <v>1.16312222222222</v>
      </c>
      <c r="AI19" s="13">
        <f t="shared" si="6"/>
        <v>-0.168955825807021</v>
      </c>
      <c r="AJ19" s="13">
        <f t="shared" si="7"/>
        <v>14.5260594784459</v>
      </c>
      <c r="AM19" s="13">
        <f t="shared" si="9"/>
        <v>1.17701111111111</v>
      </c>
      <c r="AN19" s="13">
        <f t="shared" si="10"/>
        <v>-0.155066936918133</v>
      </c>
      <c r="AO19" s="13">
        <f t="shared" si="11"/>
        <v>13.1746366244366</v>
      </c>
      <c r="AP19" s="13"/>
      <c r="AR19" s="13">
        <f t="shared" si="13"/>
        <v>1.18591111111111</v>
      </c>
      <c r="AS19" s="13">
        <f t="shared" si="14"/>
        <v>-0.146166936918133</v>
      </c>
      <c r="AT19" s="13">
        <f t="shared" si="15"/>
        <v>12.3252860647528</v>
      </c>
      <c r="AU19" s="13"/>
      <c r="AV19" s="58"/>
      <c r="AW19" s="11"/>
      <c r="AY19" s="13"/>
      <c r="AZ19" s="13"/>
      <c r="BA19" s="13"/>
      <c r="BB19" s="13"/>
      <c r="BC19" s="27" t="s">
        <v>58</v>
      </c>
      <c r="BD19" s="13"/>
      <c r="BE19" s="13">
        <f t="shared" si="20"/>
        <v>0</v>
      </c>
      <c r="BF19" s="13"/>
      <c r="BG19" s="13"/>
      <c r="BH19" s="13"/>
      <c r="BI19" s="13"/>
      <c r="BJ19" s="13"/>
      <c r="BK19" s="13"/>
      <c r="BL19" s="13"/>
      <c r="BN19" s="13"/>
      <c r="BO19" s="13"/>
      <c r="BP19" s="59"/>
      <c r="BQ19" s="59"/>
      <c r="BR19" s="59"/>
      <c r="BU19" s="13"/>
      <c r="BV19" s="11"/>
      <c r="BX19" s="13"/>
      <c r="BY19" s="13"/>
      <c r="BZ19" s="13"/>
      <c r="CA19" s="13"/>
    </row>
    <row r="20" s="12" customFormat="1" ht="15.9" customHeight="1" spans="1:79">
      <c r="A20" s="27">
        <v>19</v>
      </c>
      <c r="B20" s="28" t="s">
        <v>93</v>
      </c>
      <c r="C20" s="29" t="s">
        <v>94</v>
      </c>
      <c r="D20" s="27">
        <v>215</v>
      </c>
      <c r="E20" s="27">
        <v>100</v>
      </c>
      <c r="F20" s="27" t="s">
        <v>45</v>
      </c>
      <c r="G20" s="27">
        <v>3</v>
      </c>
      <c r="H20" s="27" t="s">
        <v>46</v>
      </c>
      <c r="I20" s="27" t="s">
        <v>47</v>
      </c>
      <c r="J20" s="27" t="s">
        <v>53</v>
      </c>
      <c r="K20" s="27" t="s">
        <v>48</v>
      </c>
      <c r="L20" s="27" t="s">
        <v>49</v>
      </c>
      <c r="M20" s="27" t="s">
        <v>53</v>
      </c>
      <c r="N20" s="27">
        <v>85</v>
      </c>
      <c r="O20" s="37">
        <v>0.410416666666667</v>
      </c>
      <c r="P20" s="38">
        <v>27</v>
      </c>
      <c r="Q20" s="27">
        <f t="shared" si="0"/>
        <v>1.96649872767532e-5</v>
      </c>
      <c r="R20" s="27">
        <v>1.37573873780495</v>
      </c>
      <c r="S20" s="27">
        <v>1.01213803126207</v>
      </c>
      <c r="T20" s="44">
        <f t="shared" si="2"/>
        <v>25</v>
      </c>
      <c r="U20" s="27"/>
      <c r="V20" s="27">
        <v>1</v>
      </c>
      <c r="W20" s="27">
        <v>1</v>
      </c>
      <c r="X20" s="27"/>
      <c r="Y20" s="27"/>
      <c r="Z20" s="27" t="s">
        <v>70</v>
      </c>
      <c r="AA20" s="2">
        <v>4</v>
      </c>
      <c r="AC20" s="13">
        <f>0.0074*T20+0.9139+0.0215</f>
        <v>1.1204</v>
      </c>
      <c r="AD20" s="13">
        <f t="shared" si="3"/>
        <v>-0.10826196873793</v>
      </c>
      <c r="AE20" s="13">
        <f t="shared" si="4"/>
        <v>9.66279621009733</v>
      </c>
      <c r="AF20" s="13">
        <f>ABS(AD20/AC20)*100</f>
        <v>9.66279621009733</v>
      </c>
      <c r="AG20" s="2"/>
      <c r="AH20" s="13">
        <f>0.0074*T20+0.9139</f>
        <v>1.0989</v>
      </c>
      <c r="AI20" s="13">
        <f t="shared" si="6"/>
        <v>0.0867619687379304</v>
      </c>
      <c r="AJ20" s="13">
        <f t="shared" si="7"/>
        <v>7.89534705049872</v>
      </c>
      <c r="AK20" s="12">
        <f t="shared" si="8"/>
        <v>7.89534705049872</v>
      </c>
      <c r="AM20" s="13">
        <f t="shared" si="9"/>
        <v>1.0989</v>
      </c>
      <c r="AN20" s="13">
        <f t="shared" si="10"/>
        <v>0.0867619687379304</v>
      </c>
      <c r="AO20" s="13">
        <f t="shared" si="11"/>
        <v>7.89534705049872</v>
      </c>
      <c r="AP20" s="13">
        <f t="shared" si="12"/>
        <v>7.89534705049872</v>
      </c>
      <c r="AR20" s="13">
        <f t="shared" si="13"/>
        <v>1.1078</v>
      </c>
      <c r="AS20" s="13">
        <f t="shared" si="14"/>
        <v>0.0956619687379303</v>
      </c>
      <c r="AT20" s="13">
        <f t="shared" si="15"/>
        <v>8.63531041143982</v>
      </c>
      <c r="AU20" s="13">
        <f t="shared" si="16"/>
        <v>8.63531041143982</v>
      </c>
      <c r="AV20" s="58"/>
      <c r="AW20" s="11">
        <f t="shared" si="17"/>
        <v>25</v>
      </c>
      <c r="AX20" s="12">
        <f t="shared" si="30"/>
        <v>1.01213803126207</v>
      </c>
      <c r="AY20" s="12">
        <f>0.01*AW20+0.76</f>
        <v>1.01</v>
      </c>
      <c r="AZ20" s="13">
        <f t="shared" si="18"/>
        <v>0.00213803126206979</v>
      </c>
      <c r="BA20" s="13">
        <f t="shared" si="19"/>
        <v>0.211239099414515</v>
      </c>
      <c r="BB20" s="13"/>
      <c r="BC20" s="27" t="s">
        <v>70</v>
      </c>
      <c r="BD20" s="12">
        <f>0.01*AW20+0.76</f>
        <v>1.01</v>
      </c>
      <c r="BE20" s="13">
        <f t="shared" si="20"/>
        <v>0.00213803126206979</v>
      </c>
      <c r="BF20" s="13">
        <f t="shared" si="21"/>
        <v>0.211239099414515</v>
      </c>
      <c r="BG20" s="12">
        <f>0.01*AW20+0.76</f>
        <v>1.01</v>
      </c>
      <c r="BH20" s="13">
        <f t="shared" si="22"/>
        <v>0.00213803126206979</v>
      </c>
      <c r="BI20" s="13">
        <f t="shared" si="23"/>
        <v>0.211239099414515</v>
      </c>
      <c r="BJ20" s="12">
        <f>0.01*AW20+0.76</f>
        <v>1.01</v>
      </c>
      <c r="BK20" s="13">
        <f t="shared" si="24"/>
        <v>0.00213803126206979</v>
      </c>
      <c r="BL20" s="13">
        <f t="shared" si="25"/>
        <v>0.211239099414515</v>
      </c>
      <c r="BM20" s="12">
        <f>0.01*AW20+0.76</f>
        <v>1.01</v>
      </c>
      <c r="BN20" s="13">
        <f>BU20-BM20</f>
        <v>0.00213803126206979</v>
      </c>
      <c r="BO20" s="13">
        <f>ABS(BN20/BU20)*100</f>
        <v>0.211239099414515</v>
      </c>
      <c r="BP20" s="59">
        <v>1.01</v>
      </c>
      <c r="BQ20" s="59">
        <v>0.00213803126206957</v>
      </c>
      <c r="BR20" s="59">
        <v>0.211239099414493</v>
      </c>
      <c r="BU20" s="13">
        <f>LN(R20*2)</f>
        <v>1.01213803126207</v>
      </c>
      <c r="BV20" s="11">
        <f>100-G20*100/AA20</f>
        <v>25</v>
      </c>
      <c r="BX20" s="13">
        <f>Q20</f>
        <v>1.96649872767532e-5</v>
      </c>
      <c r="BY20" s="13" t="e">
        <f>Intens(P20,BJ20)</f>
        <v>#NAME?</v>
      </c>
      <c r="BZ20" s="13" t="e">
        <f t="shared" si="26"/>
        <v>#NAME?</v>
      </c>
      <c r="CA20" s="13" t="e">
        <f t="shared" si="27"/>
        <v>#NAME?</v>
      </c>
    </row>
    <row r="21" s="12" customFormat="1" ht="15.9" customHeight="1" spans="1:79">
      <c r="A21" s="27">
        <v>20</v>
      </c>
      <c r="B21" s="28" t="s">
        <v>95</v>
      </c>
      <c r="C21" s="29" t="s">
        <v>96</v>
      </c>
      <c r="D21" s="27">
        <v>45</v>
      </c>
      <c r="E21" s="27">
        <v>150</v>
      </c>
      <c r="F21" s="27" t="s">
        <v>45</v>
      </c>
      <c r="G21" s="27">
        <v>4.1</v>
      </c>
      <c r="H21" s="27" t="s">
        <v>46</v>
      </c>
      <c r="I21" s="27" t="s">
        <v>47</v>
      </c>
      <c r="J21" s="27" t="s">
        <v>46</v>
      </c>
      <c r="K21" s="27" t="s">
        <v>48</v>
      </c>
      <c r="L21" s="27" t="s">
        <v>49</v>
      </c>
      <c r="M21" s="27" t="s">
        <v>46</v>
      </c>
      <c r="N21" s="27">
        <v>85</v>
      </c>
      <c r="O21" s="37">
        <v>0.111111111111111</v>
      </c>
      <c r="P21" s="38">
        <v>27</v>
      </c>
      <c r="Q21" s="27">
        <f t="shared" si="0"/>
        <v>9.39549392111543e-5</v>
      </c>
      <c r="R21" s="27">
        <v>1.85026936597084</v>
      </c>
      <c r="S21" s="27">
        <v>1.30847841227854</v>
      </c>
      <c r="T21" s="44">
        <f t="shared" si="2"/>
        <v>8.8888888888889</v>
      </c>
      <c r="U21" s="27"/>
      <c r="V21" s="48">
        <v>1</v>
      </c>
      <c r="W21" s="48">
        <v>1</v>
      </c>
      <c r="X21" s="48">
        <v>1</v>
      </c>
      <c r="Y21" s="48">
        <v>1</v>
      </c>
      <c r="Z21" s="27" t="s">
        <v>50</v>
      </c>
      <c r="AA21" s="2">
        <v>4.5</v>
      </c>
      <c r="AC21" s="13">
        <f>0.0074*T21+0.9139-0.01875</f>
        <v>0.960927777777778</v>
      </c>
      <c r="AD21" s="13">
        <f t="shared" si="3"/>
        <v>0.347550634500761</v>
      </c>
      <c r="AE21" s="13">
        <f t="shared" si="4"/>
        <v>36.1682368371637</v>
      </c>
      <c r="AF21" s="13"/>
      <c r="AG21" s="2"/>
      <c r="AH21" s="13">
        <f t="shared" si="28"/>
        <v>0.988577777777778</v>
      </c>
      <c r="AI21" s="13">
        <f t="shared" si="6"/>
        <v>-0.319900634500761</v>
      </c>
      <c r="AJ21" s="13">
        <f t="shared" si="7"/>
        <v>32.3596829396535</v>
      </c>
      <c r="AM21" s="13">
        <f t="shared" si="9"/>
        <v>0.979677777777778</v>
      </c>
      <c r="AN21" s="13">
        <f t="shared" si="10"/>
        <v>-0.328800634500761</v>
      </c>
      <c r="AO21" s="13">
        <f t="shared" si="11"/>
        <v>33.5621203174156</v>
      </c>
      <c r="AP21" s="13"/>
      <c r="AR21" s="13">
        <f t="shared" si="13"/>
        <v>0.988577777777778</v>
      </c>
      <c r="AS21" s="13">
        <f t="shared" si="14"/>
        <v>-0.319900634500761</v>
      </c>
      <c r="AT21" s="13">
        <f t="shared" si="15"/>
        <v>32.3596829396535</v>
      </c>
      <c r="AU21" s="13"/>
      <c r="AV21" s="58"/>
      <c r="AW21" s="11"/>
      <c r="AY21" s="13"/>
      <c r="AZ21" s="13"/>
      <c r="BA21" s="13"/>
      <c r="BB21" s="13"/>
      <c r="BC21" s="27" t="s">
        <v>50</v>
      </c>
      <c r="BD21" s="13"/>
      <c r="BE21" s="13">
        <f t="shared" si="20"/>
        <v>0</v>
      </c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59"/>
      <c r="BQ21" s="59"/>
      <c r="BR21" s="59"/>
      <c r="BU21" s="13"/>
      <c r="BV21" s="11"/>
      <c r="BX21" s="13"/>
      <c r="BY21" s="13"/>
      <c r="BZ21" s="13"/>
      <c r="CA21" s="13"/>
    </row>
    <row r="22" s="12" customFormat="1" ht="15.9" customHeight="1" spans="1:79">
      <c r="A22" s="27">
        <v>21</v>
      </c>
      <c r="B22" s="28" t="s">
        <v>97</v>
      </c>
      <c r="C22" s="29" t="s">
        <v>98</v>
      </c>
      <c r="D22" s="27">
        <v>100</v>
      </c>
      <c r="E22" s="27">
        <v>100</v>
      </c>
      <c r="F22" s="27" t="s">
        <v>45</v>
      </c>
      <c r="G22" s="27">
        <v>2.3</v>
      </c>
      <c r="H22" s="27" t="s">
        <v>46</v>
      </c>
      <c r="I22" s="27" t="s">
        <v>47</v>
      </c>
      <c r="J22" s="27" t="s">
        <v>53</v>
      </c>
      <c r="K22" s="27" t="s">
        <v>48</v>
      </c>
      <c r="L22" s="27" t="s">
        <v>49</v>
      </c>
      <c r="M22" s="27" t="s">
        <v>46</v>
      </c>
      <c r="N22" s="27">
        <v>90</v>
      </c>
      <c r="O22" s="37">
        <v>0.304166666666667</v>
      </c>
      <c r="P22" s="38">
        <v>27</v>
      </c>
      <c r="Q22" s="27">
        <f t="shared" si="0"/>
        <v>4.22797226450194e-5</v>
      </c>
      <c r="R22" s="27">
        <v>1.60799169001723</v>
      </c>
      <c r="S22" s="27">
        <v>1.16813318340363</v>
      </c>
      <c r="T22" s="44">
        <f t="shared" si="2"/>
        <v>42.5</v>
      </c>
      <c r="U22" s="27"/>
      <c r="V22" s="49">
        <v>1</v>
      </c>
      <c r="W22" s="49">
        <v>1</v>
      </c>
      <c r="X22" s="49"/>
      <c r="Y22" s="49">
        <v>1</v>
      </c>
      <c r="Z22" s="27" t="s">
        <v>54</v>
      </c>
      <c r="AA22" s="2">
        <v>4</v>
      </c>
      <c r="AC22" s="13">
        <f t="shared" si="29"/>
        <v>1.2284</v>
      </c>
      <c r="AD22" s="13">
        <f t="shared" si="3"/>
        <v>-0.0602668165963689</v>
      </c>
      <c r="AE22" s="13">
        <f t="shared" si="4"/>
        <v>4.90612313549079</v>
      </c>
      <c r="AF22" s="13">
        <f t="shared" si="5"/>
        <v>4.90612313549079</v>
      </c>
      <c r="AG22" s="2"/>
      <c r="AH22" s="13">
        <f>0.0059*T22+0.9331</f>
        <v>1.18385</v>
      </c>
      <c r="AI22" s="13">
        <f t="shared" si="6"/>
        <v>0.0157168165963688</v>
      </c>
      <c r="AJ22" s="13">
        <f t="shared" si="7"/>
        <v>1.32760202697713</v>
      </c>
      <c r="AK22" s="12">
        <f t="shared" si="8"/>
        <v>1.32760202697713</v>
      </c>
      <c r="AM22" s="13">
        <f t="shared" si="9"/>
        <v>1.2284</v>
      </c>
      <c r="AN22" s="13">
        <f t="shared" si="10"/>
        <v>0.0602668165963689</v>
      </c>
      <c r="AO22" s="13">
        <f t="shared" si="11"/>
        <v>4.90612313549079</v>
      </c>
      <c r="AP22" s="13">
        <f t="shared" si="12"/>
        <v>4.90612313549079</v>
      </c>
      <c r="AR22" s="13">
        <f t="shared" si="13"/>
        <v>1.2373</v>
      </c>
      <c r="AS22" s="13">
        <f t="shared" si="14"/>
        <v>0.0691668165963688</v>
      </c>
      <c r="AT22" s="13">
        <f t="shared" si="15"/>
        <v>5.59014116191456</v>
      </c>
      <c r="AU22" s="13">
        <f t="shared" si="16"/>
        <v>5.59014116191456</v>
      </c>
      <c r="AV22" s="58"/>
      <c r="AW22" s="11">
        <f t="shared" si="17"/>
        <v>42.5</v>
      </c>
      <c r="AX22" s="12">
        <f t="shared" si="30"/>
        <v>1.16813318340363</v>
      </c>
      <c r="AY22" s="13">
        <f>0.005867*AW22+0.933127293</f>
        <v>1.182474793</v>
      </c>
      <c r="AZ22" s="13">
        <f t="shared" si="18"/>
        <v>-0.0143416095963687</v>
      </c>
      <c r="BA22" s="13">
        <f t="shared" si="19"/>
        <v>1.22773753884647</v>
      </c>
      <c r="BB22" s="13"/>
      <c r="BC22" s="27" t="s">
        <v>54</v>
      </c>
      <c r="BD22" s="13">
        <f>0.005867*AW22+0.933127293</f>
        <v>1.182474793</v>
      </c>
      <c r="BE22" s="13">
        <f t="shared" si="20"/>
        <v>-0.0143416095963687</v>
      </c>
      <c r="BF22" s="13">
        <f t="shared" si="21"/>
        <v>1.22773753884647</v>
      </c>
      <c r="BG22" s="13">
        <f>0.005867*AW22+0.933127293</f>
        <v>1.182474793</v>
      </c>
      <c r="BH22" s="13">
        <f t="shared" si="22"/>
        <v>-0.0143416095963687</v>
      </c>
      <c r="BI22" s="13">
        <f t="shared" si="23"/>
        <v>1.22773753884647</v>
      </c>
      <c r="BJ22" s="13">
        <f>0.005867*AW22+0.933127293</f>
        <v>1.182474793</v>
      </c>
      <c r="BK22" s="13">
        <f t="shared" si="24"/>
        <v>-0.0143416095963687</v>
      </c>
      <c r="BL22" s="13">
        <f t="shared" si="25"/>
        <v>1.22773753884647</v>
      </c>
      <c r="BM22" s="13">
        <f>0.004939237*AW22+0.949185949</f>
        <v>1.1591035215</v>
      </c>
      <c r="BN22" s="13">
        <f t="shared" ref="BN22:BN32" si="38">BU22-BM22</f>
        <v>0.00902966190363119</v>
      </c>
      <c r="BO22" s="13">
        <f t="shared" ref="BO22:BO32" si="39">ABS(BN22/BU22)*100</f>
        <v>0.772999349040076</v>
      </c>
      <c r="BP22" s="59">
        <f>0.00433025*AW22+0.969221602</f>
        <v>1.153257227</v>
      </c>
      <c r="BQ22" s="59">
        <f>BU22-BP22</f>
        <v>0.0148759564036312</v>
      </c>
      <c r="BR22" s="59">
        <f>ABS(BQ22/BU22)*100</f>
        <v>1.27348119332477</v>
      </c>
      <c r="BU22" s="13">
        <f t="shared" ref="BU22:BU35" si="40">LN(R22*2)</f>
        <v>1.16813318340363</v>
      </c>
      <c r="BV22" s="11">
        <f t="shared" ref="BV22:BV35" si="41">100-G22*100/AA22</f>
        <v>42.5</v>
      </c>
      <c r="BX22" s="13">
        <f t="shared" ref="BX22:BX35" si="42">Q22</f>
        <v>4.22797226450194e-5</v>
      </c>
      <c r="BY22" s="13" t="e">
        <f>Intens(P22,BJ22)</f>
        <v>#NAME?</v>
      </c>
      <c r="BZ22" s="13" t="e">
        <f t="shared" si="26"/>
        <v>#NAME?</v>
      </c>
      <c r="CA22" s="13" t="e">
        <f t="shared" si="27"/>
        <v>#NAME?</v>
      </c>
    </row>
    <row r="23" s="12" customFormat="1" ht="15.9" customHeight="1" spans="1:79">
      <c r="A23" s="27">
        <v>22</v>
      </c>
      <c r="B23" s="28" t="s">
        <v>99</v>
      </c>
      <c r="C23" s="29" t="s">
        <v>77</v>
      </c>
      <c r="D23" s="27">
        <v>75</v>
      </c>
      <c r="E23" s="27">
        <v>50</v>
      </c>
      <c r="F23" s="27" t="s">
        <v>45</v>
      </c>
      <c r="G23" s="27">
        <v>1.7</v>
      </c>
      <c r="H23" s="27" t="s">
        <v>53</v>
      </c>
      <c r="I23" s="27" t="s">
        <v>47</v>
      </c>
      <c r="J23" s="27" t="s">
        <v>46</v>
      </c>
      <c r="K23" s="27" t="s">
        <v>48</v>
      </c>
      <c r="L23" s="27" t="s">
        <v>49</v>
      </c>
      <c r="M23" s="27" t="s">
        <v>53</v>
      </c>
      <c r="N23" s="27">
        <v>70</v>
      </c>
      <c r="O23" s="37">
        <v>0.0902777777777778</v>
      </c>
      <c r="P23" s="38">
        <v>27</v>
      </c>
      <c r="Q23" s="27">
        <f t="shared" si="0"/>
        <v>5.63729635266926e-5</v>
      </c>
      <c r="R23" s="27">
        <v>1.6952781923982</v>
      </c>
      <c r="S23" s="27">
        <v>1.22099403323395</v>
      </c>
      <c r="T23" s="44">
        <f t="shared" si="2"/>
        <v>51.4285714285714</v>
      </c>
      <c r="U23" s="27"/>
      <c r="V23" s="27"/>
      <c r="W23" s="27">
        <v>1</v>
      </c>
      <c r="X23" s="27">
        <v>1</v>
      </c>
      <c r="Y23" s="27"/>
      <c r="Z23" s="27" t="s">
        <v>100</v>
      </c>
      <c r="AA23" s="2">
        <v>3.5</v>
      </c>
      <c r="AC23" s="13">
        <f>0.0074*T23+0.9139-0.01875+0.00372+0.0215</f>
        <v>1.30094142857143</v>
      </c>
      <c r="AD23" s="13">
        <f t="shared" si="3"/>
        <v>-0.0799473953374836</v>
      </c>
      <c r="AE23" s="13">
        <f t="shared" si="4"/>
        <v>6.14534932793049</v>
      </c>
      <c r="AF23" s="13">
        <f t="shared" si="5"/>
        <v>6.14534932793049</v>
      </c>
      <c r="AG23" s="2"/>
      <c r="AH23" s="13">
        <f>0.0074*T23+0.9139</f>
        <v>1.29447142857143</v>
      </c>
      <c r="AI23" s="13">
        <f t="shared" si="6"/>
        <v>0.0734773953374837</v>
      </c>
      <c r="AJ23" s="13">
        <f t="shared" si="7"/>
        <v>5.6762469773916</v>
      </c>
      <c r="AK23" s="12">
        <f t="shared" si="8"/>
        <v>5.6762469773916</v>
      </c>
      <c r="AM23" s="13">
        <f t="shared" si="9"/>
        <v>1.29447142857143</v>
      </c>
      <c r="AN23" s="13">
        <f t="shared" si="10"/>
        <v>0.0734773953374837</v>
      </c>
      <c r="AO23" s="13">
        <f t="shared" si="11"/>
        <v>5.6762469773916</v>
      </c>
      <c r="AP23" s="13">
        <f t="shared" si="12"/>
        <v>5.6762469773916</v>
      </c>
      <c r="AR23" s="13">
        <f t="shared" si="13"/>
        <v>1.30337142857143</v>
      </c>
      <c r="AS23" s="13">
        <f t="shared" si="14"/>
        <v>0.0823773953374836</v>
      </c>
      <c r="AT23" s="13">
        <f t="shared" si="15"/>
        <v>6.32033152880864</v>
      </c>
      <c r="AU23" s="13">
        <f t="shared" si="16"/>
        <v>6.32033152880864</v>
      </c>
      <c r="AV23" s="58"/>
      <c r="AW23" s="11">
        <f t="shared" si="17"/>
        <v>51.4285714285714</v>
      </c>
      <c r="AX23" s="12">
        <f t="shared" si="30"/>
        <v>1.22099403323395</v>
      </c>
      <c r="AY23" s="12">
        <f>0.00741522*AW23+0.839851722</f>
        <v>1.22120589342857</v>
      </c>
      <c r="AZ23" s="13">
        <f t="shared" si="18"/>
        <v>-0.000211860194626379</v>
      </c>
      <c r="BA23" s="13">
        <f t="shared" si="19"/>
        <v>0.0173514520841058</v>
      </c>
      <c r="BB23" s="13"/>
      <c r="BC23" s="27" t="s">
        <v>100</v>
      </c>
      <c r="BD23" s="12">
        <f>0.00741522*AW23+0.839851722</f>
        <v>1.22120589342857</v>
      </c>
      <c r="BE23" s="13">
        <f t="shared" si="20"/>
        <v>-0.000211860194626379</v>
      </c>
      <c r="BF23" s="13">
        <f t="shared" si="21"/>
        <v>0.0173514520841058</v>
      </c>
      <c r="BG23" s="12">
        <f>0.00741522*AW23+0.839851722</f>
        <v>1.22120589342857</v>
      </c>
      <c r="BH23" s="13">
        <f t="shared" si="22"/>
        <v>-0.000211860194626379</v>
      </c>
      <c r="BI23" s="13">
        <f t="shared" si="23"/>
        <v>0.0173514520841058</v>
      </c>
      <c r="BJ23" s="12">
        <f>0.00741522*AW23+0.839851722</f>
        <v>1.22120589342857</v>
      </c>
      <c r="BK23" s="13">
        <f t="shared" si="24"/>
        <v>-0.000211860194626379</v>
      </c>
      <c r="BL23" s="13">
        <f t="shared" si="25"/>
        <v>0.0173514520841058</v>
      </c>
      <c r="BM23" s="12">
        <f>0.00741522*AW23+0.839851722</f>
        <v>1.22120589342857</v>
      </c>
      <c r="BN23" s="13">
        <f t="shared" si="38"/>
        <v>-0.000211860194626379</v>
      </c>
      <c r="BO23" s="13">
        <f t="shared" si="39"/>
        <v>0.0173514520841058</v>
      </c>
      <c r="BP23" s="59">
        <v>1.22120589342857</v>
      </c>
      <c r="BQ23" s="59">
        <v>-0.000211860194626379</v>
      </c>
      <c r="BR23" s="59">
        <v>0.0173514520841058</v>
      </c>
      <c r="BU23" s="13">
        <f t="shared" si="40"/>
        <v>1.22099403323395</v>
      </c>
      <c r="BV23" s="11">
        <f t="shared" si="41"/>
        <v>51.4285714285714</v>
      </c>
      <c r="BX23" s="13">
        <f t="shared" si="42"/>
        <v>5.63729635266926e-5</v>
      </c>
      <c r="BY23" s="13" t="e">
        <f>Intens(P23,BJ23)</f>
        <v>#NAME?</v>
      </c>
      <c r="BZ23" s="13" t="e">
        <f t="shared" si="26"/>
        <v>#NAME?</v>
      </c>
      <c r="CA23" s="13" t="e">
        <f t="shared" si="27"/>
        <v>#NAME?</v>
      </c>
    </row>
    <row r="24" s="12" customFormat="1" ht="15.9" customHeight="1" spans="1:79">
      <c r="A24" s="27">
        <v>23</v>
      </c>
      <c r="B24" s="28" t="s">
        <v>101</v>
      </c>
      <c r="C24" s="29" t="s">
        <v>102</v>
      </c>
      <c r="D24" s="27">
        <v>120</v>
      </c>
      <c r="E24" s="27">
        <v>80</v>
      </c>
      <c r="F24" s="27" t="s">
        <v>45</v>
      </c>
      <c r="G24" s="27">
        <v>2.9</v>
      </c>
      <c r="H24" s="27" t="s">
        <v>46</v>
      </c>
      <c r="I24" s="27" t="s">
        <v>47</v>
      </c>
      <c r="J24" s="27" t="s">
        <v>46</v>
      </c>
      <c r="K24" s="27" t="s">
        <v>48</v>
      </c>
      <c r="L24" s="27" t="s">
        <v>49</v>
      </c>
      <c r="M24" s="27" t="s">
        <v>46</v>
      </c>
      <c r="N24" s="27">
        <v>85</v>
      </c>
      <c r="O24" s="37">
        <v>0.15</v>
      </c>
      <c r="P24" s="38">
        <v>27</v>
      </c>
      <c r="Q24" s="27">
        <f t="shared" si="0"/>
        <v>3.52331022041829e-5</v>
      </c>
      <c r="R24" s="27">
        <v>1.55267294573272</v>
      </c>
      <c r="S24" s="27">
        <v>1.13312510739865</v>
      </c>
      <c r="T24" s="44">
        <f t="shared" si="2"/>
        <v>27.5</v>
      </c>
      <c r="U24" s="27"/>
      <c r="V24" s="48">
        <v>1</v>
      </c>
      <c r="W24" s="48">
        <v>1</v>
      </c>
      <c r="X24" s="48">
        <v>1</v>
      </c>
      <c r="Y24" s="48">
        <v>1</v>
      </c>
      <c r="Z24" s="27" t="s">
        <v>50</v>
      </c>
      <c r="AA24" s="2">
        <v>4</v>
      </c>
      <c r="AC24" s="13">
        <f>0.0074*T24+0.9139-0.01875</f>
        <v>1.09865</v>
      </c>
      <c r="AD24" s="13">
        <f t="shared" si="3"/>
        <v>0.0344751073986518</v>
      </c>
      <c r="AE24" s="13">
        <f t="shared" si="4"/>
        <v>3.13795179526253</v>
      </c>
      <c r="AF24" s="13">
        <f t="shared" si="5"/>
        <v>3.13795179526253</v>
      </c>
      <c r="AG24" s="2"/>
      <c r="AH24" s="13">
        <f t="shared" si="28"/>
        <v>1.1263</v>
      </c>
      <c r="AI24" s="13">
        <f t="shared" si="6"/>
        <v>-0.00682510739865161</v>
      </c>
      <c r="AJ24" s="13">
        <f t="shared" si="7"/>
        <v>0.605975974309829</v>
      </c>
      <c r="AK24" s="12">
        <f t="shared" si="8"/>
        <v>0.605975974309829</v>
      </c>
      <c r="AM24" s="13">
        <f t="shared" si="9"/>
        <v>1.1174</v>
      </c>
      <c r="AN24" s="13">
        <f t="shared" si="10"/>
        <v>-0.0157251073986517</v>
      </c>
      <c r="AO24" s="13">
        <f t="shared" si="11"/>
        <v>1.40729437968961</v>
      </c>
      <c r="AP24" s="13">
        <f t="shared" si="12"/>
        <v>1.40729437968961</v>
      </c>
      <c r="AR24" s="13">
        <f t="shared" si="13"/>
        <v>1.1263</v>
      </c>
      <c r="AS24" s="13">
        <f t="shared" si="14"/>
        <v>-0.00682510739865161</v>
      </c>
      <c r="AT24" s="13">
        <f t="shared" si="15"/>
        <v>0.605975974309829</v>
      </c>
      <c r="AU24" s="13">
        <f t="shared" si="16"/>
        <v>0.605975974309829</v>
      </c>
      <c r="AV24" s="58"/>
      <c r="AW24" s="11">
        <f t="shared" si="17"/>
        <v>27.5</v>
      </c>
      <c r="AX24" s="12">
        <f t="shared" si="30"/>
        <v>1.13312510739865</v>
      </c>
      <c r="AY24" s="13">
        <f t="shared" ref="AY24:AY25" si="43">0.006732*AW24+0.954156</f>
        <v>1.139286</v>
      </c>
      <c r="AZ24" s="13">
        <f t="shared" si="18"/>
        <v>-0.00616089260134833</v>
      </c>
      <c r="BA24" s="13">
        <f t="shared" si="19"/>
        <v>0.543708065519091</v>
      </c>
      <c r="BB24" s="13"/>
      <c r="BC24" s="27" t="s">
        <v>50</v>
      </c>
      <c r="BD24" s="13">
        <f t="shared" ref="BD24:BD25" si="44">0.006732*AW24+0.954156</f>
        <v>1.139286</v>
      </c>
      <c r="BE24" s="13">
        <f t="shared" si="20"/>
        <v>-0.00616089260134833</v>
      </c>
      <c r="BF24" s="13">
        <f t="shared" si="21"/>
        <v>0.543708065519091</v>
      </c>
      <c r="BG24" s="13">
        <f>0.006732*AW24+0.954156</f>
        <v>1.139286</v>
      </c>
      <c r="BH24" s="13">
        <f t="shared" si="22"/>
        <v>-0.00616089260134833</v>
      </c>
      <c r="BI24" s="13">
        <f t="shared" si="23"/>
        <v>0.543708065519091</v>
      </c>
      <c r="BJ24" s="13">
        <f>0.006732*AW24+0.954156</f>
        <v>1.139286</v>
      </c>
      <c r="BK24" s="13">
        <f t="shared" si="24"/>
        <v>-0.00616089260134833</v>
      </c>
      <c r="BL24" s="13">
        <f t="shared" si="25"/>
        <v>0.543708065519091</v>
      </c>
      <c r="BM24" s="13">
        <f t="shared" ref="BM24:BM25" si="45">0.006732*AW24+0.954156</f>
        <v>1.139286</v>
      </c>
      <c r="BN24" s="13">
        <f t="shared" si="38"/>
        <v>-0.00616089260134833</v>
      </c>
      <c r="BO24" s="13">
        <f t="shared" si="39"/>
        <v>0.543708065519091</v>
      </c>
      <c r="BP24" s="59">
        <v>1.139286</v>
      </c>
      <c r="BQ24" s="59">
        <v>-0.00616089260134833</v>
      </c>
      <c r="BR24" s="59">
        <v>0.543708065519091</v>
      </c>
      <c r="BU24" s="13">
        <f t="shared" si="40"/>
        <v>1.13312510739865</v>
      </c>
      <c r="BV24" s="11">
        <f t="shared" si="41"/>
        <v>27.5</v>
      </c>
      <c r="BX24" s="13">
        <f t="shared" si="42"/>
        <v>3.52331022041829e-5</v>
      </c>
      <c r="BY24" s="13" t="e">
        <f>Intens(P24,BJ24)</f>
        <v>#NAME?</v>
      </c>
      <c r="BZ24" s="13" t="e">
        <f t="shared" si="26"/>
        <v>#NAME?</v>
      </c>
      <c r="CA24" s="13" t="e">
        <f t="shared" si="27"/>
        <v>#NAME?</v>
      </c>
    </row>
    <row r="25" s="12" customFormat="1" ht="15.9" customHeight="1" spans="1:79">
      <c r="A25" s="27">
        <v>24</v>
      </c>
      <c r="B25" s="28" t="s">
        <v>103</v>
      </c>
      <c r="C25" s="29" t="s">
        <v>104</v>
      </c>
      <c r="D25" s="27">
        <v>70</v>
      </c>
      <c r="E25" s="27">
        <v>80</v>
      </c>
      <c r="F25" s="27" t="s">
        <v>45</v>
      </c>
      <c r="G25" s="27">
        <v>2.4</v>
      </c>
      <c r="H25" s="27" t="s">
        <v>46</v>
      </c>
      <c r="I25" s="27" t="s">
        <v>47</v>
      </c>
      <c r="J25" s="27" t="s">
        <v>46</v>
      </c>
      <c r="K25" s="27" t="s">
        <v>48</v>
      </c>
      <c r="L25" s="27" t="s">
        <v>49</v>
      </c>
      <c r="M25" s="27" t="s">
        <v>46</v>
      </c>
      <c r="N25" s="27">
        <v>70</v>
      </c>
      <c r="O25" s="37">
        <v>0.416666666666667</v>
      </c>
      <c r="P25" s="38">
        <v>27</v>
      </c>
      <c r="Q25" s="27">
        <f t="shared" si="0"/>
        <v>6.03996037785992e-5</v>
      </c>
      <c r="R25" s="27">
        <v>1.71621153172655</v>
      </c>
      <c r="S25" s="27">
        <v>1.23326644426548</v>
      </c>
      <c r="T25" s="44">
        <f t="shared" si="2"/>
        <v>40</v>
      </c>
      <c r="U25" s="27"/>
      <c r="V25" s="48">
        <v>1</v>
      </c>
      <c r="W25" s="48">
        <v>1</v>
      </c>
      <c r="X25" s="48">
        <v>1</v>
      </c>
      <c r="Y25" s="48">
        <v>1</v>
      </c>
      <c r="Z25" s="27" t="s">
        <v>50</v>
      </c>
      <c r="AA25" s="2">
        <v>4</v>
      </c>
      <c r="AC25" s="13">
        <f>0.0074*T25+0.9139-0.01875</f>
        <v>1.19115</v>
      </c>
      <c r="AD25" s="13">
        <f t="shared" si="3"/>
        <v>0.0421164442654796</v>
      </c>
      <c r="AE25" s="13">
        <f t="shared" si="4"/>
        <v>3.53578006678248</v>
      </c>
      <c r="AF25" s="13">
        <f t="shared" si="5"/>
        <v>3.53578006678248</v>
      </c>
      <c r="AG25" s="2"/>
      <c r="AH25" s="13">
        <f t="shared" si="28"/>
        <v>1.2188</v>
      </c>
      <c r="AI25" s="13">
        <f t="shared" si="6"/>
        <v>-0.0144664442654798</v>
      </c>
      <c r="AJ25" s="13">
        <f t="shared" si="7"/>
        <v>1.18694160366589</v>
      </c>
      <c r="AK25" s="12">
        <f t="shared" si="8"/>
        <v>1.18694160366589</v>
      </c>
      <c r="AM25" s="13">
        <f t="shared" si="9"/>
        <v>1.2099</v>
      </c>
      <c r="AN25" s="13">
        <f t="shared" si="10"/>
        <v>-0.0233664442654795</v>
      </c>
      <c r="AO25" s="13">
        <f t="shared" si="11"/>
        <v>1.93127070546983</v>
      </c>
      <c r="AP25" s="13">
        <f t="shared" si="12"/>
        <v>1.93127070546983</v>
      </c>
      <c r="AR25" s="13">
        <f t="shared" si="13"/>
        <v>1.2188</v>
      </c>
      <c r="AS25" s="13">
        <f t="shared" si="14"/>
        <v>-0.0144664442654798</v>
      </c>
      <c r="AT25" s="13">
        <f t="shared" si="15"/>
        <v>1.18694160366589</v>
      </c>
      <c r="AU25" s="13">
        <f t="shared" si="16"/>
        <v>1.18694160366589</v>
      </c>
      <c r="AV25" s="58"/>
      <c r="AW25" s="11">
        <f t="shared" si="17"/>
        <v>40</v>
      </c>
      <c r="AX25" s="12">
        <f t="shared" si="30"/>
        <v>1.23326644426548</v>
      </c>
      <c r="AY25" s="13">
        <f t="shared" si="43"/>
        <v>1.223436</v>
      </c>
      <c r="AZ25" s="13">
        <f t="shared" si="18"/>
        <v>0.00983044426547974</v>
      </c>
      <c r="BA25" s="13">
        <f t="shared" si="19"/>
        <v>0.797106279116728</v>
      </c>
      <c r="BB25" s="13"/>
      <c r="BC25" s="27" t="s">
        <v>50</v>
      </c>
      <c r="BD25" s="13">
        <f t="shared" si="44"/>
        <v>1.223436</v>
      </c>
      <c r="BE25" s="13">
        <f t="shared" si="20"/>
        <v>0.00983044426547974</v>
      </c>
      <c r="BF25" s="13">
        <f t="shared" si="21"/>
        <v>0.797106279116728</v>
      </c>
      <c r="BG25" s="13">
        <f>0.006732*AW25+0.954156</f>
        <v>1.223436</v>
      </c>
      <c r="BH25" s="13">
        <f t="shared" si="22"/>
        <v>0.00983044426547974</v>
      </c>
      <c r="BI25" s="13">
        <f t="shared" si="23"/>
        <v>0.797106279116728</v>
      </c>
      <c r="BJ25" s="13">
        <f>0.006732*AW25+0.954156</f>
        <v>1.223436</v>
      </c>
      <c r="BK25" s="13">
        <f t="shared" si="24"/>
        <v>0.00983044426547974</v>
      </c>
      <c r="BL25" s="13">
        <f t="shared" si="25"/>
        <v>0.797106279116728</v>
      </c>
      <c r="BM25" s="13">
        <f t="shared" si="45"/>
        <v>1.223436</v>
      </c>
      <c r="BN25" s="13">
        <f t="shared" si="38"/>
        <v>0.00983044426547974</v>
      </c>
      <c r="BO25" s="13">
        <f t="shared" si="39"/>
        <v>0.797106279116728</v>
      </c>
      <c r="BP25" s="59">
        <v>1.223436</v>
      </c>
      <c r="BQ25" s="59">
        <v>0.00983044426547974</v>
      </c>
      <c r="BR25" s="59">
        <v>0.797106279116728</v>
      </c>
      <c r="BU25" s="13">
        <f t="shared" si="40"/>
        <v>1.23326644426548</v>
      </c>
      <c r="BV25" s="11">
        <f t="shared" si="41"/>
        <v>40</v>
      </c>
      <c r="BX25" s="13">
        <f t="shared" si="42"/>
        <v>6.03996037785992e-5</v>
      </c>
      <c r="BY25" s="13" t="e">
        <f>Intens(P25,BJ25)</f>
        <v>#NAME?</v>
      </c>
      <c r="BZ25" s="13" t="e">
        <f t="shared" si="26"/>
        <v>#NAME?</v>
      </c>
      <c r="CA25" s="13" t="e">
        <f t="shared" si="27"/>
        <v>#NAME?</v>
      </c>
    </row>
    <row r="26" s="12" customFormat="1" ht="15.9" customHeight="1" spans="1:79">
      <c r="A26" s="27">
        <v>25</v>
      </c>
      <c r="B26" s="28" t="s">
        <v>105</v>
      </c>
      <c r="C26" s="29" t="s">
        <v>75</v>
      </c>
      <c r="D26" s="27">
        <v>90</v>
      </c>
      <c r="E26" s="27">
        <v>100</v>
      </c>
      <c r="F26" s="27" t="s">
        <v>45</v>
      </c>
      <c r="G26" s="27">
        <v>2.8</v>
      </c>
      <c r="H26" s="27" t="s">
        <v>46</v>
      </c>
      <c r="I26" s="27" t="s">
        <v>47</v>
      </c>
      <c r="J26" s="27" t="s">
        <v>46</v>
      </c>
      <c r="K26" s="27" t="s">
        <v>48</v>
      </c>
      <c r="L26" s="27" t="s">
        <v>49</v>
      </c>
      <c r="M26" s="27" t="s">
        <v>53</v>
      </c>
      <c r="N26" s="27">
        <v>90</v>
      </c>
      <c r="O26" s="37">
        <v>0.0347222222222222</v>
      </c>
      <c r="P26" s="38">
        <v>27</v>
      </c>
      <c r="Q26" s="27">
        <f t="shared" si="0"/>
        <v>4.69774696055772e-5</v>
      </c>
      <c r="R26" s="27">
        <v>1.63995944811369</v>
      </c>
      <c r="S26" s="27">
        <v>1.18781869533039</v>
      </c>
      <c r="T26" s="44">
        <f t="shared" si="2"/>
        <v>30</v>
      </c>
      <c r="U26" s="27"/>
      <c r="V26" s="50">
        <v>1</v>
      </c>
      <c r="W26" s="50">
        <v>1</v>
      </c>
      <c r="X26" s="50">
        <v>1</v>
      </c>
      <c r="Y26" s="50"/>
      <c r="Z26" s="27" t="s">
        <v>78</v>
      </c>
      <c r="AA26" s="2">
        <v>4</v>
      </c>
      <c r="AC26" s="13">
        <f>0.0074*T26+0.9139-0.01875+0.0215</f>
        <v>1.13865</v>
      </c>
      <c r="AD26" s="13">
        <f t="shared" si="3"/>
        <v>0.0491686953303943</v>
      </c>
      <c r="AE26" s="13">
        <f t="shared" si="4"/>
        <v>4.31815705707586</v>
      </c>
      <c r="AF26" s="13">
        <f t="shared" si="5"/>
        <v>4.31815705707586</v>
      </c>
      <c r="AG26" s="2"/>
      <c r="AH26" s="13">
        <f>0.0064*T26+0.9736</f>
        <v>1.1656</v>
      </c>
      <c r="AI26" s="13">
        <f t="shared" si="6"/>
        <v>-0.0222186953303944</v>
      </c>
      <c r="AJ26" s="13">
        <f t="shared" si="7"/>
        <v>1.90620241338319</v>
      </c>
      <c r="AK26" s="12">
        <f t="shared" si="8"/>
        <v>1.90620241338319</v>
      </c>
      <c r="AM26" s="13">
        <f t="shared" si="9"/>
        <v>1.1359</v>
      </c>
      <c r="AN26" s="13">
        <f t="shared" si="10"/>
        <v>-0.0519186953303943</v>
      </c>
      <c r="AO26" s="13">
        <f t="shared" si="11"/>
        <v>4.57071003877051</v>
      </c>
      <c r="AP26" s="13">
        <f t="shared" si="12"/>
        <v>4.57071003877051</v>
      </c>
      <c r="AR26" s="13">
        <f t="shared" si="13"/>
        <v>1.1448</v>
      </c>
      <c r="AS26" s="13">
        <f t="shared" si="14"/>
        <v>-0.0430186953303944</v>
      </c>
      <c r="AT26" s="13">
        <f t="shared" si="15"/>
        <v>3.75774767036988</v>
      </c>
      <c r="AU26" s="13">
        <f t="shared" si="16"/>
        <v>3.75774767036988</v>
      </c>
      <c r="AV26" s="58"/>
      <c r="AW26" s="11">
        <f t="shared" si="17"/>
        <v>30</v>
      </c>
      <c r="AX26" s="12">
        <f t="shared" si="30"/>
        <v>1.18781869533039</v>
      </c>
      <c r="AY26" s="12">
        <f>0.006413391*AW26+0.9735993</f>
        <v>1.16600103</v>
      </c>
      <c r="AZ26" s="13">
        <f t="shared" si="18"/>
        <v>0.0218176653303945</v>
      </c>
      <c r="BA26" s="13">
        <f t="shared" si="19"/>
        <v>1.83678413348477</v>
      </c>
      <c r="BB26" s="13"/>
      <c r="BC26" s="27" t="s">
        <v>78</v>
      </c>
      <c r="BD26" s="12">
        <f>0.006413391*AW26+0.9735993</f>
        <v>1.16600103</v>
      </c>
      <c r="BE26" s="13">
        <f t="shared" si="20"/>
        <v>0.0218176653303945</v>
      </c>
      <c r="BF26" s="13">
        <f t="shared" si="21"/>
        <v>1.83678413348477</v>
      </c>
      <c r="BG26" s="12">
        <f>0.006413391*AW26+0.9735993</f>
        <v>1.16600103</v>
      </c>
      <c r="BH26" s="13">
        <f t="shared" si="22"/>
        <v>0.0218176653303945</v>
      </c>
      <c r="BI26" s="13">
        <f t="shared" si="23"/>
        <v>1.83678413348477</v>
      </c>
      <c r="BJ26" s="12">
        <f>0.006413391*AW26+0.9735993</f>
        <v>1.16600103</v>
      </c>
      <c r="BK26" s="13">
        <f t="shared" si="24"/>
        <v>0.0218176653303945</v>
      </c>
      <c r="BL26" s="13">
        <f t="shared" si="25"/>
        <v>1.83678413348477</v>
      </c>
      <c r="BM26" s="12">
        <f>0.006413391*AW26+0.9735993</f>
        <v>1.16600103</v>
      </c>
      <c r="BN26" s="13">
        <f t="shared" si="38"/>
        <v>0.0218176653303945</v>
      </c>
      <c r="BO26" s="13">
        <f t="shared" si="39"/>
        <v>1.83678413348477</v>
      </c>
      <c r="BP26" s="59">
        <v>1.16600103</v>
      </c>
      <c r="BQ26" s="59">
        <v>0.0218176653303945</v>
      </c>
      <c r="BR26" s="59">
        <v>1.83678413348477</v>
      </c>
      <c r="BU26" s="13">
        <f t="shared" si="40"/>
        <v>1.18781869533039</v>
      </c>
      <c r="BV26" s="11">
        <f t="shared" si="41"/>
        <v>30</v>
      </c>
      <c r="BX26" s="13">
        <f t="shared" si="42"/>
        <v>4.69774696055772e-5</v>
      </c>
      <c r="BY26" s="13" t="e">
        <f>Intens(P26,BJ26)</f>
        <v>#NAME?</v>
      </c>
      <c r="BZ26" s="13" t="e">
        <f t="shared" si="26"/>
        <v>#NAME?</v>
      </c>
      <c r="CA26" s="13" t="e">
        <f t="shared" si="27"/>
        <v>#NAME?</v>
      </c>
    </row>
    <row r="27" s="12" customFormat="1" ht="15.9" customHeight="1" spans="1:79">
      <c r="A27" s="27">
        <v>26</v>
      </c>
      <c r="B27" s="28" t="s">
        <v>106</v>
      </c>
      <c r="C27" s="29" t="s">
        <v>107</v>
      </c>
      <c r="D27" s="27">
        <v>220</v>
      </c>
      <c r="E27" s="27">
        <v>150</v>
      </c>
      <c r="F27" s="27" t="s">
        <v>45</v>
      </c>
      <c r="G27" s="27">
        <v>4</v>
      </c>
      <c r="H27" s="27" t="s">
        <v>46</v>
      </c>
      <c r="I27" s="27" t="s">
        <v>47</v>
      </c>
      <c r="J27" s="27" t="s">
        <v>53</v>
      </c>
      <c r="K27" s="27" t="s">
        <v>48</v>
      </c>
      <c r="L27" s="27" t="s">
        <v>49</v>
      </c>
      <c r="M27" s="27" t="s">
        <v>46</v>
      </c>
      <c r="N27" s="27">
        <v>90</v>
      </c>
      <c r="O27" s="37">
        <v>0.281944444444444</v>
      </c>
      <c r="P27" s="38">
        <v>27</v>
      </c>
      <c r="Q27" s="27">
        <f t="shared" si="0"/>
        <v>1.92180557477361e-5</v>
      </c>
      <c r="R27" s="27">
        <v>1.36876341737516</v>
      </c>
      <c r="S27" s="27">
        <v>1.00705489774309</v>
      </c>
      <c r="T27" s="44">
        <f t="shared" si="2"/>
        <v>11.1111111111111</v>
      </c>
      <c r="U27" s="27"/>
      <c r="V27" s="49">
        <v>1</v>
      </c>
      <c r="W27" s="49">
        <v>1</v>
      </c>
      <c r="X27" s="49"/>
      <c r="Y27" s="49">
        <v>1</v>
      </c>
      <c r="Z27" s="27" t="s">
        <v>54</v>
      </c>
      <c r="AA27" s="2">
        <v>4.5</v>
      </c>
      <c r="AC27" s="13">
        <f t="shared" si="29"/>
        <v>0.996122222222222</v>
      </c>
      <c r="AD27" s="13">
        <f t="shared" si="3"/>
        <v>0.0109326755208667</v>
      </c>
      <c r="AE27" s="13">
        <f t="shared" si="4"/>
        <v>1.0975235043424</v>
      </c>
      <c r="AF27" s="13">
        <f t="shared" si="5"/>
        <v>1.0975235043424</v>
      </c>
      <c r="AG27" s="2"/>
      <c r="AH27" s="13">
        <f>0.0059*T27+0.9331</f>
        <v>0.998655555555556</v>
      </c>
      <c r="AI27" s="13">
        <f t="shared" si="6"/>
        <v>-0.00839934218753347</v>
      </c>
      <c r="AJ27" s="13">
        <f t="shared" si="7"/>
        <v>0.841064983898365</v>
      </c>
      <c r="AK27" s="12">
        <f t="shared" si="8"/>
        <v>0.841064983898365</v>
      </c>
      <c r="AM27" s="13">
        <f t="shared" si="9"/>
        <v>0.996122222222222</v>
      </c>
      <c r="AN27" s="13">
        <f t="shared" si="10"/>
        <v>-0.0109326755208667</v>
      </c>
      <c r="AO27" s="13">
        <f t="shared" si="11"/>
        <v>1.0975235043424</v>
      </c>
      <c r="AP27" s="13">
        <f t="shared" si="12"/>
        <v>1.0975235043424</v>
      </c>
      <c r="AR27" s="13">
        <f t="shared" si="13"/>
        <v>1.00502222222222</v>
      </c>
      <c r="AS27" s="13">
        <f t="shared" si="14"/>
        <v>-0.00203267552086683</v>
      </c>
      <c r="AT27" s="13">
        <f t="shared" si="15"/>
        <v>0.202251798609224</v>
      </c>
      <c r="AU27" s="13">
        <f t="shared" si="16"/>
        <v>0.202251798609224</v>
      </c>
      <c r="AV27" s="58"/>
      <c r="AW27" s="11">
        <f t="shared" si="17"/>
        <v>11.1111111111111</v>
      </c>
      <c r="AX27" s="12">
        <f t="shared" si="30"/>
        <v>1.00705489774309</v>
      </c>
      <c r="AY27" s="13">
        <f>0.005867*AW27+0.933127293</f>
        <v>0.998316181888889</v>
      </c>
      <c r="AZ27" s="13">
        <f t="shared" si="18"/>
        <v>0.00873871585420027</v>
      </c>
      <c r="BA27" s="13">
        <f t="shared" si="19"/>
        <v>0.867749700019792</v>
      </c>
      <c r="BB27" s="13"/>
      <c r="BC27" s="27" t="s">
        <v>54</v>
      </c>
      <c r="BD27" s="13">
        <f>0.005867*AW27+0.933127293</f>
        <v>0.998316181888889</v>
      </c>
      <c r="BE27" s="13">
        <f t="shared" si="20"/>
        <v>0.00873871585420027</v>
      </c>
      <c r="BF27" s="13">
        <f t="shared" si="21"/>
        <v>0.867749700019792</v>
      </c>
      <c r="BG27" s="13">
        <f>0.005867*AW27+0.933127293</f>
        <v>0.998316181888889</v>
      </c>
      <c r="BH27" s="13">
        <f t="shared" si="22"/>
        <v>0.00873871585420027</v>
      </c>
      <c r="BI27" s="13">
        <f t="shared" si="23"/>
        <v>0.867749700019792</v>
      </c>
      <c r="BJ27" s="13">
        <f>0.005867*AW27+0.933127293</f>
        <v>0.998316181888889</v>
      </c>
      <c r="BK27" s="13">
        <f t="shared" si="24"/>
        <v>0.00873871585420027</v>
      </c>
      <c r="BL27" s="13">
        <f t="shared" si="25"/>
        <v>0.867749700019792</v>
      </c>
      <c r="BM27" s="13">
        <f>0.004939237*AW27+0.949185949</f>
        <v>1.00406636011111</v>
      </c>
      <c r="BN27" s="13">
        <f t="shared" si="38"/>
        <v>0.00298853763197804</v>
      </c>
      <c r="BO27" s="13">
        <f t="shared" si="39"/>
        <v>0.296760150680529</v>
      </c>
      <c r="BP27" s="59">
        <f>0.00433025*AW27+0.969221602</f>
        <v>1.01733549088889</v>
      </c>
      <c r="BQ27" s="59">
        <f>BU27-BP27</f>
        <v>-0.0102805931457997</v>
      </c>
      <c r="BR27" s="59">
        <f>ABS(BQ27/BU27)*100</f>
        <v>1.02085727092331</v>
      </c>
      <c r="BU27" s="13">
        <f t="shared" si="40"/>
        <v>1.00705489774309</v>
      </c>
      <c r="BV27" s="11">
        <f t="shared" si="41"/>
        <v>11.1111111111111</v>
      </c>
      <c r="BX27" s="13">
        <f t="shared" si="42"/>
        <v>1.92180557477361e-5</v>
      </c>
      <c r="BY27" s="13" t="e">
        <f>Intens(P27,BJ27)</f>
        <v>#NAME?</v>
      </c>
      <c r="BZ27" s="13" t="e">
        <f t="shared" si="26"/>
        <v>#NAME?</v>
      </c>
      <c r="CA27" s="13" t="e">
        <f t="shared" si="27"/>
        <v>#NAME?</v>
      </c>
    </row>
    <row r="28" s="12" customFormat="1" ht="15.9" customHeight="1" spans="1:79">
      <c r="A28" s="27">
        <v>27</v>
      </c>
      <c r="B28" s="28" t="s">
        <v>106</v>
      </c>
      <c r="C28" s="29" t="s">
        <v>108</v>
      </c>
      <c r="D28" s="27">
        <v>220</v>
      </c>
      <c r="E28" s="27">
        <v>150</v>
      </c>
      <c r="F28" s="27" t="s">
        <v>45</v>
      </c>
      <c r="G28" s="27">
        <v>4</v>
      </c>
      <c r="H28" s="27" t="s">
        <v>53</v>
      </c>
      <c r="I28" s="27" t="s">
        <v>84</v>
      </c>
      <c r="J28" s="27" t="s">
        <v>53</v>
      </c>
      <c r="K28" s="27" t="s">
        <v>48</v>
      </c>
      <c r="L28" s="27" t="s">
        <v>49</v>
      </c>
      <c r="M28" s="27" t="s">
        <v>53</v>
      </c>
      <c r="N28" s="27">
        <v>90</v>
      </c>
      <c r="O28" s="37">
        <v>0.291666666666667</v>
      </c>
      <c r="P28" s="38">
        <v>27</v>
      </c>
      <c r="Q28" s="27">
        <f t="shared" si="0"/>
        <v>1.92180557477361e-5</v>
      </c>
      <c r="R28" s="27">
        <v>1.36876341737516</v>
      </c>
      <c r="S28" s="27">
        <v>1.00705489774309</v>
      </c>
      <c r="T28" s="44">
        <f t="shared" si="2"/>
        <v>11.1111111111111</v>
      </c>
      <c r="U28" s="27"/>
      <c r="V28" s="27"/>
      <c r="W28" s="27"/>
      <c r="X28" s="27"/>
      <c r="Y28" s="27"/>
      <c r="Z28" s="27" t="s">
        <v>58</v>
      </c>
      <c r="AA28" s="2">
        <v>4.5</v>
      </c>
      <c r="AC28" s="13">
        <f>0.0074*T28+0.9139+0.00372+0.0021+0.0215</f>
        <v>1.02344222222222</v>
      </c>
      <c r="AD28" s="13">
        <f t="shared" si="3"/>
        <v>-0.0163873244791333</v>
      </c>
      <c r="AE28" s="13">
        <f t="shared" si="4"/>
        <v>1.60119683586545</v>
      </c>
      <c r="AF28" s="13">
        <f t="shared" si="5"/>
        <v>1.60119683586545</v>
      </c>
      <c r="AG28" s="2"/>
      <c r="AH28" s="13">
        <f>0.0067*T28+0.9249</f>
        <v>0.999344444444444</v>
      </c>
      <c r="AI28" s="13">
        <f t="shared" si="6"/>
        <v>-0.00771045329864462</v>
      </c>
      <c r="AJ28" s="13">
        <f t="shared" si="7"/>
        <v>0.771551124490516</v>
      </c>
      <c r="AK28" s="12">
        <f t="shared" si="8"/>
        <v>0.771551124490516</v>
      </c>
      <c r="AM28" s="13">
        <f t="shared" si="9"/>
        <v>0.996122222222222</v>
      </c>
      <c r="AN28" s="13">
        <f t="shared" si="10"/>
        <v>-0.0109326755208667</v>
      </c>
      <c r="AO28" s="13">
        <f t="shared" si="11"/>
        <v>1.0975235043424</v>
      </c>
      <c r="AP28" s="13">
        <f t="shared" si="12"/>
        <v>1.0975235043424</v>
      </c>
      <c r="AR28" s="13">
        <f t="shared" si="13"/>
        <v>1.00502222222222</v>
      </c>
      <c r="AS28" s="13">
        <f t="shared" si="14"/>
        <v>-0.00203267552086683</v>
      </c>
      <c r="AT28" s="13">
        <f t="shared" si="15"/>
        <v>0.202251798609224</v>
      </c>
      <c r="AU28" s="13">
        <f t="shared" si="16"/>
        <v>0.202251798609224</v>
      </c>
      <c r="AV28" s="58"/>
      <c r="AW28" s="11">
        <f t="shared" si="17"/>
        <v>11.1111111111111</v>
      </c>
      <c r="AX28" s="12">
        <f t="shared" si="30"/>
        <v>1.00705489774309</v>
      </c>
      <c r="AY28" s="13">
        <f>0.0062266*AW28+0.9484024</f>
        <v>1.01758684444444</v>
      </c>
      <c r="AZ28" s="13">
        <f t="shared" si="18"/>
        <v>-0.0105319467013554</v>
      </c>
      <c r="BA28" s="13">
        <f t="shared" si="19"/>
        <v>1.04581654137808</v>
      </c>
      <c r="BB28" s="13"/>
      <c r="BC28" s="27" t="s">
        <v>58</v>
      </c>
      <c r="BD28" s="13">
        <f>0.0062266*AW28+0.9484024</f>
        <v>1.01758684444444</v>
      </c>
      <c r="BE28" s="13">
        <f t="shared" si="20"/>
        <v>-0.0105319467013554</v>
      </c>
      <c r="BF28" s="13">
        <f t="shared" si="21"/>
        <v>1.04581654137808</v>
      </c>
      <c r="BG28" s="13">
        <f>0.006554648*AW28+0.928046135</f>
        <v>1.00087555722222</v>
      </c>
      <c r="BH28" s="13">
        <f t="shared" si="22"/>
        <v>0.00617934052086677</v>
      </c>
      <c r="BI28" s="13">
        <f t="shared" si="23"/>
        <v>0.61360513063541</v>
      </c>
      <c r="BJ28" s="13">
        <f>0.006889744*AW28+0.905045926</f>
        <v>0.981598637111111</v>
      </c>
      <c r="BK28" s="13">
        <f t="shared" si="24"/>
        <v>0.0254562606319779</v>
      </c>
      <c r="BL28" s="13">
        <f t="shared" si="25"/>
        <v>2.52779274387404</v>
      </c>
      <c r="BM28" s="12">
        <f>0.006889744*AW28+0.905045926</f>
        <v>0.981598637111111</v>
      </c>
      <c r="BN28" s="13">
        <f t="shared" si="38"/>
        <v>0.0254562606319779</v>
      </c>
      <c r="BO28" s="13">
        <f t="shared" si="39"/>
        <v>2.52779274387404</v>
      </c>
      <c r="BP28" s="59">
        <v>0.981598637111111</v>
      </c>
      <c r="BQ28" s="59">
        <v>0.0254562606319779</v>
      </c>
      <c r="BR28" s="59">
        <v>2.52779274387404</v>
      </c>
      <c r="BU28" s="13">
        <f t="shared" si="40"/>
        <v>1.00705489774309</v>
      </c>
      <c r="BV28" s="11">
        <f t="shared" si="41"/>
        <v>11.1111111111111</v>
      </c>
      <c r="BX28" s="13">
        <f t="shared" si="42"/>
        <v>1.92180557477361e-5</v>
      </c>
      <c r="BY28" s="13" t="e">
        <f>Intens(P28,BJ28)</f>
        <v>#NAME?</v>
      </c>
      <c r="BZ28" s="13" t="e">
        <f t="shared" si="26"/>
        <v>#NAME?</v>
      </c>
      <c r="CA28" s="13" t="e">
        <f t="shared" si="27"/>
        <v>#NAME?</v>
      </c>
    </row>
    <row r="29" s="12" customFormat="1" ht="15.9" customHeight="1" spans="1:79">
      <c r="A29" s="27">
        <v>28</v>
      </c>
      <c r="B29" s="28" t="s">
        <v>109</v>
      </c>
      <c r="C29" s="29" t="s">
        <v>110</v>
      </c>
      <c r="D29" s="27">
        <v>60</v>
      </c>
      <c r="E29" s="27">
        <v>70</v>
      </c>
      <c r="F29" s="27" t="s">
        <v>45</v>
      </c>
      <c r="G29" s="27">
        <v>2.1</v>
      </c>
      <c r="H29" s="27" t="s">
        <v>46</v>
      </c>
      <c r="I29" s="27" t="s">
        <v>47</v>
      </c>
      <c r="J29" s="27" t="s">
        <v>46</v>
      </c>
      <c r="K29" s="27" t="s">
        <v>48</v>
      </c>
      <c r="L29" s="27" t="s">
        <v>49</v>
      </c>
      <c r="M29" s="27" t="s">
        <v>53</v>
      </c>
      <c r="N29" s="27">
        <v>85</v>
      </c>
      <c r="O29" s="37">
        <v>0.111111111111111</v>
      </c>
      <c r="P29" s="38">
        <v>27</v>
      </c>
      <c r="Q29" s="27">
        <f t="shared" si="0"/>
        <v>7.04662044083657e-5</v>
      </c>
      <c r="R29" s="27">
        <v>1.76298286358987</v>
      </c>
      <c r="S29" s="27">
        <v>1.2601543639</v>
      </c>
      <c r="T29" s="44">
        <f t="shared" si="2"/>
        <v>47.5</v>
      </c>
      <c r="U29" s="27"/>
      <c r="V29" s="50">
        <v>1</v>
      </c>
      <c r="W29" s="50">
        <v>1</v>
      </c>
      <c r="X29" s="50">
        <v>1</v>
      </c>
      <c r="Y29" s="50"/>
      <c r="Z29" s="27" t="s">
        <v>78</v>
      </c>
      <c r="AA29" s="12">
        <v>4</v>
      </c>
      <c r="AC29" s="13">
        <f>0.0074*T29+0.9139-0.01875+0.0215</f>
        <v>1.26815</v>
      </c>
      <c r="AD29" s="13">
        <f t="shared" si="3"/>
        <v>-0.00799563609999687</v>
      </c>
      <c r="AE29" s="13">
        <f t="shared" si="4"/>
        <v>0.63049608484776</v>
      </c>
      <c r="AF29" s="13">
        <f t="shared" si="5"/>
        <v>0.63049608484776</v>
      </c>
      <c r="AG29" s="2"/>
      <c r="AH29" s="13">
        <f>0.0064*T29+0.9736</f>
        <v>1.2776</v>
      </c>
      <c r="AI29" s="13">
        <f t="shared" si="6"/>
        <v>0.0174456360999968</v>
      </c>
      <c r="AJ29" s="13">
        <f t="shared" si="7"/>
        <v>1.365500634001</v>
      </c>
      <c r="AK29" s="12">
        <f t="shared" si="8"/>
        <v>1.365500634001</v>
      </c>
      <c r="AM29" s="13">
        <f t="shared" si="9"/>
        <v>1.2654</v>
      </c>
      <c r="AN29" s="13">
        <f t="shared" si="10"/>
        <v>0.00524563609999684</v>
      </c>
      <c r="AO29" s="13">
        <f t="shared" si="11"/>
        <v>0.414543709498723</v>
      </c>
      <c r="AP29" s="13">
        <f t="shared" si="12"/>
        <v>0.414543709498723</v>
      </c>
      <c r="AR29" s="13">
        <f t="shared" si="13"/>
        <v>1.2743</v>
      </c>
      <c r="AS29" s="13">
        <f t="shared" si="14"/>
        <v>0.0141456360999968</v>
      </c>
      <c r="AT29" s="13">
        <f t="shared" si="15"/>
        <v>1.11007110570484</v>
      </c>
      <c r="AU29" s="13">
        <f t="shared" si="16"/>
        <v>1.11007110570484</v>
      </c>
      <c r="AV29" s="58"/>
      <c r="AW29" s="11">
        <f t="shared" si="17"/>
        <v>47.5</v>
      </c>
      <c r="AX29" s="12">
        <f t="shared" si="30"/>
        <v>1.2601543639</v>
      </c>
      <c r="AY29" s="12">
        <f>0.006413391*AW29+0.9735993</f>
        <v>1.2782353725</v>
      </c>
      <c r="AZ29" s="13">
        <f t="shared" si="18"/>
        <v>-0.0180810085999967</v>
      </c>
      <c r="BA29" s="13">
        <f t="shared" si="19"/>
        <v>1.43482490066046</v>
      </c>
      <c r="BB29" s="13"/>
      <c r="BC29" s="27" t="s">
        <v>78</v>
      </c>
      <c r="BD29" s="12">
        <f>0.006413391*AW29+0.9735993</f>
        <v>1.2782353725</v>
      </c>
      <c r="BE29" s="13">
        <f t="shared" si="20"/>
        <v>-0.0180810085999967</v>
      </c>
      <c r="BF29" s="13">
        <f t="shared" si="21"/>
        <v>1.43482490066046</v>
      </c>
      <c r="BG29" s="12">
        <f>0.006413391*AW29+0.9735993</f>
        <v>1.2782353725</v>
      </c>
      <c r="BH29" s="13">
        <f t="shared" si="22"/>
        <v>-0.0180810085999967</v>
      </c>
      <c r="BI29" s="13">
        <f t="shared" si="23"/>
        <v>1.43482490066046</v>
      </c>
      <c r="BJ29" s="12">
        <f>0.006413391*AW29+0.9735993</f>
        <v>1.2782353725</v>
      </c>
      <c r="BK29" s="13">
        <f t="shared" si="24"/>
        <v>-0.0180810085999967</v>
      </c>
      <c r="BL29" s="13">
        <f t="shared" si="25"/>
        <v>1.43482490066046</v>
      </c>
      <c r="BM29" s="12">
        <f>0.006413391*AW29+0.9735993</f>
        <v>1.2782353725</v>
      </c>
      <c r="BN29" s="13">
        <f t="shared" si="38"/>
        <v>-0.0180810085999967</v>
      </c>
      <c r="BO29" s="13">
        <f t="shared" si="39"/>
        <v>1.43482490066046</v>
      </c>
      <c r="BP29" s="59">
        <v>1.2782353725</v>
      </c>
      <c r="BQ29" s="59">
        <v>-0.0180810085999967</v>
      </c>
      <c r="BR29" s="59">
        <v>1.43482490066046</v>
      </c>
      <c r="BU29" s="13">
        <f t="shared" si="40"/>
        <v>1.2601543639</v>
      </c>
      <c r="BV29" s="11">
        <f t="shared" si="41"/>
        <v>47.5</v>
      </c>
      <c r="BX29" s="13">
        <f t="shared" si="42"/>
        <v>7.04662044083657e-5</v>
      </c>
      <c r="BY29" s="13" t="e">
        <f>Intens(P29,BJ29)</f>
        <v>#NAME?</v>
      </c>
      <c r="BZ29" s="13" t="e">
        <f t="shared" si="26"/>
        <v>#NAME?</v>
      </c>
      <c r="CA29" s="13" t="e">
        <f t="shared" si="27"/>
        <v>#NAME?</v>
      </c>
    </row>
    <row r="30" s="12" customFormat="1" ht="15.9" customHeight="1" spans="1:79">
      <c r="A30" s="27">
        <v>29</v>
      </c>
      <c r="B30" s="28" t="s">
        <v>111</v>
      </c>
      <c r="C30" s="29" t="s">
        <v>110</v>
      </c>
      <c r="D30" s="27">
        <v>120</v>
      </c>
      <c r="E30" s="27">
        <v>100</v>
      </c>
      <c r="F30" s="27" t="s">
        <v>45</v>
      </c>
      <c r="G30" s="27">
        <v>2.4</v>
      </c>
      <c r="H30" s="27" t="s">
        <v>46</v>
      </c>
      <c r="I30" s="27" t="s">
        <v>47</v>
      </c>
      <c r="J30" s="27" t="s">
        <v>53</v>
      </c>
      <c r="K30" s="27" t="s">
        <v>48</v>
      </c>
      <c r="L30" s="27" t="s">
        <v>49</v>
      </c>
      <c r="M30" s="27" t="s">
        <v>46</v>
      </c>
      <c r="N30" s="27">
        <v>88</v>
      </c>
      <c r="O30" s="37">
        <v>0.145833333333333</v>
      </c>
      <c r="P30" s="38">
        <v>27</v>
      </c>
      <c r="Q30" s="27">
        <f t="shared" si="0"/>
        <v>3.52331022041829e-5</v>
      </c>
      <c r="R30" s="27">
        <v>1.55267294573272</v>
      </c>
      <c r="S30" s="27">
        <v>1.13312510739865</v>
      </c>
      <c r="T30" s="44">
        <f t="shared" si="2"/>
        <v>40</v>
      </c>
      <c r="U30" s="27"/>
      <c r="V30" s="49">
        <v>1</v>
      </c>
      <c r="W30" s="49">
        <v>1</v>
      </c>
      <c r="X30" s="49"/>
      <c r="Y30" s="49">
        <v>1</v>
      </c>
      <c r="Z30" s="27" t="s">
        <v>54</v>
      </c>
      <c r="AA30" s="2">
        <v>4</v>
      </c>
      <c r="AC30" s="13">
        <f t="shared" si="29"/>
        <v>1.2099</v>
      </c>
      <c r="AD30" s="13">
        <f t="shared" si="3"/>
        <v>-0.0767748926013485</v>
      </c>
      <c r="AE30" s="13">
        <f t="shared" si="4"/>
        <v>6.34555687258025</v>
      </c>
      <c r="AF30" s="13">
        <f t="shared" si="5"/>
        <v>6.34555687258025</v>
      </c>
      <c r="AG30" s="2"/>
      <c r="AH30" s="13">
        <f>0.0059*T30+0.9331</f>
        <v>1.1691</v>
      </c>
      <c r="AI30" s="13">
        <f t="shared" si="6"/>
        <v>0.0359748926013483</v>
      </c>
      <c r="AJ30" s="13">
        <f t="shared" si="7"/>
        <v>3.07714417939854</v>
      </c>
      <c r="AK30" s="12">
        <f t="shared" si="8"/>
        <v>3.07714417939854</v>
      </c>
      <c r="AM30" s="13">
        <f t="shared" si="9"/>
        <v>1.2099</v>
      </c>
      <c r="AN30" s="13">
        <f t="shared" si="10"/>
        <v>0.0767748926013485</v>
      </c>
      <c r="AO30" s="13">
        <f t="shared" si="11"/>
        <v>6.34555687258025</v>
      </c>
      <c r="AP30" s="13">
        <f t="shared" si="12"/>
        <v>6.34555687258025</v>
      </c>
      <c r="AR30" s="13">
        <f t="shared" si="13"/>
        <v>1.2188</v>
      </c>
      <c r="AS30" s="13">
        <f t="shared" si="14"/>
        <v>0.0856748926013482</v>
      </c>
      <c r="AT30" s="13">
        <f t="shared" si="15"/>
        <v>7.02944639000231</v>
      </c>
      <c r="AU30" s="13">
        <f t="shared" si="16"/>
        <v>7.02944639000231</v>
      </c>
      <c r="AV30" s="58"/>
      <c r="AW30" s="11">
        <f t="shared" si="17"/>
        <v>40</v>
      </c>
      <c r="AX30" s="12">
        <f t="shared" si="30"/>
        <v>1.13312510739865</v>
      </c>
      <c r="AY30" s="13">
        <f>0.005867*AW30+0.933127293</f>
        <v>1.167807293</v>
      </c>
      <c r="AZ30" s="13">
        <f t="shared" si="18"/>
        <v>-0.0346821856013484</v>
      </c>
      <c r="BA30" s="13">
        <f t="shared" si="19"/>
        <v>3.06075519595266</v>
      </c>
      <c r="BB30" s="13"/>
      <c r="BC30" s="27" t="s">
        <v>54</v>
      </c>
      <c r="BD30" s="13">
        <f>0.005867*AW30+0.933127293</f>
        <v>1.167807293</v>
      </c>
      <c r="BE30" s="13">
        <f t="shared" si="20"/>
        <v>-0.0346821856013484</v>
      </c>
      <c r="BF30" s="13">
        <f t="shared" si="21"/>
        <v>3.06075519595266</v>
      </c>
      <c r="BG30" s="13">
        <f>0.005867*AW30+0.933127293</f>
        <v>1.167807293</v>
      </c>
      <c r="BH30" s="13">
        <f t="shared" si="22"/>
        <v>-0.0346821856013484</v>
      </c>
      <c r="BI30" s="13">
        <f t="shared" si="23"/>
        <v>3.06075519595266</v>
      </c>
      <c r="BJ30" s="13">
        <f>0.005867*AW30+0.933127293</f>
        <v>1.167807293</v>
      </c>
      <c r="BK30" s="13">
        <f t="shared" si="24"/>
        <v>-0.0346821856013484</v>
      </c>
      <c r="BL30" s="13">
        <f t="shared" si="25"/>
        <v>3.06075519595266</v>
      </c>
      <c r="BM30" s="13">
        <f>0.004939237*AW30+0.949185949</f>
        <v>1.146755429</v>
      </c>
      <c r="BN30" s="13">
        <f t="shared" si="38"/>
        <v>-0.0136303216013482</v>
      </c>
      <c r="BO30" s="13">
        <f t="shared" si="39"/>
        <v>1.20289644209189</v>
      </c>
      <c r="BP30" s="59">
        <f>0.00433025*AW30+0.969221602</f>
        <v>1.142431602</v>
      </c>
      <c r="BQ30" s="59">
        <f>BU30-BP30</f>
        <v>-0.00930649460134836</v>
      </c>
      <c r="BR30" s="59">
        <f>ABS(BQ30/BU30)*100</f>
        <v>0.821312187028805</v>
      </c>
      <c r="BU30" s="13">
        <f t="shared" si="40"/>
        <v>1.13312510739865</v>
      </c>
      <c r="BV30" s="11">
        <f t="shared" si="41"/>
        <v>40</v>
      </c>
      <c r="BX30" s="13">
        <f t="shared" si="42"/>
        <v>3.52331022041829e-5</v>
      </c>
      <c r="BY30" s="13" t="e">
        <f>Intens(P30,BJ30)</f>
        <v>#NAME?</v>
      </c>
      <c r="BZ30" s="13" t="e">
        <f t="shared" si="26"/>
        <v>#NAME?</v>
      </c>
      <c r="CA30" s="13" t="e">
        <f t="shared" si="27"/>
        <v>#NAME?</v>
      </c>
    </row>
    <row r="31" s="12" customFormat="1" ht="15.9" customHeight="1" spans="1:79">
      <c r="A31" s="27">
        <v>30</v>
      </c>
      <c r="B31" s="30" t="s">
        <v>112</v>
      </c>
      <c r="C31" s="31" t="s">
        <v>113</v>
      </c>
      <c r="D31" s="32">
        <v>40</v>
      </c>
      <c r="E31" s="27">
        <v>50</v>
      </c>
      <c r="F31" s="27" t="s">
        <v>45</v>
      </c>
      <c r="G31" s="27">
        <v>1.6</v>
      </c>
      <c r="H31" s="27" t="s">
        <v>46</v>
      </c>
      <c r="I31" s="27" t="s">
        <v>47</v>
      </c>
      <c r="J31" s="27" t="s">
        <v>46</v>
      </c>
      <c r="K31" s="27" t="s">
        <v>48</v>
      </c>
      <c r="L31" s="27" t="s">
        <v>114</v>
      </c>
      <c r="M31" s="27" t="s">
        <v>46</v>
      </c>
      <c r="N31" s="27">
        <v>88</v>
      </c>
      <c r="O31" s="37">
        <v>0.118055555555556</v>
      </c>
      <c r="P31" s="38">
        <v>27</v>
      </c>
      <c r="Q31" s="27">
        <f t="shared" si="0"/>
        <v>0.000105699306612549</v>
      </c>
      <c r="R31" s="27">
        <v>1.88600627906605</v>
      </c>
      <c r="S31" s="27">
        <v>1.32760869406898</v>
      </c>
      <c r="T31" s="44">
        <f t="shared" si="2"/>
        <v>54.2857142857143</v>
      </c>
      <c r="U31" s="27"/>
      <c r="V31" s="48">
        <v>1</v>
      </c>
      <c r="W31" s="48">
        <v>1</v>
      </c>
      <c r="X31" s="48">
        <v>1</v>
      </c>
      <c r="Y31" s="48">
        <v>1</v>
      </c>
      <c r="Z31" s="27" t="s">
        <v>50</v>
      </c>
      <c r="AA31" s="2">
        <v>3.5</v>
      </c>
      <c r="AC31" s="13">
        <f>0.0074*T31+0.9139-0.01875</f>
        <v>1.29686428571429</v>
      </c>
      <c r="AD31" s="13">
        <f t="shared" si="3"/>
        <v>0.0307444083546966</v>
      </c>
      <c r="AE31" s="13">
        <f t="shared" si="4"/>
        <v>2.37067275993056</v>
      </c>
      <c r="AF31" s="13">
        <f t="shared" si="5"/>
        <v>2.37067275993056</v>
      </c>
      <c r="AG31" s="2"/>
      <c r="AH31" s="13">
        <f t="shared" si="28"/>
        <v>1.32451428571429</v>
      </c>
      <c r="AI31" s="13">
        <f t="shared" si="6"/>
        <v>-0.00309440835469665</v>
      </c>
      <c r="AJ31" s="13">
        <f t="shared" si="7"/>
        <v>0.233625895022181</v>
      </c>
      <c r="AK31" s="12">
        <f t="shared" si="8"/>
        <v>0.233625895022181</v>
      </c>
      <c r="AM31" s="13">
        <f t="shared" si="9"/>
        <v>1.31561428571429</v>
      </c>
      <c r="AN31" s="13">
        <f t="shared" si="10"/>
        <v>-0.0119944083546966</v>
      </c>
      <c r="AO31" s="13">
        <f t="shared" si="11"/>
        <v>0.911696420823254</v>
      </c>
      <c r="AP31" s="13">
        <f t="shared" si="12"/>
        <v>0.911696420823254</v>
      </c>
      <c r="AR31" s="13">
        <f t="shared" si="13"/>
        <v>1.32451428571429</v>
      </c>
      <c r="AS31" s="13">
        <f t="shared" si="14"/>
        <v>-0.00309440835469665</v>
      </c>
      <c r="AT31" s="13">
        <f t="shared" si="15"/>
        <v>0.233625895022181</v>
      </c>
      <c r="AU31" s="13">
        <f t="shared" si="16"/>
        <v>0.233625895022181</v>
      </c>
      <c r="AV31" s="58"/>
      <c r="AW31" s="11">
        <f t="shared" si="17"/>
        <v>54.2857142857143</v>
      </c>
      <c r="AX31" s="12">
        <f t="shared" si="30"/>
        <v>1.32760869406898</v>
      </c>
      <c r="AY31" s="13">
        <f t="shared" ref="AY31:AY32" si="46">0.006732*AW31+0.954156</f>
        <v>1.31960742857143</v>
      </c>
      <c r="AZ31" s="13">
        <f t="shared" si="18"/>
        <v>0.00800126549755387</v>
      </c>
      <c r="BA31" s="13">
        <f t="shared" si="19"/>
        <v>0.602682517318474</v>
      </c>
      <c r="BB31" s="13"/>
      <c r="BC31" s="27" t="s">
        <v>50</v>
      </c>
      <c r="BD31" s="13">
        <f t="shared" ref="BD31:BD32" si="47">0.006732*AW31+0.954156</f>
        <v>1.31960742857143</v>
      </c>
      <c r="BE31" s="13">
        <f t="shared" si="20"/>
        <v>0.00800126549755387</v>
      </c>
      <c r="BF31" s="13">
        <f t="shared" si="21"/>
        <v>0.602682517318474</v>
      </c>
      <c r="BG31" s="13">
        <f>0.006732*AW31+0.954156</f>
        <v>1.31960742857143</v>
      </c>
      <c r="BH31" s="13">
        <f t="shared" si="22"/>
        <v>0.00800126549755387</v>
      </c>
      <c r="BI31" s="13">
        <f t="shared" si="23"/>
        <v>0.602682517318474</v>
      </c>
      <c r="BJ31" s="13">
        <f>0.006732*AW31+0.954156</f>
        <v>1.31960742857143</v>
      </c>
      <c r="BK31" s="13">
        <f t="shared" si="24"/>
        <v>0.00800126549755387</v>
      </c>
      <c r="BL31" s="13">
        <f t="shared" si="25"/>
        <v>0.602682517318474</v>
      </c>
      <c r="BM31" s="13">
        <f t="shared" ref="BM31:BM32" si="48">0.006732*AW31+0.954156</f>
        <v>1.31960742857143</v>
      </c>
      <c r="BN31" s="13">
        <f t="shared" si="38"/>
        <v>0.00800126549755387</v>
      </c>
      <c r="BO31" s="13">
        <f t="shared" si="39"/>
        <v>0.602682517318474</v>
      </c>
      <c r="BP31" s="59">
        <v>1.038306</v>
      </c>
      <c r="BQ31" s="59">
        <v>0.0122705110571455</v>
      </c>
      <c r="BR31" s="59">
        <v>1.16797881239495</v>
      </c>
      <c r="BU31" s="13">
        <f t="shared" si="40"/>
        <v>1.32760869406898</v>
      </c>
      <c r="BV31" s="11">
        <f t="shared" si="41"/>
        <v>54.2857142857143</v>
      </c>
      <c r="BX31" s="13">
        <f t="shared" si="42"/>
        <v>0.000105699306612549</v>
      </c>
      <c r="BY31" s="13" t="e">
        <f>Intens(P31,BJ31)</f>
        <v>#NAME?</v>
      </c>
      <c r="BZ31" s="13" t="e">
        <f t="shared" si="26"/>
        <v>#NAME?</v>
      </c>
      <c r="CA31" s="13" t="e">
        <f t="shared" si="27"/>
        <v>#NAME?</v>
      </c>
    </row>
    <row r="32" s="12" customFormat="1" ht="15.9" customHeight="1" spans="1:79">
      <c r="A32" s="27">
        <v>31</v>
      </c>
      <c r="B32" s="28" t="s">
        <v>109</v>
      </c>
      <c r="C32" s="29" t="s">
        <v>115</v>
      </c>
      <c r="D32" s="27">
        <v>180</v>
      </c>
      <c r="E32" s="27">
        <v>100</v>
      </c>
      <c r="F32" s="27" t="s">
        <v>45</v>
      </c>
      <c r="G32" s="27">
        <v>3.5</v>
      </c>
      <c r="H32" s="27" t="s">
        <v>46</v>
      </c>
      <c r="I32" s="27" t="s">
        <v>47</v>
      </c>
      <c r="J32" s="27" t="s">
        <v>46</v>
      </c>
      <c r="K32" s="27" t="s">
        <v>48</v>
      </c>
      <c r="L32" s="27" t="s">
        <v>49</v>
      </c>
      <c r="M32" s="27" t="s">
        <v>46</v>
      </c>
      <c r="N32" s="27">
        <v>90</v>
      </c>
      <c r="O32" s="37">
        <v>0.440972222222222</v>
      </c>
      <c r="P32" s="38">
        <v>27</v>
      </c>
      <c r="Q32" s="27">
        <f t="shared" si="0"/>
        <v>2.34887348027886e-5</v>
      </c>
      <c r="R32" s="27">
        <v>1.42964953025653</v>
      </c>
      <c r="S32" s="27">
        <v>1.05057651105715</v>
      </c>
      <c r="T32" s="44">
        <f t="shared" si="2"/>
        <v>12.5</v>
      </c>
      <c r="U32" s="27"/>
      <c r="V32" s="48">
        <v>1</v>
      </c>
      <c r="W32" s="48">
        <v>1</v>
      </c>
      <c r="X32" s="48">
        <v>1</v>
      </c>
      <c r="Y32" s="48">
        <v>1</v>
      </c>
      <c r="Z32" s="27" t="s">
        <v>50</v>
      </c>
      <c r="AA32" s="2">
        <v>4</v>
      </c>
      <c r="AC32" s="13">
        <f>0.0074*T32+0.9139-0.01875</f>
        <v>0.98765</v>
      </c>
      <c r="AD32" s="13">
        <f t="shared" si="3"/>
        <v>0.0629265110571455</v>
      </c>
      <c r="AE32" s="13">
        <f t="shared" si="4"/>
        <v>6.37133711913588</v>
      </c>
      <c r="AF32" s="13">
        <f t="shared" si="5"/>
        <v>6.37133711913588</v>
      </c>
      <c r="AG32" s="2"/>
      <c r="AH32" s="13">
        <f t="shared" si="28"/>
        <v>1.0153</v>
      </c>
      <c r="AI32" s="13">
        <f t="shared" si="6"/>
        <v>-0.0352765110571456</v>
      </c>
      <c r="AJ32" s="13">
        <f t="shared" si="7"/>
        <v>3.47449138748602</v>
      </c>
      <c r="AK32" s="12">
        <f t="shared" si="8"/>
        <v>3.47449138748602</v>
      </c>
      <c r="AM32" s="13">
        <f t="shared" si="9"/>
        <v>1.0064</v>
      </c>
      <c r="AN32" s="13">
        <f t="shared" si="10"/>
        <v>-0.0441765110571455</v>
      </c>
      <c r="AO32" s="13">
        <f t="shared" si="11"/>
        <v>4.38955793493099</v>
      </c>
      <c r="AP32" s="13">
        <f t="shared" si="12"/>
        <v>4.38955793493099</v>
      </c>
      <c r="AR32" s="13">
        <f t="shared" si="13"/>
        <v>1.0153</v>
      </c>
      <c r="AS32" s="13">
        <f t="shared" si="14"/>
        <v>-0.0352765110571456</v>
      </c>
      <c r="AT32" s="13">
        <f t="shared" si="15"/>
        <v>3.47449138748602</v>
      </c>
      <c r="AU32" s="13">
        <f t="shared" si="16"/>
        <v>3.47449138748602</v>
      </c>
      <c r="AV32" s="58"/>
      <c r="AW32" s="11">
        <f t="shared" si="17"/>
        <v>12.5</v>
      </c>
      <c r="AX32" s="12">
        <f t="shared" si="30"/>
        <v>1.05057651105715</v>
      </c>
      <c r="AY32" s="13">
        <f t="shared" si="46"/>
        <v>1.038306</v>
      </c>
      <c r="AZ32" s="13">
        <f t="shared" si="18"/>
        <v>0.0122705110571455</v>
      </c>
      <c r="BA32" s="13">
        <f t="shared" si="19"/>
        <v>1.16797881239495</v>
      </c>
      <c r="BB32" s="13"/>
      <c r="BC32" s="27" t="s">
        <v>50</v>
      </c>
      <c r="BD32" s="13">
        <f t="shared" si="47"/>
        <v>1.038306</v>
      </c>
      <c r="BE32" s="13">
        <f t="shared" si="20"/>
        <v>0.0122705110571455</v>
      </c>
      <c r="BF32" s="13">
        <f t="shared" si="21"/>
        <v>1.16797881239495</v>
      </c>
      <c r="BG32" s="13">
        <f>0.006732*AW32+0.954156</f>
        <v>1.038306</v>
      </c>
      <c r="BH32" s="13">
        <f t="shared" si="22"/>
        <v>0.0122705110571455</v>
      </c>
      <c r="BI32" s="13">
        <f t="shared" si="23"/>
        <v>1.16797881239495</v>
      </c>
      <c r="BJ32" s="13">
        <f>0.006732*AW32+0.954156</f>
        <v>1.038306</v>
      </c>
      <c r="BK32" s="13">
        <f t="shared" si="24"/>
        <v>0.0122705110571455</v>
      </c>
      <c r="BL32" s="13">
        <f t="shared" si="25"/>
        <v>1.16797881239495</v>
      </c>
      <c r="BM32" s="13">
        <f t="shared" si="48"/>
        <v>1.038306</v>
      </c>
      <c r="BN32" s="13">
        <f t="shared" si="38"/>
        <v>0.0122705110571455</v>
      </c>
      <c r="BO32" s="13">
        <f t="shared" si="39"/>
        <v>1.16797881239495</v>
      </c>
      <c r="BP32" s="59">
        <v>1.038306</v>
      </c>
      <c r="BQ32" s="59">
        <v>0.0122705110571455</v>
      </c>
      <c r="BR32" s="59">
        <v>1.16797881239495</v>
      </c>
      <c r="BU32" s="13">
        <f t="shared" si="40"/>
        <v>1.05057651105715</v>
      </c>
      <c r="BV32" s="11">
        <f t="shared" si="41"/>
        <v>12.5</v>
      </c>
      <c r="BX32" s="13">
        <f t="shared" si="42"/>
        <v>2.34887348027886e-5</v>
      </c>
      <c r="BY32" s="13" t="e">
        <f>Intens(P32,BJ32)</f>
        <v>#NAME?</v>
      </c>
      <c r="BZ32" s="13" t="e">
        <f t="shared" si="26"/>
        <v>#NAME?</v>
      </c>
      <c r="CA32" s="13" t="e">
        <f t="shared" si="27"/>
        <v>#NAME?</v>
      </c>
    </row>
    <row r="33" s="12" customFormat="1" ht="15.9" customHeight="1" spans="1:79">
      <c r="A33" s="27">
        <v>32</v>
      </c>
      <c r="B33" s="28" t="s">
        <v>116</v>
      </c>
      <c r="C33" s="29" t="s">
        <v>108</v>
      </c>
      <c r="D33" s="27">
        <v>100</v>
      </c>
      <c r="E33" s="27">
        <v>50</v>
      </c>
      <c r="F33" s="27">
        <v>1996</v>
      </c>
      <c r="G33" s="27">
        <v>1.8</v>
      </c>
      <c r="H33" s="27" t="s">
        <v>46</v>
      </c>
      <c r="I33" s="27" t="s">
        <v>47</v>
      </c>
      <c r="J33" s="27" t="s">
        <v>53</v>
      </c>
      <c r="K33" s="27" t="s">
        <v>48</v>
      </c>
      <c r="L33" s="27" t="s">
        <v>49</v>
      </c>
      <c r="M33" s="27" t="s">
        <v>46</v>
      </c>
      <c r="N33" s="27">
        <v>90</v>
      </c>
      <c r="O33" s="37">
        <v>0.0965277777777778</v>
      </c>
      <c r="P33" s="38">
        <v>20</v>
      </c>
      <c r="Q33" s="27">
        <f t="shared" si="0"/>
        <v>5.70776255707763e-5</v>
      </c>
      <c r="R33" s="27">
        <v>1.76907607497919</v>
      </c>
      <c r="S33" s="27">
        <v>1.26360459932349</v>
      </c>
      <c r="T33" s="44">
        <f t="shared" si="2"/>
        <v>48.5714285714286</v>
      </c>
      <c r="U33" s="27"/>
      <c r="V33" s="49">
        <v>1</v>
      </c>
      <c r="W33" s="49">
        <v>1</v>
      </c>
      <c r="X33" s="49"/>
      <c r="Y33" s="49">
        <v>1</v>
      </c>
      <c r="Z33" s="27" t="s">
        <v>54</v>
      </c>
      <c r="AA33" s="2">
        <v>3.5</v>
      </c>
      <c r="AC33" s="13">
        <f t="shared" si="29"/>
        <v>1.27332857142857</v>
      </c>
      <c r="AD33" s="13">
        <f t="shared" si="3"/>
        <v>-0.00972397210508014</v>
      </c>
      <c r="AE33" s="13">
        <f t="shared" si="4"/>
        <v>0.763665586657702</v>
      </c>
      <c r="AF33" s="13">
        <f t="shared" si="5"/>
        <v>0.763665586657702</v>
      </c>
      <c r="AG33" s="2"/>
      <c r="AH33" s="13">
        <f>0.0059*T33+0.9331</f>
        <v>1.21967142857143</v>
      </c>
      <c r="AI33" s="13">
        <f t="shared" si="6"/>
        <v>-0.0439331707520627</v>
      </c>
      <c r="AJ33" s="13">
        <f t="shared" si="7"/>
        <v>3.60204967689704</v>
      </c>
      <c r="AK33" s="12">
        <f t="shared" si="8"/>
        <v>3.60204967689704</v>
      </c>
      <c r="AM33" s="13">
        <f t="shared" si="9"/>
        <v>1.27332857142857</v>
      </c>
      <c r="AN33" s="13">
        <f t="shared" si="10"/>
        <v>0.00972397210508014</v>
      </c>
      <c r="AO33" s="13">
        <f t="shared" si="11"/>
        <v>0.763665586657702</v>
      </c>
      <c r="AP33" s="13">
        <f t="shared" si="12"/>
        <v>0.763665586657702</v>
      </c>
      <c r="AR33" s="13">
        <f t="shared" si="13"/>
        <v>1.28222857142857</v>
      </c>
      <c r="AS33" s="13">
        <f t="shared" si="14"/>
        <v>0.0186239721050803</v>
      </c>
      <c r="AT33" s="13">
        <f t="shared" si="15"/>
        <v>1.45246896848748</v>
      </c>
      <c r="AU33" s="13">
        <f t="shared" si="16"/>
        <v>1.45246896848748</v>
      </c>
      <c r="AV33" s="58"/>
      <c r="AW33" s="11">
        <f t="shared" si="17"/>
        <v>48.5714285714286</v>
      </c>
      <c r="AX33" s="12">
        <f t="shared" si="30"/>
        <v>1.26360459932349</v>
      </c>
      <c r="AY33" s="13">
        <f>0.005867*AW33+0.933127293</f>
        <v>1.21809586442857</v>
      </c>
      <c r="AZ33" s="13">
        <f t="shared" si="18"/>
        <v>0.0455087348949199</v>
      </c>
      <c r="BA33" s="13">
        <f t="shared" si="19"/>
        <v>3.60150120688737</v>
      </c>
      <c r="BB33" s="13"/>
      <c r="BC33" s="27" t="s">
        <v>54</v>
      </c>
      <c r="BD33" s="13">
        <f>0.005867*AW33+0.933127293</f>
        <v>1.21809586442857</v>
      </c>
      <c r="BE33" s="13">
        <f t="shared" si="20"/>
        <v>0.0455087348949199</v>
      </c>
      <c r="BF33" s="13">
        <f t="shared" si="21"/>
        <v>3.60150120688737</v>
      </c>
      <c r="BG33" s="13">
        <f>0.005867*AW33+0.933127293</f>
        <v>1.21809586442857</v>
      </c>
      <c r="BH33" s="13">
        <f t="shared" si="22"/>
        <v>0.0455087348949199</v>
      </c>
      <c r="BI33" s="13">
        <f t="shared" si="23"/>
        <v>3.60150120688737</v>
      </c>
      <c r="BJ33" s="13">
        <f>0.005867*AW33+0.933127293</f>
        <v>1.21809586442857</v>
      </c>
      <c r="BK33" s="13">
        <f t="shared" si="24"/>
        <v>0.0455087348949199</v>
      </c>
      <c r="BL33" s="13">
        <f t="shared" si="25"/>
        <v>3.60150120688737</v>
      </c>
      <c r="BM33" s="13"/>
      <c r="BN33" s="13"/>
      <c r="BO33" s="13"/>
      <c r="BP33" s="59"/>
      <c r="BQ33" s="59"/>
      <c r="BR33" s="59"/>
      <c r="BU33" s="13">
        <f t="shared" si="40"/>
        <v>1.26360459932349</v>
      </c>
      <c r="BV33" s="11">
        <f t="shared" si="41"/>
        <v>48.5714285714286</v>
      </c>
      <c r="BX33" s="13">
        <f t="shared" si="42"/>
        <v>5.70776255707763e-5</v>
      </c>
      <c r="BY33" s="13" t="e">
        <f>Intens(P33,BJ33)</f>
        <v>#NAME?</v>
      </c>
      <c r="BZ33" s="13" t="e">
        <f t="shared" si="26"/>
        <v>#NAME?</v>
      </c>
      <c r="CA33" s="13" t="e">
        <f t="shared" si="27"/>
        <v>#NAME?</v>
      </c>
    </row>
    <row r="34" s="12" customFormat="1" ht="15.9" customHeight="1" spans="1:79">
      <c r="A34" s="27">
        <v>33</v>
      </c>
      <c r="B34" s="28" t="s">
        <v>117</v>
      </c>
      <c r="C34" s="29" t="s">
        <v>118</v>
      </c>
      <c r="D34" s="27">
        <v>75</v>
      </c>
      <c r="E34" s="27">
        <v>100</v>
      </c>
      <c r="F34" s="27" t="s">
        <v>45</v>
      </c>
      <c r="G34" s="27">
        <v>2.6</v>
      </c>
      <c r="H34" s="27" t="s">
        <v>46</v>
      </c>
      <c r="I34" s="27" t="s">
        <v>47</v>
      </c>
      <c r="J34" s="27" t="s">
        <v>46</v>
      </c>
      <c r="K34" s="27" t="s">
        <v>48</v>
      </c>
      <c r="L34" s="27" t="s">
        <v>49</v>
      </c>
      <c r="M34" s="27" t="s">
        <v>53</v>
      </c>
      <c r="N34" s="27">
        <v>85</v>
      </c>
      <c r="O34" s="37">
        <v>0.194444444444444</v>
      </c>
      <c r="P34" s="38">
        <v>27</v>
      </c>
      <c r="Q34" s="27">
        <f t="shared" ref="Q34:Q56" si="49">1000/(D34*P34*8760)</f>
        <v>5.63729635266926e-5</v>
      </c>
      <c r="R34" s="27">
        <v>1.6952781923982</v>
      </c>
      <c r="S34" s="27">
        <v>1.22099403323395</v>
      </c>
      <c r="T34" s="44">
        <f t="shared" ref="T34:T56" si="50">100-G34*100/AA34</f>
        <v>35</v>
      </c>
      <c r="U34" s="27"/>
      <c r="V34" s="50">
        <v>1</v>
      </c>
      <c r="W34" s="50">
        <v>1</v>
      </c>
      <c r="X34" s="50">
        <v>1</v>
      </c>
      <c r="Y34" s="50"/>
      <c r="Z34" s="27" t="s">
        <v>78</v>
      </c>
      <c r="AA34" s="2">
        <v>4</v>
      </c>
      <c r="AC34" s="13">
        <f>0.0074*T34+0.9139-0.01875+0.0215</f>
        <v>1.17565</v>
      </c>
      <c r="AD34" s="13">
        <f t="shared" si="3"/>
        <v>0.045344033233945</v>
      </c>
      <c r="AE34" s="13">
        <f t="shared" si="4"/>
        <v>3.85693303567771</v>
      </c>
      <c r="AF34" s="13">
        <f t="shared" si="5"/>
        <v>3.85693303567771</v>
      </c>
      <c r="AG34" s="2"/>
      <c r="AH34" s="13">
        <f>0.0064*T34+0.9736</f>
        <v>1.1976</v>
      </c>
      <c r="AI34" s="13">
        <f t="shared" si="6"/>
        <v>-0.0233940332339451</v>
      </c>
      <c r="AJ34" s="13">
        <f t="shared" si="7"/>
        <v>1.95340958867277</v>
      </c>
      <c r="AK34" s="12">
        <f t="shared" si="8"/>
        <v>1.95340958867277</v>
      </c>
      <c r="AM34" s="13">
        <f t="shared" si="9"/>
        <v>1.1729</v>
      </c>
      <c r="AN34" s="13">
        <f t="shared" si="10"/>
        <v>-0.048094033233945</v>
      </c>
      <c r="AO34" s="13">
        <f t="shared" si="11"/>
        <v>4.10043765316267</v>
      </c>
      <c r="AP34" s="13">
        <f t="shared" si="12"/>
        <v>4.10043765316267</v>
      </c>
      <c r="AR34" s="13">
        <f t="shared" si="13"/>
        <v>1.1818</v>
      </c>
      <c r="AS34" s="13">
        <f t="shared" si="14"/>
        <v>-0.0391940332339451</v>
      </c>
      <c r="AT34" s="13">
        <f t="shared" si="15"/>
        <v>3.31646921932181</v>
      </c>
      <c r="AU34" s="13">
        <f t="shared" si="16"/>
        <v>3.31646921932181</v>
      </c>
      <c r="AV34" s="58"/>
      <c r="AW34" s="11">
        <f t="shared" si="17"/>
        <v>35</v>
      </c>
      <c r="AX34" s="12">
        <f t="shared" si="30"/>
        <v>1.22099403323395</v>
      </c>
      <c r="AY34" s="12">
        <f>0.006413391*AW34+0.9735993</f>
        <v>1.198067985</v>
      </c>
      <c r="AZ34" s="13">
        <f t="shared" si="18"/>
        <v>0.0229260482339451</v>
      </c>
      <c r="BA34" s="13">
        <f t="shared" si="19"/>
        <v>1.87765440370112</v>
      </c>
      <c r="BB34" s="13"/>
      <c r="BC34" s="27" t="s">
        <v>78</v>
      </c>
      <c r="BD34" s="12">
        <f>0.006413391*AW34+0.9735993</f>
        <v>1.198067985</v>
      </c>
      <c r="BE34" s="13">
        <f t="shared" si="20"/>
        <v>0.0229260482339451</v>
      </c>
      <c r="BF34" s="13">
        <f t="shared" si="21"/>
        <v>1.87765440370112</v>
      </c>
      <c r="BG34" s="12">
        <f>0.006413391*AW34+0.9735993</f>
        <v>1.198067985</v>
      </c>
      <c r="BH34" s="13">
        <f t="shared" si="22"/>
        <v>0.0229260482339451</v>
      </c>
      <c r="BI34" s="13">
        <f t="shared" si="23"/>
        <v>1.87765440370112</v>
      </c>
      <c r="BJ34" s="12">
        <f>0.006413391*AW34+0.9735993</f>
        <v>1.198067985</v>
      </c>
      <c r="BK34" s="13">
        <f t="shared" si="24"/>
        <v>0.0229260482339451</v>
      </c>
      <c r="BL34" s="13">
        <f t="shared" si="25"/>
        <v>1.87765440370112</v>
      </c>
      <c r="BM34" s="12">
        <f>0.006413391*AW34+0.9735993</f>
        <v>1.198067985</v>
      </c>
      <c r="BN34" s="13">
        <f>BU34-BM34</f>
        <v>0.0229260482339451</v>
      </c>
      <c r="BO34" s="13">
        <f>ABS(BN34/BU34)*100</f>
        <v>1.87765440370112</v>
      </c>
      <c r="BP34" s="59">
        <v>1.198067985</v>
      </c>
      <c r="BQ34" s="59">
        <v>0.0229260482339451</v>
      </c>
      <c r="BR34" s="59">
        <v>1.87765440370112</v>
      </c>
      <c r="BU34" s="13">
        <f t="shared" si="40"/>
        <v>1.22099403323395</v>
      </c>
      <c r="BV34" s="11">
        <f t="shared" si="41"/>
        <v>35</v>
      </c>
      <c r="BX34" s="13">
        <f t="shared" si="42"/>
        <v>5.63729635266926e-5</v>
      </c>
      <c r="BY34" s="13" t="e">
        <f>Intens(P34,BJ34)</f>
        <v>#NAME?</v>
      </c>
      <c r="BZ34" s="13" t="e">
        <f t="shared" si="26"/>
        <v>#NAME?</v>
      </c>
      <c r="CA34" s="13" t="e">
        <f t="shared" si="27"/>
        <v>#NAME?</v>
      </c>
    </row>
    <row r="35" s="12" customFormat="1" ht="15.9" customHeight="1" spans="1:79">
      <c r="A35" s="27">
        <v>34</v>
      </c>
      <c r="B35" s="28" t="s">
        <v>119</v>
      </c>
      <c r="C35" s="29" t="s">
        <v>120</v>
      </c>
      <c r="D35" s="27">
        <v>280</v>
      </c>
      <c r="E35" s="27">
        <v>150</v>
      </c>
      <c r="F35" s="27" t="s">
        <v>45</v>
      </c>
      <c r="G35" s="27">
        <v>4.1</v>
      </c>
      <c r="H35" s="27" t="s">
        <v>46</v>
      </c>
      <c r="I35" s="27" t="s">
        <v>47</v>
      </c>
      <c r="J35" s="27" t="s">
        <v>53</v>
      </c>
      <c r="K35" s="27" t="s">
        <v>48</v>
      </c>
      <c r="L35" s="27" t="s">
        <v>49</v>
      </c>
      <c r="M35" s="27" t="s">
        <v>46</v>
      </c>
      <c r="N35" s="27">
        <v>88</v>
      </c>
      <c r="O35" s="37">
        <v>0.194444444444444</v>
      </c>
      <c r="P35" s="38">
        <v>27</v>
      </c>
      <c r="Q35" s="27">
        <f t="shared" si="49"/>
        <v>1.50999009446498e-5</v>
      </c>
      <c r="R35" s="27">
        <v>1.29559169601224</v>
      </c>
      <c r="S35" s="27">
        <v>0.952114679478278</v>
      </c>
      <c r="T35" s="44">
        <f t="shared" si="50"/>
        <v>8.8888888888889</v>
      </c>
      <c r="U35" s="27"/>
      <c r="V35" s="49">
        <v>1</v>
      </c>
      <c r="W35" s="49">
        <v>1</v>
      </c>
      <c r="X35" s="49"/>
      <c r="Y35" s="49">
        <v>1</v>
      </c>
      <c r="Z35" s="27" t="s">
        <v>54</v>
      </c>
      <c r="AA35" s="2">
        <v>4.5</v>
      </c>
      <c r="AC35" s="13">
        <f t="shared" si="29"/>
        <v>0.979677777777778</v>
      </c>
      <c r="AD35" s="13">
        <f t="shared" si="3"/>
        <v>-0.0275630982994997</v>
      </c>
      <c r="AE35" s="13">
        <f t="shared" si="4"/>
        <v>2.81348612010181</v>
      </c>
      <c r="AF35" s="13">
        <f t="shared" si="5"/>
        <v>2.81348612010181</v>
      </c>
      <c r="AG35" s="2"/>
      <c r="AH35" s="13">
        <f>0.0059*T35+0.9331</f>
        <v>0.985544444444445</v>
      </c>
      <c r="AI35" s="13">
        <f t="shared" si="6"/>
        <v>0.0334297649661663</v>
      </c>
      <c r="AJ35" s="13">
        <f t="shared" si="7"/>
        <v>3.39200988393891</v>
      </c>
      <c r="AK35" s="12">
        <f t="shared" si="8"/>
        <v>3.39200988393891</v>
      </c>
      <c r="AM35" s="13">
        <f t="shared" si="9"/>
        <v>0.979677777777778</v>
      </c>
      <c r="AN35" s="13">
        <f t="shared" si="10"/>
        <v>0.0275630982994997</v>
      </c>
      <c r="AO35" s="13">
        <f t="shared" si="11"/>
        <v>2.81348612010181</v>
      </c>
      <c r="AP35" s="13">
        <f t="shared" si="12"/>
        <v>2.81348612010181</v>
      </c>
      <c r="AR35" s="13">
        <f t="shared" si="13"/>
        <v>0.988577777777778</v>
      </c>
      <c r="AS35" s="13">
        <f t="shared" si="14"/>
        <v>0.0364630982994996</v>
      </c>
      <c r="AT35" s="13">
        <f t="shared" si="15"/>
        <v>3.68844001141366</v>
      </c>
      <c r="AU35" s="13">
        <f t="shared" si="16"/>
        <v>3.68844001141366</v>
      </c>
      <c r="AV35" s="58"/>
      <c r="AW35" s="11">
        <f t="shared" si="17"/>
        <v>8.8888888888889</v>
      </c>
      <c r="AX35" s="12">
        <f t="shared" si="30"/>
        <v>0.952114679478278</v>
      </c>
      <c r="AY35" s="13">
        <f>0.005867*AW35+0.933127293</f>
        <v>0.985278404111111</v>
      </c>
      <c r="AZ35" s="13">
        <f t="shared" si="18"/>
        <v>-0.0331637246328328</v>
      </c>
      <c r="BA35" s="13">
        <f t="shared" si="19"/>
        <v>3.48316493250637</v>
      </c>
      <c r="BB35" s="13"/>
      <c r="BC35" s="27" t="s">
        <v>54</v>
      </c>
      <c r="BD35" s="13">
        <f>0.005867*AW35+0.933127293</f>
        <v>0.985278404111111</v>
      </c>
      <c r="BE35" s="13">
        <f t="shared" si="20"/>
        <v>-0.0331637246328328</v>
      </c>
      <c r="BF35" s="13">
        <f t="shared" si="21"/>
        <v>3.48316493250637</v>
      </c>
      <c r="BG35" s="13">
        <f>0.005867*AW35+0.933127293</f>
        <v>0.985278404111111</v>
      </c>
      <c r="BH35" s="13">
        <f t="shared" si="22"/>
        <v>-0.0331637246328328</v>
      </c>
      <c r="BI35" s="13">
        <f t="shared" si="23"/>
        <v>3.48316493250637</v>
      </c>
      <c r="BJ35" s="13">
        <f>0.005867*AW35+0.933127293</f>
        <v>0.985278404111111</v>
      </c>
      <c r="BK35" s="13">
        <f t="shared" si="24"/>
        <v>-0.0331637246328328</v>
      </c>
      <c r="BL35" s="13">
        <f t="shared" si="25"/>
        <v>3.48316493250637</v>
      </c>
      <c r="BM35" s="13">
        <f>0.004939237*AW35+0.949185949</f>
        <v>0.993090277888889</v>
      </c>
      <c r="BN35" s="13">
        <f>BU35-BM35</f>
        <v>-0.0409755984106106</v>
      </c>
      <c r="BO35" s="13">
        <f>ABS(BN35/BU35)*100</f>
        <v>4.30364107326479</v>
      </c>
      <c r="BP35" s="59"/>
      <c r="BQ35" s="59"/>
      <c r="BR35" s="59"/>
      <c r="BU35" s="13">
        <f t="shared" si="40"/>
        <v>0.952114679478278</v>
      </c>
      <c r="BV35" s="11">
        <f t="shared" si="41"/>
        <v>8.8888888888889</v>
      </c>
      <c r="BX35" s="13">
        <f t="shared" si="42"/>
        <v>1.50999009446498e-5</v>
      </c>
      <c r="BY35" s="13" t="e">
        <f>Intens(P35,BJ35)</f>
        <v>#NAME?</v>
      </c>
      <c r="BZ35" s="13" t="e">
        <f t="shared" si="26"/>
        <v>#NAME?</v>
      </c>
      <c r="CA35" s="13" t="e">
        <f t="shared" si="27"/>
        <v>#NAME?</v>
      </c>
    </row>
    <row r="36" s="12" customFormat="1" ht="15.9" customHeight="1" spans="1:79">
      <c r="A36" s="27">
        <v>35</v>
      </c>
      <c r="B36" s="28" t="s">
        <v>121</v>
      </c>
      <c r="C36" s="29" t="s">
        <v>122</v>
      </c>
      <c r="D36" s="27">
        <v>130</v>
      </c>
      <c r="E36" s="27">
        <v>100</v>
      </c>
      <c r="F36" s="27" t="s">
        <v>45</v>
      </c>
      <c r="G36" s="27">
        <v>3.3</v>
      </c>
      <c r="H36" s="27" t="s">
        <v>53</v>
      </c>
      <c r="I36" s="27" t="s">
        <v>84</v>
      </c>
      <c r="J36" s="27" t="s">
        <v>53</v>
      </c>
      <c r="K36" s="27" t="s">
        <v>48</v>
      </c>
      <c r="L36" s="27" t="s">
        <v>49</v>
      </c>
      <c r="M36" s="27" t="s">
        <v>53</v>
      </c>
      <c r="N36" s="27">
        <v>90</v>
      </c>
      <c r="O36" s="37">
        <v>0.145833333333333</v>
      </c>
      <c r="P36" s="38">
        <v>27</v>
      </c>
      <c r="Q36" s="27">
        <f t="shared" si="49"/>
        <v>3.25228635730919e-5</v>
      </c>
      <c r="R36" s="27">
        <v>1.52838694162276</v>
      </c>
      <c r="S36" s="27">
        <v>1.11736007329225</v>
      </c>
      <c r="T36" s="44">
        <f t="shared" si="50"/>
        <v>17.5</v>
      </c>
      <c r="U36" s="27"/>
      <c r="V36" s="27"/>
      <c r="W36" s="27"/>
      <c r="X36" s="27"/>
      <c r="Y36" s="27"/>
      <c r="Z36" s="27" t="s">
        <v>58</v>
      </c>
      <c r="AA36" s="2">
        <v>4</v>
      </c>
      <c r="AC36" s="13">
        <f>0.0074*T36+0.9139+0.00372+0.0021+0.0215</f>
        <v>1.07072</v>
      </c>
      <c r="AD36" s="13">
        <f t="shared" si="3"/>
        <v>0.0466400732922514</v>
      </c>
      <c r="AE36" s="13">
        <f t="shared" si="4"/>
        <v>4.3559542450175</v>
      </c>
      <c r="AF36" s="13">
        <f t="shared" si="5"/>
        <v>4.3559542450175</v>
      </c>
      <c r="AG36" s="2"/>
      <c r="AH36" s="13">
        <f>0.0067*T36+0.9249</f>
        <v>1.04215</v>
      </c>
      <c r="AI36" s="13">
        <f t="shared" si="6"/>
        <v>-0.0752100732922514</v>
      </c>
      <c r="AJ36" s="13">
        <f t="shared" si="7"/>
        <v>7.21681843230354</v>
      </c>
      <c r="AK36" s="12">
        <f t="shared" si="8"/>
        <v>7.21681843230354</v>
      </c>
      <c r="AM36" s="13">
        <f t="shared" si="9"/>
        <v>1.0434</v>
      </c>
      <c r="AN36" s="13">
        <f t="shared" si="10"/>
        <v>-0.0739600732922514</v>
      </c>
      <c r="AO36" s="13">
        <f t="shared" si="11"/>
        <v>7.08837198507297</v>
      </c>
      <c r="AP36" s="13">
        <f t="shared" si="12"/>
        <v>7.08837198507297</v>
      </c>
      <c r="AR36" s="13">
        <f t="shared" si="13"/>
        <v>1.0523</v>
      </c>
      <c r="AS36" s="13">
        <f t="shared" si="14"/>
        <v>-0.0650600732922515</v>
      </c>
      <c r="AT36" s="13">
        <f t="shared" si="15"/>
        <v>6.18265449893106</v>
      </c>
      <c r="AU36" s="13">
        <f t="shared" si="16"/>
        <v>6.18265449893106</v>
      </c>
      <c r="AV36" s="58"/>
      <c r="AW36" s="11">
        <f t="shared" si="17"/>
        <v>17.5</v>
      </c>
      <c r="AX36" s="12">
        <f t="shared" si="30"/>
        <v>1.11736007329225</v>
      </c>
      <c r="AY36" s="13">
        <f>0.0062266*AW36+0.9484024</f>
        <v>1.0573679</v>
      </c>
      <c r="AZ36" s="13">
        <f t="shared" si="18"/>
        <v>0.0599921732922517</v>
      </c>
      <c r="BA36" s="13">
        <f t="shared" si="19"/>
        <v>5.36909942696336</v>
      </c>
      <c r="BB36" s="13"/>
      <c r="BC36" s="27" t="s">
        <v>58</v>
      </c>
      <c r="BD36" s="13">
        <f>0.0062266*AW36+0.9484024</f>
        <v>1.0573679</v>
      </c>
      <c r="BE36" s="13">
        <f t="shared" si="20"/>
        <v>0.0599921732922517</v>
      </c>
      <c r="BF36" s="13">
        <f t="shared" si="21"/>
        <v>5.36909942696336</v>
      </c>
      <c r="BG36" s="13"/>
      <c r="BH36" s="13"/>
      <c r="BI36" s="13"/>
      <c r="BJ36" s="13"/>
      <c r="BK36" s="13"/>
      <c r="BL36" s="13"/>
      <c r="BN36" s="13"/>
      <c r="BO36" s="13"/>
      <c r="BP36" s="59"/>
      <c r="BQ36" s="59"/>
      <c r="BR36" s="59"/>
      <c r="BU36" s="13"/>
      <c r="BV36" s="11"/>
      <c r="BX36" s="13"/>
      <c r="BY36" s="13"/>
      <c r="BZ36" s="13"/>
      <c r="CA36" s="13"/>
    </row>
    <row r="37" s="12" customFormat="1" ht="15.9" customHeight="1" spans="1:79">
      <c r="A37" s="27">
        <v>36</v>
      </c>
      <c r="B37" s="28" t="s">
        <v>123</v>
      </c>
      <c r="C37" s="29" t="s">
        <v>118</v>
      </c>
      <c r="D37" s="27">
        <v>110</v>
      </c>
      <c r="E37" s="27">
        <v>100</v>
      </c>
      <c r="F37" s="27" t="s">
        <v>45</v>
      </c>
      <c r="G37" s="27">
        <v>3.1</v>
      </c>
      <c r="H37" s="27" t="s">
        <v>46</v>
      </c>
      <c r="I37" s="27" t="s">
        <v>84</v>
      </c>
      <c r="J37" s="27" t="s">
        <v>46</v>
      </c>
      <c r="K37" s="27" t="s">
        <v>48</v>
      </c>
      <c r="L37" s="27" t="s">
        <v>49</v>
      </c>
      <c r="M37" s="27" t="s">
        <v>46</v>
      </c>
      <c r="N37" s="27">
        <v>90</v>
      </c>
      <c r="O37" s="37">
        <v>0.357638888888889</v>
      </c>
      <c r="P37" s="38">
        <v>27</v>
      </c>
      <c r="Q37" s="27">
        <f t="shared" si="49"/>
        <v>3.84361114954722e-5</v>
      </c>
      <c r="R37" s="27">
        <v>1.57907333523231</v>
      </c>
      <c r="S37" s="27">
        <v>1.14998535885395</v>
      </c>
      <c r="T37" s="44">
        <f t="shared" si="50"/>
        <v>22.5</v>
      </c>
      <c r="U37" s="27"/>
      <c r="V37" s="47">
        <v>1</v>
      </c>
      <c r="W37" s="47"/>
      <c r="X37" s="47">
        <v>1</v>
      </c>
      <c r="Y37" s="47">
        <v>1</v>
      </c>
      <c r="Z37" s="27" t="s">
        <v>65</v>
      </c>
      <c r="AA37" s="2">
        <v>4</v>
      </c>
      <c r="AC37" s="13">
        <f>0.0074*T37+0.9139-0.01875+0.0206</f>
        <v>1.08225</v>
      </c>
      <c r="AD37" s="13">
        <f t="shared" si="3"/>
        <v>0.0677353588539484</v>
      </c>
      <c r="AE37" s="13">
        <f t="shared" si="4"/>
        <v>6.25875341685825</v>
      </c>
      <c r="AF37" s="13">
        <f t="shared" si="5"/>
        <v>6.25875341685825</v>
      </c>
      <c r="AG37" s="2"/>
      <c r="AH37" s="13">
        <f>0.0085*T37+0.9481</f>
        <v>1.13935</v>
      </c>
      <c r="AI37" s="13">
        <f t="shared" si="6"/>
        <v>-0.0106353588539483</v>
      </c>
      <c r="AJ37" s="13">
        <f t="shared" si="7"/>
        <v>0.933458450339956</v>
      </c>
      <c r="AK37" s="12">
        <f t="shared" si="8"/>
        <v>0.933458450339956</v>
      </c>
      <c r="AM37" s="13">
        <f t="shared" si="9"/>
        <v>1.0804</v>
      </c>
      <c r="AN37" s="13">
        <f t="shared" si="10"/>
        <v>-0.0695853588539483</v>
      </c>
      <c r="AO37" s="13">
        <f t="shared" si="11"/>
        <v>6.44070333709259</v>
      </c>
      <c r="AP37" s="13">
        <f t="shared" si="12"/>
        <v>6.44070333709259</v>
      </c>
      <c r="AR37" s="13">
        <f t="shared" si="13"/>
        <v>1.0893</v>
      </c>
      <c r="AS37" s="13">
        <f t="shared" si="14"/>
        <v>-0.0606853588539484</v>
      </c>
      <c r="AT37" s="13">
        <f t="shared" si="15"/>
        <v>5.57104184833824</v>
      </c>
      <c r="AU37" s="13">
        <f t="shared" si="16"/>
        <v>5.57104184833824</v>
      </c>
      <c r="AV37" s="58"/>
      <c r="AW37" s="11">
        <f t="shared" si="17"/>
        <v>22.5</v>
      </c>
      <c r="AX37" s="12">
        <f t="shared" si="30"/>
        <v>1.14998535885395</v>
      </c>
      <c r="AY37" s="12">
        <f t="shared" ref="AY37:AY38" si="51">0.00910123*AW37+0.86365767</f>
        <v>1.068435345</v>
      </c>
      <c r="AZ37" s="13">
        <f t="shared" si="18"/>
        <v>0.0815500138539482</v>
      </c>
      <c r="BA37" s="13">
        <f t="shared" si="19"/>
        <v>7.0913958361365</v>
      </c>
      <c r="BB37" s="13"/>
      <c r="BC37" s="27" t="s">
        <v>65</v>
      </c>
      <c r="BE37" s="13"/>
      <c r="BF37" s="13"/>
      <c r="BH37" s="13"/>
      <c r="BI37" s="13"/>
      <c r="BK37" s="13"/>
      <c r="BL37" s="13"/>
      <c r="BN37" s="13"/>
      <c r="BO37" s="13"/>
      <c r="BP37" s="59"/>
      <c r="BQ37" s="59"/>
      <c r="BR37" s="59"/>
      <c r="BU37" s="13"/>
      <c r="BV37" s="11"/>
      <c r="BX37" s="13"/>
      <c r="BY37" s="13"/>
      <c r="BZ37" s="13"/>
      <c r="CA37" s="13"/>
    </row>
    <row r="38" s="12" customFormat="1" ht="15.9" customHeight="1" spans="1:79">
      <c r="A38" s="27">
        <v>37</v>
      </c>
      <c r="B38" s="28" t="s">
        <v>123</v>
      </c>
      <c r="C38" s="29" t="s">
        <v>124</v>
      </c>
      <c r="D38" s="27">
        <v>110</v>
      </c>
      <c r="E38" s="27">
        <v>100</v>
      </c>
      <c r="F38" s="27" t="s">
        <v>45</v>
      </c>
      <c r="G38" s="27">
        <v>3</v>
      </c>
      <c r="H38" s="27" t="s">
        <v>46</v>
      </c>
      <c r="I38" s="27" t="s">
        <v>84</v>
      </c>
      <c r="J38" s="27" t="s">
        <v>46</v>
      </c>
      <c r="K38" s="27" t="s">
        <v>48</v>
      </c>
      <c r="L38" s="27" t="s">
        <v>49</v>
      </c>
      <c r="M38" s="27" t="s">
        <v>46</v>
      </c>
      <c r="N38" s="27">
        <v>85</v>
      </c>
      <c r="O38" s="37">
        <v>0.340277777777778</v>
      </c>
      <c r="P38" s="38">
        <v>27</v>
      </c>
      <c r="Q38" s="27">
        <f t="shared" si="49"/>
        <v>3.84361114954722e-5</v>
      </c>
      <c r="R38" s="27">
        <v>1.57907333523231</v>
      </c>
      <c r="S38" s="27">
        <v>1.14998535885395</v>
      </c>
      <c r="T38" s="44">
        <f t="shared" si="50"/>
        <v>25</v>
      </c>
      <c r="U38" s="27"/>
      <c r="V38" s="47">
        <v>1</v>
      </c>
      <c r="W38" s="47"/>
      <c r="X38" s="47">
        <v>1</v>
      </c>
      <c r="Y38" s="47">
        <v>1</v>
      </c>
      <c r="Z38" s="27" t="s">
        <v>65</v>
      </c>
      <c r="AA38" s="2">
        <v>4</v>
      </c>
      <c r="AC38" s="13">
        <f>0.0074*T38+0.9139-0.01875+0.0206</f>
        <v>1.10075</v>
      </c>
      <c r="AD38" s="13">
        <f t="shared" si="3"/>
        <v>0.0492353588539485</v>
      </c>
      <c r="AE38" s="13">
        <f t="shared" si="4"/>
        <v>4.47289201489425</v>
      </c>
      <c r="AF38" s="13">
        <f t="shared" si="5"/>
        <v>4.47289201489425</v>
      </c>
      <c r="AG38" s="2"/>
      <c r="AH38" s="13">
        <f>0.0085*T38+0.9481</f>
        <v>1.1606</v>
      </c>
      <c r="AI38" s="13">
        <f t="shared" si="6"/>
        <v>0.0106146411460517</v>
      </c>
      <c r="AJ38" s="13">
        <f t="shared" si="7"/>
        <v>0.914582211446813</v>
      </c>
      <c r="AK38" s="12">
        <f t="shared" si="8"/>
        <v>0.914582211446813</v>
      </c>
      <c r="AM38" s="13">
        <f t="shared" si="9"/>
        <v>1.0989</v>
      </c>
      <c r="AN38" s="13">
        <f t="shared" si="10"/>
        <v>-0.0510853588539484</v>
      </c>
      <c r="AO38" s="13">
        <f t="shared" si="11"/>
        <v>4.64877230448161</v>
      </c>
      <c r="AP38" s="13">
        <f t="shared" si="12"/>
        <v>4.64877230448161</v>
      </c>
      <c r="AR38" s="13">
        <f t="shared" si="13"/>
        <v>1.1078</v>
      </c>
      <c r="AS38" s="13">
        <f t="shared" si="14"/>
        <v>-0.0421853588539485</v>
      </c>
      <c r="AT38" s="13">
        <f t="shared" si="15"/>
        <v>3.80803022693162</v>
      </c>
      <c r="AU38" s="13">
        <f t="shared" si="16"/>
        <v>3.80803022693162</v>
      </c>
      <c r="AV38" s="58"/>
      <c r="AW38" s="11">
        <f t="shared" si="17"/>
        <v>25</v>
      </c>
      <c r="AX38" s="12">
        <f t="shared" si="30"/>
        <v>1.14998535885395</v>
      </c>
      <c r="AY38" s="12">
        <f t="shared" si="51"/>
        <v>1.09118842</v>
      </c>
      <c r="AZ38" s="13">
        <f t="shared" si="18"/>
        <v>0.0587969388539484</v>
      </c>
      <c r="BA38" s="13">
        <f t="shared" si="19"/>
        <v>5.11284238544952</v>
      </c>
      <c r="BB38" s="13"/>
      <c r="BC38" s="27" t="s">
        <v>65</v>
      </c>
      <c r="BD38" s="12">
        <f t="shared" ref="BD38" si="52">0.006645157*AW38+0.964808634</f>
        <v>1.130937559</v>
      </c>
      <c r="BE38" s="13">
        <f t="shared" si="20"/>
        <v>0.0190477998539484</v>
      </c>
      <c r="BF38" s="13">
        <f t="shared" si="21"/>
        <v>1.65635150980801</v>
      </c>
      <c r="BG38" s="12">
        <f>0.006645157*AW38+0.964808634</f>
        <v>1.130937559</v>
      </c>
      <c r="BH38" s="13">
        <f t="shared" si="22"/>
        <v>0.0190477998539484</v>
      </c>
      <c r="BI38" s="13">
        <f t="shared" si="23"/>
        <v>1.65635150980801</v>
      </c>
      <c r="BJ38" s="12">
        <f>0.006645157*AW38+0.964808634</f>
        <v>1.130937559</v>
      </c>
      <c r="BK38" s="13">
        <f t="shared" si="24"/>
        <v>0.0190477998539484</v>
      </c>
      <c r="BL38" s="13">
        <f t="shared" si="25"/>
        <v>1.65635150980801</v>
      </c>
      <c r="BM38" s="12">
        <f t="shared" ref="BM38" si="53">0.006645157*AW38+0.964808634</f>
        <v>1.130937559</v>
      </c>
      <c r="BN38" s="13">
        <f>BU38-BM38</f>
        <v>0.0190477998539484</v>
      </c>
      <c r="BO38" s="13">
        <f>ABS(BN38/BU38)*100</f>
        <v>1.65635150980801</v>
      </c>
      <c r="BP38" s="59">
        <v>1.130937559</v>
      </c>
      <c r="BQ38" s="59">
        <v>0.0190477998539484</v>
      </c>
      <c r="BR38" s="59">
        <v>1.65635150980801</v>
      </c>
      <c r="BU38" s="13">
        <f>LN(R38*2)</f>
        <v>1.14998535885395</v>
      </c>
      <c r="BV38" s="11">
        <f>100-G38*100/AA38</f>
        <v>25</v>
      </c>
      <c r="BX38" s="13">
        <f>Q38</f>
        <v>3.84361114954722e-5</v>
      </c>
      <c r="BY38" s="13" t="e">
        <f>Intens(P38,BJ38)</f>
        <v>#NAME?</v>
      </c>
      <c r="BZ38" s="13" t="e">
        <f t="shared" si="26"/>
        <v>#NAME?</v>
      </c>
      <c r="CA38" s="13" t="e">
        <f t="shared" si="27"/>
        <v>#NAME?</v>
      </c>
    </row>
    <row r="39" s="12" customFormat="1" ht="15.9" customHeight="1" spans="1:79">
      <c r="A39" s="27">
        <v>38</v>
      </c>
      <c r="B39" s="28" t="s">
        <v>125</v>
      </c>
      <c r="C39" s="29" t="s">
        <v>126</v>
      </c>
      <c r="D39" s="27">
        <v>50</v>
      </c>
      <c r="E39" s="27">
        <v>100</v>
      </c>
      <c r="F39" s="27" t="s">
        <v>45</v>
      </c>
      <c r="G39" s="27">
        <v>2.5</v>
      </c>
      <c r="H39" s="27" t="s">
        <v>46</v>
      </c>
      <c r="I39" s="27" t="s">
        <v>47</v>
      </c>
      <c r="J39" s="27" t="s">
        <v>46</v>
      </c>
      <c r="K39" s="27" t="s">
        <v>48</v>
      </c>
      <c r="L39" s="27" t="s">
        <v>49</v>
      </c>
      <c r="M39" s="27" t="s">
        <v>46</v>
      </c>
      <c r="N39" s="27">
        <v>70</v>
      </c>
      <c r="O39" s="37">
        <v>0.107638888888889</v>
      </c>
      <c r="P39" s="38">
        <v>27</v>
      </c>
      <c r="Q39" s="27">
        <f t="shared" si="49"/>
        <v>8.45594452900389e-5</v>
      </c>
      <c r="R39" s="27">
        <v>1.81830160787438</v>
      </c>
      <c r="S39" s="27">
        <v>1.2910500634762</v>
      </c>
      <c r="T39" s="44">
        <f t="shared" si="50"/>
        <v>37.5</v>
      </c>
      <c r="U39" s="27"/>
      <c r="V39" s="48">
        <v>1</v>
      </c>
      <c r="W39" s="48">
        <v>1</v>
      </c>
      <c r="X39" s="48">
        <v>1</v>
      </c>
      <c r="Y39" s="48">
        <v>1</v>
      </c>
      <c r="Z39" s="27" t="s">
        <v>50</v>
      </c>
      <c r="AA39" s="2">
        <v>4</v>
      </c>
      <c r="AC39" s="13">
        <f>0.0074*T39+0.9139-0.01875</f>
        <v>1.17265</v>
      </c>
      <c r="AD39" s="13">
        <f t="shared" si="3"/>
        <v>0.118400063476197</v>
      </c>
      <c r="AE39" s="13">
        <f t="shared" si="4"/>
        <v>10.0967947363831</v>
      </c>
      <c r="AF39" s="13"/>
      <c r="AG39" s="2"/>
      <c r="AH39" s="13">
        <f t="shared" si="28"/>
        <v>1.2003</v>
      </c>
      <c r="AI39" s="13">
        <f t="shared" si="6"/>
        <v>-0.0907500634761966</v>
      </c>
      <c r="AJ39" s="13">
        <f t="shared" si="7"/>
        <v>7.56061513589908</v>
      </c>
      <c r="AM39" s="13">
        <f t="shared" si="9"/>
        <v>1.1914</v>
      </c>
      <c r="AN39" s="13">
        <f t="shared" si="10"/>
        <v>-0.0996500634761965</v>
      </c>
      <c r="AO39" s="13">
        <f t="shared" si="11"/>
        <v>8.36411477893206</v>
      </c>
      <c r="AP39" s="13"/>
      <c r="AR39" s="13">
        <f t="shared" si="13"/>
        <v>1.2003</v>
      </c>
      <c r="AS39" s="13">
        <f t="shared" si="14"/>
        <v>-0.0907500634761966</v>
      </c>
      <c r="AT39" s="13">
        <f t="shared" si="15"/>
        <v>7.56061513589908</v>
      </c>
      <c r="AU39" s="13"/>
      <c r="AV39" s="58"/>
      <c r="AW39" s="11"/>
      <c r="AY39" s="13"/>
      <c r="AZ39" s="13"/>
      <c r="BA39" s="13"/>
      <c r="BB39" s="13"/>
      <c r="BC39" s="27" t="s">
        <v>50</v>
      </c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59"/>
      <c r="BQ39" s="59"/>
      <c r="BR39" s="59"/>
      <c r="BU39" s="13"/>
      <c r="BV39" s="11"/>
      <c r="BX39" s="13"/>
      <c r="BY39" s="13"/>
      <c r="BZ39" s="13"/>
      <c r="CA39" s="13"/>
    </row>
    <row r="40" s="12" customFormat="1" ht="15.9" customHeight="1" spans="1:79">
      <c r="A40" s="27">
        <v>39</v>
      </c>
      <c r="B40" s="28" t="s">
        <v>127</v>
      </c>
      <c r="C40" s="29" t="s">
        <v>128</v>
      </c>
      <c r="D40" s="27">
        <v>30</v>
      </c>
      <c r="E40" s="27">
        <v>100</v>
      </c>
      <c r="F40" s="27" t="s">
        <v>45</v>
      </c>
      <c r="G40" s="27">
        <v>1.5</v>
      </c>
      <c r="H40" s="27" t="s">
        <v>46</v>
      </c>
      <c r="I40" s="27" t="s">
        <v>47</v>
      </c>
      <c r="J40" s="27" t="s">
        <v>46</v>
      </c>
      <c r="K40" s="27" t="s">
        <v>48</v>
      </c>
      <c r="L40" s="27" t="s">
        <v>49</v>
      </c>
      <c r="M40" s="27" t="s">
        <v>46</v>
      </c>
      <c r="N40" s="27">
        <v>85</v>
      </c>
      <c r="O40" s="37">
        <v>0.104166666666667</v>
      </c>
      <c r="P40" s="38">
        <v>27</v>
      </c>
      <c r="Q40" s="27">
        <f t="shared" si="49"/>
        <v>0.000140932408816731</v>
      </c>
      <c r="R40" s="27">
        <v>1.97329278144702</v>
      </c>
      <c r="S40" s="27">
        <v>1.37285079063421</v>
      </c>
      <c r="T40" s="44">
        <f t="shared" si="50"/>
        <v>62.5</v>
      </c>
      <c r="U40" s="27"/>
      <c r="V40" s="48">
        <v>1</v>
      </c>
      <c r="W40" s="48">
        <v>1</v>
      </c>
      <c r="X40" s="48">
        <v>1</v>
      </c>
      <c r="Y40" s="48">
        <v>1</v>
      </c>
      <c r="Z40" s="27" t="s">
        <v>50</v>
      </c>
      <c r="AA40" s="2">
        <v>4</v>
      </c>
      <c r="AC40" s="13">
        <f>0.0074*T40+0.9139-0.01875</f>
        <v>1.35765</v>
      </c>
      <c r="AD40" s="13">
        <f t="shared" si="3"/>
        <v>0.0152007906342089</v>
      </c>
      <c r="AE40" s="13">
        <f t="shared" si="4"/>
        <v>1.11963986551828</v>
      </c>
      <c r="AF40" s="13">
        <f t="shared" si="5"/>
        <v>1.11963986551828</v>
      </c>
      <c r="AG40" s="2"/>
      <c r="AH40" s="13">
        <f t="shared" si="28"/>
        <v>1.3853</v>
      </c>
      <c r="AI40" s="13">
        <f t="shared" si="6"/>
        <v>0.0124492093657911</v>
      </c>
      <c r="AJ40" s="13">
        <f t="shared" si="7"/>
        <v>0.898665225279079</v>
      </c>
      <c r="AK40" s="12">
        <f t="shared" si="8"/>
        <v>0.898665225279079</v>
      </c>
      <c r="AM40" s="13">
        <f t="shared" si="9"/>
        <v>1.3764</v>
      </c>
      <c r="AN40" s="13">
        <f t="shared" si="10"/>
        <v>0.00354920936579117</v>
      </c>
      <c r="AO40" s="13">
        <f t="shared" si="11"/>
        <v>0.257861767348966</v>
      </c>
      <c r="AP40" s="13">
        <f t="shared" si="12"/>
        <v>0.257861767348966</v>
      </c>
      <c r="AR40" s="13">
        <f t="shared" si="13"/>
        <v>1.3853</v>
      </c>
      <c r="AS40" s="13">
        <f t="shared" si="14"/>
        <v>0.0124492093657911</v>
      </c>
      <c r="AT40" s="13">
        <f t="shared" si="15"/>
        <v>0.898665225279079</v>
      </c>
      <c r="AU40" s="13">
        <f t="shared" si="16"/>
        <v>0.898665225279079</v>
      </c>
      <c r="AV40" s="58"/>
      <c r="AW40" s="11">
        <f t="shared" si="17"/>
        <v>62.5</v>
      </c>
      <c r="AX40" s="12">
        <f t="shared" si="30"/>
        <v>1.37285079063421</v>
      </c>
      <c r="AY40" s="13">
        <f t="shared" ref="AY40" si="54">0.006732*AW40+0.954156</f>
        <v>1.374906</v>
      </c>
      <c r="AZ40" s="13">
        <f t="shared" si="18"/>
        <v>-0.00205520936579107</v>
      </c>
      <c r="BA40" s="13">
        <f t="shared" si="19"/>
        <v>0.149703768232645</v>
      </c>
      <c r="BB40" s="13"/>
      <c r="BC40" s="27" t="s">
        <v>50</v>
      </c>
      <c r="BD40" s="13">
        <f t="shared" ref="BD40" si="55">0.006732*AW40+0.954156</f>
        <v>1.374906</v>
      </c>
      <c r="BE40" s="13">
        <f t="shared" si="20"/>
        <v>-0.00205520936579107</v>
      </c>
      <c r="BF40" s="13">
        <f t="shared" si="21"/>
        <v>0.149703768232645</v>
      </c>
      <c r="BG40" s="13">
        <f>0.006732*AW40+0.954156</f>
        <v>1.374906</v>
      </c>
      <c r="BH40" s="13">
        <f t="shared" si="22"/>
        <v>-0.00205520936579107</v>
      </c>
      <c r="BI40" s="13">
        <f t="shared" si="23"/>
        <v>0.149703768232645</v>
      </c>
      <c r="BJ40" s="13">
        <f>0.006732*AW40+0.954156</f>
        <v>1.374906</v>
      </c>
      <c r="BK40" s="13">
        <f t="shared" si="24"/>
        <v>-0.00205520936579107</v>
      </c>
      <c r="BL40" s="13">
        <f t="shared" si="25"/>
        <v>0.149703768232645</v>
      </c>
      <c r="BM40" s="13">
        <f t="shared" ref="BM40" si="56">0.006732*AW40+0.954156</f>
        <v>1.374906</v>
      </c>
      <c r="BN40" s="13">
        <f t="shared" ref="BN40:BN45" si="57">BU40-BM40</f>
        <v>-0.00205520936579107</v>
      </c>
      <c r="BO40" s="13">
        <f t="shared" ref="BO40:BO45" si="58">ABS(BN40/BU40)*100</f>
        <v>0.149703768232645</v>
      </c>
      <c r="BP40" s="59">
        <v>1.374906</v>
      </c>
      <c r="BQ40" s="59">
        <v>-0.00205520936579107</v>
      </c>
      <c r="BR40" s="59">
        <v>0.149703768232645</v>
      </c>
      <c r="BU40" s="13">
        <f t="shared" ref="BU40:BU45" si="59">LN(R40*2)</f>
        <v>1.37285079063421</v>
      </c>
      <c r="BV40" s="11">
        <f t="shared" ref="BV40:BV45" si="60">100-G40*100/AA40</f>
        <v>62.5</v>
      </c>
      <c r="BX40" s="13">
        <f t="shared" ref="BX40:BX45" si="61">Q40</f>
        <v>0.000140932408816731</v>
      </c>
      <c r="BY40" s="13" t="e">
        <f>Intens(P40,BJ40)</f>
        <v>#NAME?</v>
      </c>
      <c r="BZ40" s="13" t="e">
        <f t="shared" si="26"/>
        <v>#NAME?</v>
      </c>
      <c r="CA40" s="13" t="e">
        <f t="shared" si="27"/>
        <v>#NAME?</v>
      </c>
    </row>
    <row r="41" s="12" customFormat="1" ht="15.9" customHeight="1" spans="1:79">
      <c r="A41" s="27">
        <v>40</v>
      </c>
      <c r="B41" s="28" t="s">
        <v>129</v>
      </c>
      <c r="C41" s="29" t="s">
        <v>128</v>
      </c>
      <c r="D41" s="27">
        <v>180</v>
      </c>
      <c r="E41" s="27">
        <v>150</v>
      </c>
      <c r="F41" s="27" t="s">
        <v>45</v>
      </c>
      <c r="G41" s="27">
        <v>3.9</v>
      </c>
      <c r="H41" s="27" t="s">
        <v>46</v>
      </c>
      <c r="I41" s="27" t="s">
        <v>47</v>
      </c>
      <c r="J41" s="27" t="s">
        <v>53</v>
      </c>
      <c r="K41" s="27" t="s">
        <v>48</v>
      </c>
      <c r="L41" s="27" t="s">
        <v>49</v>
      </c>
      <c r="M41" s="27" t="s">
        <v>46</v>
      </c>
      <c r="N41" s="27">
        <v>85</v>
      </c>
      <c r="O41" s="37">
        <v>0.154861111111111</v>
      </c>
      <c r="P41" s="38">
        <v>27</v>
      </c>
      <c r="Q41" s="27">
        <f t="shared" si="49"/>
        <v>2.34887348027886e-5</v>
      </c>
      <c r="R41" s="27">
        <v>1.42964953025653</v>
      </c>
      <c r="S41" s="27">
        <v>1.05057651105715</v>
      </c>
      <c r="T41" s="44">
        <f t="shared" si="50"/>
        <v>13.3333333333333</v>
      </c>
      <c r="U41" s="27"/>
      <c r="V41" s="27">
        <v>1</v>
      </c>
      <c r="W41" s="27">
        <v>1</v>
      </c>
      <c r="X41" s="27"/>
      <c r="Y41" s="27">
        <v>1</v>
      </c>
      <c r="Z41" s="27" t="s">
        <v>54</v>
      </c>
      <c r="AA41" s="2">
        <v>4.5</v>
      </c>
      <c r="AC41" s="13">
        <f t="shared" si="29"/>
        <v>1.01256666666667</v>
      </c>
      <c r="AD41" s="13">
        <f t="shared" si="3"/>
        <v>0.0380098443904788</v>
      </c>
      <c r="AE41" s="13">
        <f t="shared" si="4"/>
        <v>3.75381154068659</v>
      </c>
      <c r="AF41" s="13">
        <f t="shared" si="5"/>
        <v>3.75381154068659</v>
      </c>
      <c r="AG41" s="2"/>
      <c r="AH41" s="13">
        <f>0.0059*T41+0.9331</f>
        <v>1.01176666666667</v>
      </c>
      <c r="AI41" s="13">
        <f t="shared" si="6"/>
        <v>-0.0388098443904787</v>
      </c>
      <c r="AJ41" s="13">
        <f t="shared" si="7"/>
        <v>3.835849279196</v>
      </c>
      <c r="AK41" s="12">
        <f t="shared" si="8"/>
        <v>3.835849279196</v>
      </c>
      <c r="AM41" s="13">
        <f t="shared" si="9"/>
        <v>1.01256666666667</v>
      </c>
      <c r="AN41" s="13">
        <f t="shared" si="10"/>
        <v>-0.0380098443904788</v>
      </c>
      <c r="AO41" s="13">
        <f t="shared" si="11"/>
        <v>3.75381154068659</v>
      </c>
      <c r="AP41" s="13">
        <f t="shared" si="12"/>
        <v>3.75381154068659</v>
      </c>
      <c r="AR41" s="13">
        <f t="shared" si="13"/>
        <v>1.02146666666667</v>
      </c>
      <c r="AS41" s="13">
        <f t="shared" si="14"/>
        <v>-0.0291098443904789</v>
      </c>
      <c r="AT41" s="13">
        <f t="shared" si="15"/>
        <v>2.84980854886558</v>
      </c>
      <c r="AU41" s="13">
        <f t="shared" si="16"/>
        <v>2.84980854886558</v>
      </c>
      <c r="AV41" s="58"/>
      <c r="AW41" s="11">
        <f t="shared" si="17"/>
        <v>13.3333333333333</v>
      </c>
      <c r="AX41" s="12">
        <f t="shared" si="30"/>
        <v>1.05057651105715</v>
      </c>
      <c r="AY41" s="13">
        <f>0.005867*AW41+0.933127293</f>
        <v>1.01135395966667</v>
      </c>
      <c r="AZ41" s="13">
        <f t="shared" si="18"/>
        <v>0.0392225513904789</v>
      </c>
      <c r="BA41" s="13">
        <f t="shared" si="19"/>
        <v>3.73343121397328</v>
      </c>
      <c r="BB41" s="13"/>
      <c r="BC41" s="27" t="s">
        <v>54</v>
      </c>
      <c r="BD41" s="13">
        <f>0.005867*AW41+0.933127293</f>
        <v>1.01135395966667</v>
      </c>
      <c r="BE41" s="13">
        <f t="shared" si="20"/>
        <v>0.0392225513904789</v>
      </c>
      <c r="BF41" s="13">
        <f t="shared" si="21"/>
        <v>3.73343121397328</v>
      </c>
      <c r="BG41" s="13">
        <f>0.005867*AW41+0.933127293</f>
        <v>1.01135395966667</v>
      </c>
      <c r="BH41" s="13">
        <f t="shared" si="22"/>
        <v>0.0392225513904789</v>
      </c>
      <c r="BI41" s="13">
        <f t="shared" si="23"/>
        <v>3.73343121397328</v>
      </c>
      <c r="BJ41" s="13">
        <f>0.005867*AW41+0.933127293</f>
        <v>1.01135395966667</v>
      </c>
      <c r="BK41" s="13">
        <f t="shared" si="24"/>
        <v>0.0392225513904789</v>
      </c>
      <c r="BL41" s="13">
        <f t="shared" si="25"/>
        <v>3.73343121397328</v>
      </c>
      <c r="BM41" s="13">
        <f>0.004939237*AW41+0.949185949</f>
        <v>1.01504244233333</v>
      </c>
      <c r="BN41" s="13">
        <f t="shared" si="57"/>
        <v>0.0355340687238122</v>
      </c>
      <c r="BO41" s="13">
        <f t="shared" si="58"/>
        <v>3.38233992001743</v>
      </c>
      <c r="BP41" s="59">
        <f>0.00433025*AW41+0.969221602</f>
        <v>1.02695826866667</v>
      </c>
      <c r="BQ41" s="59">
        <f>BU41-BP41</f>
        <v>0.0236182423904789</v>
      </c>
      <c r="BR41" s="59">
        <f>ABS(BQ41/BU41)*100</f>
        <v>2.24812206839776</v>
      </c>
      <c r="BU41" s="13">
        <f t="shared" si="59"/>
        <v>1.05057651105715</v>
      </c>
      <c r="BV41" s="11">
        <f t="shared" si="60"/>
        <v>13.3333333333333</v>
      </c>
      <c r="BX41" s="13">
        <f t="shared" si="61"/>
        <v>2.34887348027886e-5</v>
      </c>
      <c r="BY41" s="13" t="e">
        <f>Intens(P41,BJ41)</f>
        <v>#NAME?</v>
      </c>
      <c r="BZ41" s="13" t="e">
        <f t="shared" si="26"/>
        <v>#NAME?</v>
      </c>
      <c r="CA41" s="13" t="e">
        <f t="shared" si="27"/>
        <v>#NAME?</v>
      </c>
    </row>
    <row r="42" s="12" customFormat="1" ht="15.9" customHeight="1" spans="1:79">
      <c r="A42" s="27">
        <v>41</v>
      </c>
      <c r="B42" s="28" t="s">
        <v>129</v>
      </c>
      <c r="C42" s="29" t="s">
        <v>130</v>
      </c>
      <c r="D42" s="27">
        <v>180</v>
      </c>
      <c r="E42" s="27">
        <v>150</v>
      </c>
      <c r="F42" s="27" t="s">
        <v>45</v>
      </c>
      <c r="G42" s="27">
        <v>3.8</v>
      </c>
      <c r="H42" s="27" t="s">
        <v>46</v>
      </c>
      <c r="I42" s="27" t="s">
        <v>47</v>
      </c>
      <c r="J42" s="27" t="s">
        <v>46</v>
      </c>
      <c r="K42" s="27" t="s">
        <v>48</v>
      </c>
      <c r="L42" s="27" t="s">
        <v>49</v>
      </c>
      <c r="M42" s="27" t="s">
        <v>53</v>
      </c>
      <c r="N42" s="27">
        <v>70</v>
      </c>
      <c r="O42" s="37">
        <v>0.120138888888889</v>
      </c>
      <c r="P42" s="38">
        <v>27</v>
      </c>
      <c r="Q42" s="27">
        <f t="shared" si="49"/>
        <v>2.34887348027886e-5</v>
      </c>
      <c r="R42" s="27">
        <v>1.42964953025653</v>
      </c>
      <c r="S42" s="27">
        <v>1.05057651105715</v>
      </c>
      <c r="T42" s="44">
        <f t="shared" si="50"/>
        <v>15.5555555555556</v>
      </c>
      <c r="U42" s="27"/>
      <c r="V42" s="50">
        <v>1</v>
      </c>
      <c r="W42" s="50">
        <v>1</v>
      </c>
      <c r="X42" s="50">
        <v>1</v>
      </c>
      <c r="Y42" s="50"/>
      <c r="Z42" s="27" t="s">
        <v>78</v>
      </c>
      <c r="AA42" s="2">
        <v>4.5</v>
      </c>
      <c r="AC42" s="13">
        <f>0.0074*T42+0.9139+0.0215-0.01875</f>
        <v>1.03176111111111</v>
      </c>
      <c r="AD42" s="13">
        <f t="shared" si="3"/>
        <v>0.0188153999460343</v>
      </c>
      <c r="AE42" s="13">
        <f t="shared" si="4"/>
        <v>1.82361980340312</v>
      </c>
      <c r="AF42" s="13">
        <f t="shared" si="5"/>
        <v>1.82361980340312</v>
      </c>
      <c r="AG42" s="2"/>
      <c r="AH42" s="13">
        <f>0.0064*T42+0.9736</f>
        <v>1.07315555555556</v>
      </c>
      <c r="AI42" s="13">
        <f t="shared" si="6"/>
        <v>0.0225790444984102</v>
      </c>
      <c r="AJ42" s="13">
        <f t="shared" si="7"/>
        <v>2.10398617250985</v>
      </c>
      <c r="AK42" s="12">
        <f t="shared" si="8"/>
        <v>2.10398617250985</v>
      </c>
      <c r="AM42" s="13">
        <f t="shared" si="9"/>
        <v>1.02901111111111</v>
      </c>
      <c r="AN42" s="13">
        <f t="shared" si="10"/>
        <v>-0.0215653999460343</v>
      </c>
      <c r="AO42" s="13">
        <f t="shared" si="11"/>
        <v>2.09574024159451</v>
      </c>
      <c r="AP42" s="13">
        <f t="shared" si="12"/>
        <v>2.09574024159451</v>
      </c>
      <c r="AR42" s="13">
        <f t="shared" si="13"/>
        <v>1.03791111111111</v>
      </c>
      <c r="AS42" s="13">
        <f t="shared" si="14"/>
        <v>-0.0126653999460344</v>
      </c>
      <c r="AT42" s="13">
        <f t="shared" si="15"/>
        <v>1.22027790342044</v>
      </c>
      <c r="AU42" s="13">
        <f t="shared" si="16"/>
        <v>1.22027790342044</v>
      </c>
      <c r="AV42" s="58"/>
      <c r="AW42" s="11">
        <f t="shared" si="17"/>
        <v>15.5555555555556</v>
      </c>
      <c r="AX42" s="12">
        <f t="shared" si="30"/>
        <v>1.05057651105715</v>
      </c>
      <c r="AY42" s="12">
        <f>0.006413391*AW42+0.9735993</f>
        <v>1.07336316</v>
      </c>
      <c r="AZ42" s="13">
        <f t="shared" si="18"/>
        <v>-0.0227866489428545</v>
      </c>
      <c r="BA42" s="13">
        <f t="shared" si="19"/>
        <v>2.16896615363363</v>
      </c>
      <c r="BB42" s="13"/>
      <c r="BC42" s="27" t="s">
        <v>78</v>
      </c>
      <c r="BD42" s="12">
        <f>0.006413391*AW42+0.9735993</f>
        <v>1.07336316</v>
      </c>
      <c r="BE42" s="13">
        <f t="shared" si="20"/>
        <v>-0.0227866489428545</v>
      </c>
      <c r="BF42" s="13">
        <f t="shared" si="21"/>
        <v>2.16896615363363</v>
      </c>
      <c r="BG42" s="12">
        <f>0.006413391*AW42+0.9735993</f>
        <v>1.07336316</v>
      </c>
      <c r="BH42" s="13">
        <f t="shared" si="22"/>
        <v>-0.0227866489428545</v>
      </c>
      <c r="BI42" s="13">
        <f t="shared" si="23"/>
        <v>2.16896615363363</v>
      </c>
      <c r="BJ42" s="12">
        <f>0.006413391*AW42+0.9735993</f>
        <v>1.07336316</v>
      </c>
      <c r="BK42" s="13">
        <f t="shared" si="24"/>
        <v>-0.0227866489428545</v>
      </c>
      <c r="BL42" s="13">
        <f t="shared" si="25"/>
        <v>2.16896615363363</v>
      </c>
      <c r="BM42" s="12">
        <f>0.006413391*AW42+0.9735993</f>
        <v>1.07336316</v>
      </c>
      <c r="BN42" s="13">
        <f t="shared" si="57"/>
        <v>-0.0227866489428545</v>
      </c>
      <c r="BO42" s="13">
        <f t="shared" si="58"/>
        <v>2.16896615363363</v>
      </c>
      <c r="BP42" s="59">
        <v>1.07336316</v>
      </c>
      <c r="BQ42" s="59">
        <v>-0.0227866489428545</v>
      </c>
      <c r="BR42" s="59">
        <v>2.16896615363363</v>
      </c>
      <c r="BU42" s="13">
        <f t="shared" si="59"/>
        <v>1.05057651105715</v>
      </c>
      <c r="BV42" s="11">
        <f t="shared" si="60"/>
        <v>15.5555555555556</v>
      </c>
      <c r="BX42" s="13">
        <f t="shared" si="61"/>
        <v>2.34887348027886e-5</v>
      </c>
      <c r="BY42" s="13" t="e">
        <f>Intens(P42,BJ42)</f>
        <v>#NAME?</v>
      </c>
      <c r="BZ42" s="13" t="e">
        <f t="shared" si="26"/>
        <v>#NAME?</v>
      </c>
      <c r="CA42" s="13" t="e">
        <f t="shared" si="27"/>
        <v>#NAME?</v>
      </c>
    </row>
    <row r="43" s="12" customFormat="1" ht="15.9" customHeight="1" spans="1:79">
      <c r="A43" s="27">
        <v>42</v>
      </c>
      <c r="B43" s="28" t="s">
        <v>131</v>
      </c>
      <c r="C43" s="29" t="s">
        <v>132</v>
      </c>
      <c r="D43" s="27">
        <v>260</v>
      </c>
      <c r="E43" s="27">
        <v>150</v>
      </c>
      <c r="F43" s="27" t="s">
        <v>45</v>
      </c>
      <c r="G43" s="27">
        <v>4</v>
      </c>
      <c r="H43" s="27" t="s">
        <v>53</v>
      </c>
      <c r="I43" s="27" t="s">
        <v>47</v>
      </c>
      <c r="J43" s="27" t="s">
        <v>46</v>
      </c>
      <c r="K43" s="27" t="s">
        <v>48</v>
      </c>
      <c r="L43" s="27" t="s">
        <v>49</v>
      </c>
      <c r="M43" s="27" t="s">
        <v>46</v>
      </c>
      <c r="N43" s="27">
        <v>88</v>
      </c>
      <c r="O43" s="37">
        <v>0.165277777777778</v>
      </c>
      <c r="P43" s="38">
        <v>27</v>
      </c>
      <c r="Q43" s="27">
        <f t="shared" si="49"/>
        <v>1.62614317865459e-5</v>
      </c>
      <c r="R43" s="27">
        <v>1.3180770237656</v>
      </c>
      <c r="S43" s="27">
        <v>0.969321054815573</v>
      </c>
      <c r="T43" s="44">
        <f t="shared" si="50"/>
        <v>11.1111111111111</v>
      </c>
      <c r="U43" s="27"/>
      <c r="V43" s="27"/>
      <c r="W43" s="27">
        <v>1</v>
      </c>
      <c r="X43" s="27">
        <v>1</v>
      </c>
      <c r="Y43" s="27">
        <v>1</v>
      </c>
      <c r="Z43" s="27" t="s">
        <v>133</v>
      </c>
      <c r="AA43" s="2">
        <v>4.5</v>
      </c>
      <c r="AC43" s="13">
        <f>0.0074*T43+0.9139-0.01875+0.00372</f>
        <v>0.981092222222222</v>
      </c>
      <c r="AD43" s="13">
        <f t="shared" si="3"/>
        <v>-0.011771167406649</v>
      </c>
      <c r="AE43" s="13">
        <f t="shared" si="4"/>
        <v>1.19980233662302</v>
      </c>
      <c r="AF43" s="13">
        <f t="shared" si="5"/>
        <v>1.19980233662302</v>
      </c>
      <c r="AG43" s="2"/>
      <c r="AH43" s="13">
        <f>0.0074*T43+0.8872</f>
        <v>0.969422222222222</v>
      </c>
      <c r="AI43" s="13">
        <f t="shared" si="6"/>
        <v>0.000101167406648894</v>
      </c>
      <c r="AJ43" s="13">
        <f t="shared" si="7"/>
        <v>0.0104358456335967</v>
      </c>
      <c r="AK43" s="12">
        <f t="shared" si="8"/>
        <v>0.0104358456335967</v>
      </c>
      <c r="AM43" s="13">
        <f t="shared" si="9"/>
        <v>0.996122222222222</v>
      </c>
      <c r="AN43" s="13">
        <f t="shared" si="10"/>
        <v>0.0268011674066491</v>
      </c>
      <c r="AO43" s="13">
        <f t="shared" si="11"/>
        <v>2.69055009603732</v>
      </c>
      <c r="AP43" s="13">
        <f t="shared" si="12"/>
        <v>2.69055009603732</v>
      </c>
      <c r="AR43" s="13">
        <f t="shared" si="13"/>
        <v>1.00502222222222</v>
      </c>
      <c r="AS43" s="13">
        <f t="shared" si="14"/>
        <v>0.035701167406649</v>
      </c>
      <c r="AT43" s="13">
        <f t="shared" si="15"/>
        <v>3.55227641909345</v>
      </c>
      <c r="AU43" s="13">
        <f t="shared" si="16"/>
        <v>3.55227641909345</v>
      </c>
      <c r="AV43" s="58"/>
      <c r="AW43" s="11">
        <f t="shared" si="17"/>
        <v>11.1111111111111</v>
      </c>
      <c r="AX43" s="12">
        <f t="shared" si="30"/>
        <v>0.969321054815573</v>
      </c>
      <c r="AY43" s="12">
        <f>0.0074*AW43+0.887</f>
        <v>0.969222222222222</v>
      </c>
      <c r="AZ43" s="13">
        <f t="shared" si="18"/>
        <v>9.88325933510836e-5</v>
      </c>
      <c r="BA43" s="13">
        <f t="shared" si="19"/>
        <v>0.0101960638180802</v>
      </c>
      <c r="BB43" s="13"/>
      <c r="BC43" s="27" t="s">
        <v>133</v>
      </c>
      <c r="BD43" s="12">
        <f>0.0074*AW43+0.887</f>
        <v>0.969222222222222</v>
      </c>
      <c r="BE43" s="13">
        <f t="shared" si="20"/>
        <v>9.88325933510836e-5</v>
      </c>
      <c r="BF43" s="13">
        <f t="shared" si="21"/>
        <v>0.0101960638180802</v>
      </c>
      <c r="BG43" s="12">
        <f>0.0074*AW43+0.887</f>
        <v>0.969222222222222</v>
      </c>
      <c r="BH43" s="13">
        <f t="shared" si="22"/>
        <v>9.88325933510836e-5</v>
      </c>
      <c r="BI43" s="13">
        <f t="shared" si="23"/>
        <v>0.0101960638180802</v>
      </c>
      <c r="BJ43" s="12">
        <f>0.007037131*AW43+0.89121</f>
        <v>0.969400344444444</v>
      </c>
      <c r="BK43" s="13">
        <f t="shared" si="24"/>
        <v>-7.92896288711598e-5</v>
      </c>
      <c r="BL43" s="13">
        <f t="shared" si="25"/>
        <v>0.00817991402097891</v>
      </c>
      <c r="BM43" s="12">
        <f>0.007037131*AW43+0.89121</f>
        <v>0.969400344444444</v>
      </c>
      <c r="BN43" s="13">
        <f t="shared" si="57"/>
        <v>-7.92896288711598e-5</v>
      </c>
      <c r="BO43" s="13">
        <f t="shared" si="58"/>
        <v>0.00817991402097891</v>
      </c>
      <c r="BP43" s="59">
        <v>0.969400344444444</v>
      </c>
      <c r="BQ43" s="59">
        <v>-7.92896288711598e-5</v>
      </c>
      <c r="BR43" s="59">
        <v>0.00817991402097891</v>
      </c>
      <c r="BU43" s="13">
        <f t="shared" si="59"/>
        <v>0.969321054815573</v>
      </c>
      <c r="BV43" s="11">
        <f t="shared" si="60"/>
        <v>11.1111111111111</v>
      </c>
      <c r="BX43" s="13">
        <f t="shared" si="61"/>
        <v>1.62614317865459e-5</v>
      </c>
      <c r="BY43" s="13" t="e">
        <f>Intens(P43,BJ43)</f>
        <v>#NAME?</v>
      </c>
      <c r="BZ43" s="13" t="e">
        <f t="shared" si="26"/>
        <v>#NAME?</v>
      </c>
      <c r="CA43" s="13" t="e">
        <f t="shared" si="27"/>
        <v>#NAME?</v>
      </c>
    </row>
    <row r="44" s="12" customFormat="1" ht="15.9" customHeight="1" spans="1:79">
      <c r="A44" s="27">
        <v>43</v>
      </c>
      <c r="B44" s="28" t="s">
        <v>134</v>
      </c>
      <c r="C44" s="29" t="s">
        <v>135</v>
      </c>
      <c r="D44" s="27">
        <v>170</v>
      </c>
      <c r="E44" s="27">
        <v>100</v>
      </c>
      <c r="F44" s="27" t="s">
        <v>45</v>
      </c>
      <c r="G44" s="27">
        <v>3.1</v>
      </c>
      <c r="H44" s="27" t="s">
        <v>46</v>
      </c>
      <c r="I44" s="27" t="s">
        <v>47</v>
      </c>
      <c r="J44" s="27" t="s">
        <v>53</v>
      </c>
      <c r="K44" s="27" t="s">
        <v>48</v>
      </c>
      <c r="L44" s="27" t="s">
        <v>49</v>
      </c>
      <c r="M44" s="27" t="s">
        <v>46</v>
      </c>
      <c r="N44" s="27">
        <v>85</v>
      </c>
      <c r="O44" s="37">
        <v>0.148611111111111</v>
      </c>
      <c r="P44" s="38">
        <v>27</v>
      </c>
      <c r="Q44" s="27">
        <f t="shared" si="49"/>
        <v>2.48704250853056e-5</v>
      </c>
      <c r="R44" s="27">
        <v>1.44699214039283</v>
      </c>
      <c r="S44" s="27">
        <v>1.06263419653789</v>
      </c>
      <c r="T44" s="44">
        <f t="shared" si="50"/>
        <v>22.5</v>
      </c>
      <c r="U44" s="27"/>
      <c r="V44" s="49">
        <v>1</v>
      </c>
      <c r="W44" s="49">
        <v>1</v>
      </c>
      <c r="X44" s="49"/>
      <c r="Y44" s="49">
        <v>1</v>
      </c>
      <c r="Z44" s="27" t="s">
        <v>54</v>
      </c>
      <c r="AA44" s="2">
        <v>4</v>
      </c>
      <c r="AC44" s="13">
        <f t="shared" si="29"/>
        <v>1.0804</v>
      </c>
      <c r="AD44" s="13">
        <f t="shared" si="3"/>
        <v>-0.0177658034621062</v>
      </c>
      <c r="AE44" s="13">
        <f t="shared" si="4"/>
        <v>1.64437277509313</v>
      </c>
      <c r="AF44" s="13">
        <f t="shared" si="5"/>
        <v>1.64437277509313</v>
      </c>
      <c r="AG44" s="2"/>
      <c r="AH44" s="13">
        <f>0.0059*T44+0.9331</f>
        <v>1.06585</v>
      </c>
      <c r="AI44" s="13">
        <f t="shared" si="6"/>
        <v>0.00321580346210615</v>
      </c>
      <c r="AJ44" s="13">
        <f t="shared" si="7"/>
        <v>0.301712573261355</v>
      </c>
      <c r="AK44" s="12">
        <f t="shared" si="8"/>
        <v>0.301712573261355</v>
      </c>
      <c r="AM44" s="13">
        <f t="shared" si="9"/>
        <v>1.0804</v>
      </c>
      <c r="AN44" s="13">
        <f t="shared" si="10"/>
        <v>0.0177658034621062</v>
      </c>
      <c r="AO44" s="13">
        <f t="shared" si="11"/>
        <v>1.64437277509313</v>
      </c>
      <c r="AP44" s="13">
        <f t="shared" si="12"/>
        <v>1.64437277509313</v>
      </c>
      <c r="AR44" s="13">
        <f t="shared" si="13"/>
        <v>1.0893</v>
      </c>
      <c r="AS44" s="13">
        <f t="shared" si="14"/>
        <v>0.0266658034621061</v>
      </c>
      <c r="AT44" s="13">
        <f t="shared" si="15"/>
        <v>2.4479760820808</v>
      </c>
      <c r="AU44" s="13">
        <f t="shared" si="16"/>
        <v>2.4479760820808</v>
      </c>
      <c r="AV44" s="58"/>
      <c r="AW44" s="11">
        <f t="shared" si="17"/>
        <v>22.5</v>
      </c>
      <c r="AX44" s="12">
        <f t="shared" si="30"/>
        <v>1.06263419653789</v>
      </c>
      <c r="AY44" s="13">
        <f>0.005867*AW44+0.933127293</f>
        <v>1.065134793</v>
      </c>
      <c r="AZ44" s="13">
        <f t="shared" si="18"/>
        <v>-0.0025005964621061</v>
      </c>
      <c r="BA44" s="13">
        <f t="shared" si="19"/>
        <v>0.235320533656186</v>
      </c>
      <c r="BB44" s="13"/>
      <c r="BC44" s="27" t="s">
        <v>54</v>
      </c>
      <c r="BD44" s="13">
        <f>0.005867*AW44+0.933127293</f>
        <v>1.065134793</v>
      </c>
      <c r="BE44" s="13">
        <f t="shared" si="20"/>
        <v>-0.0025005964621061</v>
      </c>
      <c r="BF44" s="13">
        <f t="shared" si="21"/>
        <v>0.235320533656186</v>
      </c>
      <c r="BG44" s="13">
        <f>0.005867*AW44+0.933127293</f>
        <v>1.065134793</v>
      </c>
      <c r="BH44" s="13">
        <f t="shared" si="22"/>
        <v>-0.0025005964621061</v>
      </c>
      <c r="BI44" s="13">
        <f t="shared" si="23"/>
        <v>0.235320533656186</v>
      </c>
      <c r="BJ44" s="13">
        <f>0.005867*AW44+0.933127293</f>
        <v>1.065134793</v>
      </c>
      <c r="BK44" s="13">
        <f t="shared" si="24"/>
        <v>-0.0025005964621061</v>
      </c>
      <c r="BL44" s="13">
        <f t="shared" si="25"/>
        <v>0.235320533656186</v>
      </c>
      <c r="BM44" s="13">
        <f>0.004939237*AW44+0.949185949</f>
        <v>1.0603187815</v>
      </c>
      <c r="BN44" s="13">
        <f t="shared" si="57"/>
        <v>0.0023154150378939</v>
      </c>
      <c r="BO44" s="13">
        <f t="shared" si="58"/>
        <v>0.21789389476055</v>
      </c>
      <c r="BP44" s="59">
        <f>0.00433025*AW44+0.969221602</f>
        <v>1.066652227</v>
      </c>
      <c r="BQ44" s="59">
        <f>BU44-BP44</f>
        <v>-0.00401803046210625</v>
      </c>
      <c r="BR44" s="59">
        <f>ABS(BQ44/BU44)*100</f>
        <v>0.378119815379286</v>
      </c>
      <c r="BU44" s="13">
        <f t="shared" si="59"/>
        <v>1.06263419653789</v>
      </c>
      <c r="BV44" s="11">
        <f t="shared" si="60"/>
        <v>22.5</v>
      </c>
      <c r="BX44" s="13">
        <f t="shared" si="61"/>
        <v>2.48704250853056e-5</v>
      </c>
      <c r="BY44" s="13" t="e">
        <f>Intens(P44,BJ44)</f>
        <v>#NAME?</v>
      </c>
      <c r="BZ44" s="13" t="e">
        <f t="shared" si="26"/>
        <v>#NAME?</v>
      </c>
      <c r="CA44" s="13" t="e">
        <f t="shared" si="27"/>
        <v>#NAME?</v>
      </c>
    </row>
    <row r="45" s="12" customFormat="1" ht="15.9" customHeight="1" spans="1:79">
      <c r="A45" s="27">
        <v>44</v>
      </c>
      <c r="B45" s="28" t="s">
        <v>136</v>
      </c>
      <c r="C45" s="29" t="s">
        <v>137</v>
      </c>
      <c r="D45" s="27">
        <v>245</v>
      </c>
      <c r="E45" s="27">
        <v>100</v>
      </c>
      <c r="F45" s="27">
        <v>1999</v>
      </c>
      <c r="G45" s="27">
        <v>2.6</v>
      </c>
      <c r="H45" s="27" t="s">
        <v>53</v>
      </c>
      <c r="I45" s="27" t="s">
        <v>57</v>
      </c>
      <c r="J45" s="27" t="s">
        <v>53</v>
      </c>
      <c r="K45" s="27" t="s">
        <v>48</v>
      </c>
      <c r="L45" s="27" t="s">
        <v>49</v>
      </c>
      <c r="M45" s="27" t="s">
        <v>53</v>
      </c>
      <c r="N45" s="27">
        <v>75</v>
      </c>
      <c r="O45" s="37">
        <v>0.297222222222222</v>
      </c>
      <c r="P45" s="38">
        <v>17</v>
      </c>
      <c r="Q45" s="27">
        <f t="shared" si="49"/>
        <v>2.7408223563398e-5</v>
      </c>
      <c r="R45" s="27">
        <v>1.55427415195153</v>
      </c>
      <c r="S45" s="27">
        <v>1.13415583390299</v>
      </c>
      <c r="T45" s="44">
        <f t="shared" si="50"/>
        <v>35</v>
      </c>
      <c r="U45" s="27"/>
      <c r="V45" s="32"/>
      <c r="W45" s="32"/>
      <c r="X45" s="32"/>
      <c r="Y45" s="32"/>
      <c r="Z45" s="27" t="s">
        <v>58</v>
      </c>
      <c r="AA45" s="2">
        <v>4</v>
      </c>
      <c r="AC45" s="13">
        <f>0.0074*T45+0.9139+0.00372+0.0021+0.0215</f>
        <v>1.20022</v>
      </c>
      <c r="AD45" s="13">
        <f t="shared" si="3"/>
        <v>-0.0660641660970118</v>
      </c>
      <c r="AE45" s="13">
        <f t="shared" si="4"/>
        <v>5.5043380461092</v>
      </c>
      <c r="AF45" s="13">
        <f t="shared" si="5"/>
        <v>5.5043380461092</v>
      </c>
      <c r="AG45" s="2"/>
      <c r="AH45" s="13">
        <f>0.0058*T45+1.0043</f>
        <v>1.2073</v>
      </c>
      <c r="AI45" s="13">
        <f t="shared" si="6"/>
        <v>0.0731441660970118</v>
      </c>
      <c r="AJ45" s="13">
        <f t="shared" si="7"/>
        <v>6.05849135235747</v>
      </c>
      <c r="AK45" s="12">
        <f t="shared" si="8"/>
        <v>6.05849135235747</v>
      </c>
      <c r="AM45" s="13">
        <f t="shared" si="9"/>
        <v>1.1729</v>
      </c>
      <c r="AN45" s="13">
        <f t="shared" si="10"/>
        <v>0.0387441660970118</v>
      </c>
      <c r="AO45" s="13">
        <f t="shared" si="11"/>
        <v>3.30327957174625</v>
      </c>
      <c r="AP45" s="13">
        <f t="shared" si="12"/>
        <v>3.30327957174625</v>
      </c>
      <c r="AR45" s="13">
        <f t="shared" si="13"/>
        <v>1.1818</v>
      </c>
      <c r="AS45" s="13">
        <f t="shared" si="14"/>
        <v>0.0476441660970117</v>
      </c>
      <c r="AT45" s="13">
        <f t="shared" si="15"/>
        <v>4.03149146192348</v>
      </c>
      <c r="AU45" s="13">
        <f t="shared" si="16"/>
        <v>4.03149146192348</v>
      </c>
      <c r="AV45" s="58"/>
      <c r="AW45" s="11">
        <f t="shared" si="17"/>
        <v>35</v>
      </c>
      <c r="AX45" s="12">
        <f t="shared" si="30"/>
        <v>1.13415583390299</v>
      </c>
      <c r="AY45" s="13">
        <f>0.0062266*AW45+0.9484024</f>
        <v>1.1663334</v>
      </c>
      <c r="AZ45" s="13">
        <f t="shared" si="18"/>
        <v>-0.0321775660970118</v>
      </c>
      <c r="BA45" s="13">
        <f t="shared" si="19"/>
        <v>2.83713799595587</v>
      </c>
      <c r="BB45" s="13"/>
      <c r="BC45" s="27" t="s">
        <v>58</v>
      </c>
      <c r="BD45" s="13">
        <f>0.0062266*AW45+0.9484024</f>
        <v>1.1663334</v>
      </c>
      <c r="BE45" s="13">
        <f t="shared" si="20"/>
        <v>-0.0321775660970118</v>
      </c>
      <c r="BF45" s="13">
        <f t="shared" si="21"/>
        <v>2.83713799595587</v>
      </c>
      <c r="BG45" s="13">
        <f>0.006554648*AW45+0.928046135</f>
        <v>1.157458815</v>
      </c>
      <c r="BH45" s="13">
        <f t="shared" si="22"/>
        <v>-0.0233029810970118</v>
      </c>
      <c r="BI45" s="13">
        <f t="shared" si="23"/>
        <v>2.05465425477016</v>
      </c>
      <c r="BJ45" s="13">
        <f>0.006889744*AW45+0.905045926</f>
        <v>1.146186966</v>
      </c>
      <c r="BK45" s="13">
        <f t="shared" si="24"/>
        <v>-0.0120311320970117</v>
      </c>
      <c r="BL45" s="13">
        <f t="shared" si="25"/>
        <v>1.06080061816627</v>
      </c>
      <c r="BM45" s="12">
        <f>0.006889744*AW45+0.905045926</f>
        <v>1.146186966</v>
      </c>
      <c r="BN45" s="13">
        <f t="shared" si="57"/>
        <v>-0.0120311320970117</v>
      </c>
      <c r="BO45" s="13">
        <f t="shared" si="58"/>
        <v>1.06080061816627</v>
      </c>
      <c r="BP45" s="59">
        <v>1.146186966</v>
      </c>
      <c r="BQ45" s="59">
        <v>-0.0120311320970117</v>
      </c>
      <c r="BR45" s="59">
        <v>1.06080061816627</v>
      </c>
      <c r="BU45" s="13">
        <f t="shared" si="59"/>
        <v>1.13415583390299</v>
      </c>
      <c r="BV45" s="11">
        <f t="shared" si="60"/>
        <v>35</v>
      </c>
      <c r="BX45" s="13">
        <f t="shared" si="61"/>
        <v>2.7408223563398e-5</v>
      </c>
      <c r="BY45" s="13" t="e">
        <f>Intens(P45,BJ45)</f>
        <v>#NAME?</v>
      </c>
      <c r="BZ45" s="13" t="e">
        <f t="shared" si="26"/>
        <v>#NAME?</v>
      </c>
      <c r="CA45" s="13" t="e">
        <f t="shared" si="27"/>
        <v>#NAME?</v>
      </c>
    </row>
    <row r="46" s="12" customFormat="1" ht="15.9" customHeight="1" spans="1:79">
      <c r="A46" s="27">
        <v>45</v>
      </c>
      <c r="B46" s="28" t="s">
        <v>138</v>
      </c>
      <c r="C46" s="29" t="s">
        <v>126</v>
      </c>
      <c r="D46" s="27">
        <v>310</v>
      </c>
      <c r="E46" s="27">
        <v>100</v>
      </c>
      <c r="F46" s="27" t="s">
        <v>45</v>
      </c>
      <c r="G46" s="27">
        <v>3.3</v>
      </c>
      <c r="H46" s="27" t="s">
        <v>46</v>
      </c>
      <c r="I46" s="27" t="s">
        <v>47</v>
      </c>
      <c r="J46" s="27" t="s">
        <v>46</v>
      </c>
      <c r="K46" s="27" t="s">
        <v>48</v>
      </c>
      <c r="L46" s="27" t="s">
        <v>49</v>
      </c>
      <c r="M46" s="27" t="s">
        <v>53</v>
      </c>
      <c r="N46" s="27">
        <v>85</v>
      </c>
      <c r="O46" s="37">
        <v>0.0659722222222222</v>
      </c>
      <c r="P46" s="38">
        <v>27</v>
      </c>
      <c r="Q46" s="27">
        <f t="shared" si="49"/>
        <v>1.36386202080708e-5</v>
      </c>
      <c r="R46" s="27">
        <v>1.26470949569468</v>
      </c>
      <c r="S46" s="27">
        <v>0.927989628694177</v>
      </c>
      <c r="T46" s="44">
        <f t="shared" si="50"/>
        <v>17.5</v>
      </c>
      <c r="U46" s="27"/>
      <c r="V46" s="50">
        <v>1</v>
      </c>
      <c r="W46" s="50">
        <v>1</v>
      </c>
      <c r="X46" s="50">
        <v>1</v>
      </c>
      <c r="Y46" s="50"/>
      <c r="Z46" s="27" t="s">
        <v>78</v>
      </c>
      <c r="AA46" s="2">
        <v>4</v>
      </c>
      <c r="AC46" s="13">
        <f>0.0074*T46+0.9139-0.01875+0.0215</f>
        <v>1.04615</v>
      </c>
      <c r="AD46" s="13">
        <f t="shared" si="3"/>
        <v>-0.118160371305823</v>
      </c>
      <c r="AE46" s="13">
        <f t="shared" si="4"/>
        <v>11.2947828997585</v>
      </c>
      <c r="AF46" s="13"/>
      <c r="AG46" s="2"/>
      <c r="AH46" s="13">
        <f>0.0064*T46+0.9736</f>
        <v>1.0856</v>
      </c>
      <c r="AI46" s="13">
        <f t="shared" si="6"/>
        <v>0.157610371305823</v>
      </c>
      <c r="AJ46" s="13">
        <f t="shared" si="7"/>
        <v>14.5182729647958</v>
      </c>
      <c r="AM46" s="13">
        <f t="shared" si="9"/>
        <v>1.0434</v>
      </c>
      <c r="AN46" s="13">
        <f t="shared" si="10"/>
        <v>0.115410371305823</v>
      </c>
      <c r="AO46" s="13">
        <f t="shared" si="11"/>
        <v>11.0609901577366</v>
      </c>
      <c r="AP46" s="13"/>
      <c r="AR46" s="13">
        <f t="shared" si="13"/>
        <v>1.0523</v>
      </c>
      <c r="AS46" s="13">
        <f t="shared" si="14"/>
        <v>0.124310371305823</v>
      </c>
      <c r="AT46" s="13">
        <f t="shared" si="15"/>
        <v>11.81320643408</v>
      </c>
      <c r="AU46" s="13"/>
      <c r="AV46" s="58"/>
      <c r="AW46" s="11"/>
      <c r="AZ46" s="13"/>
      <c r="BA46" s="13"/>
      <c r="BB46" s="13"/>
      <c r="BC46" s="27" t="s">
        <v>78</v>
      </c>
      <c r="BE46" s="13"/>
      <c r="BF46" s="13"/>
      <c r="BH46" s="13"/>
      <c r="BI46" s="13"/>
      <c r="BK46" s="13"/>
      <c r="BL46" s="13"/>
      <c r="BN46" s="13"/>
      <c r="BO46" s="13"/>
      <c r="BP46" s="59"/>
      <c r="BQ46" s="59"/>
      <c r="BR46" s="59"/>
      <c r="BU46" s="13"/>
      <c r="BV46" s="11"/>
      <c r="BX46" s="13"/>
      <c r="BY46" s="13"/>
      <c r="BZ46" s="13"/>
      <c r="CA46" s="13"/>
    </row>
    <row r="47" s="12" customFormat="1" ht="15.9" customHeight="1" spans="1:79">
      <c r="A47" s="27">
        <v>46</v>
      </c>
      <c r="B47" s="28" t="s">
        <v>139</v>
      </c>
      <c r="C47" s="29" t="s">
        <v>128</v>
      </c>
      <c r="D47" s="27">
        <v>370</v>
      </c>
      <c r="E47" s="27">
        <v>150</v>
      </c>
      <c r="F47" s="27" t="s">
        <v>45</v>
      </c>
      <c r="G47" s="27">
        <v>4.1</v>
      </c>
      <c r="H47" s="27" t="s">
        <v>46</v>
      </c>
      <c r="I47" s="27" t="s">
        <v>57</v>
      </c>
      <c r="J47" s="27" t="s">
        <v>46</v>
      </c>
      <c r="K47" s="27" t="s">
        <v>48</v>
      </c>
      <c r="L47" s="27" t="s">
        <v>49</v>
      </c>
      <c r="M47" s="27" t="s">
        <v>46</v>
      </c>
      <c r="N47" s="27">
        <v>88</v>
      </c>
      <c r="O47" s="37">
        <v>0.208333333333333</v>
      </c>
      <c r="P47" s="38">
        <v>27</v>
      </c>
      <c r="Q47" s="27">
        <f t="shared" si="49"/>
        <v>1.14269520662215e-5</v>
      </c>
      <c r="R47" s="27">
        <v>1.21102640537426</v>
      </c>
      <c r="S47" s="27">
        <v>0.884615449496208</v>
      </c>
      <c r="T47" s="44">
        <f t="shared" si="50"/>
        <v>8.8888888888889</v>
      </c>
      <c r="U47" s="27"/>
      <c r="V47" s="47">
        <v>1</v>
      </c>
      <c r="W47" s="47"/>
      <c r="X47" s="47">
        <v>1</v>
      </c>
      <c r="Y47" s="47">
        <v>1</v>
      </c>
      <c r="Z47" s="27" t="s">
        <v>65</v>
      </c>
      <c r="AA47" s="2">
        <v>4.5</v>
      </c>
      <c r="AC47" s="13">
        <f>0.0074*T47+0.9139-0.01875+0.0021</f>
        <v>0.963027777777778</v>
      </c>
      <c r="AD47" s="13">
        <f t="shared" si="3"/>
        <v>-0.0784123282815694</v>
      </c>
      <c r="AE47" s="13">
        <f t="shared" si="4"/>
        <v>8.14227066871412</v>
      </c>
      <c r="AF47" s="13">
        <f t="shared" si="5"/>
        <v>8.14227066871412</v>
      </c>
      <c r="AG47" s="2"/>
      <c r="AH47" s="13">
        <f>0.0096*T47+0.808</f>
        <v>0.893333333333334</v>
      </c>
      <c r="AI47" s="13">
        <f t="shared" si="6"/>
        <v>0.00871788383712513</v>
      </c>
      <c r="AJ47" s="13">
        <f t="shared" si="7"/>
        <v>0.975882519081171</v>
      </c>
      <c r="AK47" s="12">
        <f t="shared" si="8"/>
        <v>0.975882519081171</v>
      </c>
      <c r="AM47" s="13">
        <f t="shared" si="9"/>
        <v>0.979677777777778</v>
      </c>
      <c r="AN47" s="13">
        <f t="shared" si="10"/>
        <v>0.0950623282815695</v>
      </c>
      <c r="AO47" s="13">
        <f t="shared" si="11"/>
        <v>9.703428049292</v>
      </c>
      <c r="AP47" s="13">
        <f t="shared" si="12"/>
        <v>9.703428049292</v>
      </c>
      <c r="AR47" s="13">
        <f t="shared" si="13"/>
        <v>0.988577777777778</v>
      </c>
      <c r="AS47" s="13">
        <f t="shared" si="14"/>
        <v>0.103962328281569</v>
      </c>
      <c r="AT47" s="13">
        <f t="shared" si="15"/>
        <v>10.516352948502</v>
      </c>
      <c r="AU47" s="13">
        <f t="shared" si="16"/>
        <v>10.516352948502</v>
      </c>
      <c r="AV47" s="58"/>
      <c r="AW47" s="11">
        <f t="shared" si="17"/>
        <v>8.8888888888889</v>
      </c>
      <c r="AX47" s="12">
        <f t="shared" si="30"/>
        <v>0.884615449496208</v>
      </c>
      <c r="AY47" s="12">
        <f t="shared" ref="AY47:AY48" si="62">0.00910123*AW47+0.86365767</f>
        <v>0.944557492222222</v>
      </c>
      <c r="AZ47" s="13">
        <f t="shared" si="18"/>
        <v>-0.059942042726014</v>
      </c>
      <c r="BA47" s="13">
        <f t="shared" si="19"/>
        <v>6.77605650683031</v>
      </c>
      <c r="BB47" s="13"/>
      <c r="BC47" s="27" t="s">
        <v>65</v>
      </c>
      <c r="BE47" s="13"/>
      <c r="BF47" s="13"/>
      <c r="BH47" s="13"/>
      <c r="BI47" s="13"/>
      <c r="BK47" s="13"/>
      <c r="BL47" s="13"/>
      <c r="BN47" s="13"/>
      <c r="BO47" s="13"/>
      <c r="BP47" s="59"/>
      <c r="BQ47" s="59"/>
      <c r="BR47" s="59"/>
      <c r="BU47" s="13"/>
      <c r="BV47" s="11"/>
      <c r="BX47" s="13"/>
      <c r="BY47" s="13"/>
      <c r="BZ47" s="13"/>
      <c r="CA47" s="13"/>
    </row>
    <row r="48" s="12" customFormat="1" ht="15.9" customHeight="1" spans="1:79">
      <c r="A48" s="27">
        <v>47</v>
      </c>
      <c r="B48" s="28" t="s">
        <v>140</v>
      </c>
      <c r="C48" s="29" t="s">
        <v>141</v>
      </c>
      <c r="D48" s="27">
        <v>90</v>
      </c>
      <c r="E48" s="27">
        <v>80</v>
      </c>
      <c r="F48" s="27" t="s">
        <v>45</v>
      </c>
      <c r="G48" s="27">
        <v>2.5</v>
      </c>
      <c r="H48" s="27" t="s">
        <v>46</v>
      </c>
      <c r="I48" s="27" t="s">
        <v>57</v>
      </c>
      <c r="J48" s="27" t="s">
        <v>46</v>
      </c>
      <c r="K48" s="27" t="s">
        <v>48</v>
      </c>
      <c r="L48" s="27" t="s">
        <v>49</v>
      </c>
      <c r="M48" s="27" t="s">
        <v>46</v>
      </c>
      <c r="N48" s="27">
        <v>90</v>
      </c>
      <c r="O48" s="37">
        <v>0.135416666666667</v>
      </c>
      <c r="P48" s="38">
        <v>27</v>
      </c>
      <c r="Q48" s="27">
        <f t="shared" si="49"/>
        <v>4.69774696055772e-5</v>
      </c>
      <c r="R48" s="27">
        <v>1.63995944811369</v>
      </c>
      <c r="S48" s="27">
        <v>1.18781869533039</v>
      </c>
      <c r="T48" s="44">
        <f t="shared" si="50"/>
        <v>37.5</v>
      </c>
      <c r="U48" s="27"/>
      <c r="V48" s="47">
        <v>1</v>
      </c>
      <c r="W48" s="47"/>
      <c r="X48" s="47">
        <v>1</v>
      </c>
      <c r="Y48" s="47">
        <v>1</v>
      </c>
      <c r="Z48" s="27" t="s">
        <v>65</v>
      </c>
      <c r="AA48" s="2">
        <v>4</v>
      </c>
      <c r="AC48" s="13">
        <f>0.0074*T48+0.9139-0.01875+0.0021</f>
        <v>1.17475</v>
      </c>
      <c r="AD48" s="13">
        <f t="shared" si="3"/>
        <v>0.0130686953303945</v>
      </c>
      <c r="AE48" s="13">
        <f t="shared" si="4"/>
        <v>1.11246608473245</v>
      </c>
      <c r="AF48" s="13">
        <f t="shared" si="5"/>
        <v>1.11246608473245</v>
      </c>
      <c r="AG48" s="2"/>
      <c r="AH48" s="13">
        <f>0.0096*T48+0.808</f>
        <v>1.168</v>
      </c>
      <c r="AI48" s="13">
        <f t="shared" si="6"/>
        <v>-0.0198186953303943</v>
      </c>
      <c r="AJ48" s="13">
        <f t="shared" si="7"/>
        <v>1.6968061070543</v>
      </c>
      <c r="AK48" s="12">
        <f t="shared" si="8"/>
        <v>1.6968061070543</v>
      </c>
      <c r="AM48" s="13">
        <f t="shared" si="9"/>
        <v>1.1914</v>
      </c>
      <c r="AN48" s="13">
        <f t="shared" si="10"/>
        <v>0.0035813046696056</v>
      </c>
      <c r="AO48" s="13">
        <f t="shared" si="11"/>
        <v>0.300596329495182</v>
      </c>
      <c r="AP48" s="13">
        <f t="shared" si="12"/>
        <v>0.300596329495182</v>
      </c>
      <c r="AR48" s="13">
        <f t="shared" si="13"/>
        <v>1.2003</v>
      </c>
      <c r="AS48" s="13">
        <f t="shared" si="14"/>
        <v>0.0124813046696055</v>
      </c>
      <c r="AT48" s="13">
        <f t="shared" si="15"/>
        <v>1.03984876027706</v>
      </c>
      <c r="AU48" s="13">
        <f t="shared" si="16"/>
        <v>1.03984876027706</v>
      </c>
      <c r="AV48" s="58"/>
      <c r="AW48" s="11">
        <f t="shared" si="17"/>
        <v>37.5</v>
      </c>
      <c r="AX48" s="12">
        <f t="shared" si="30"/>
        <v>1.18781869533039</v>
      </c>
      <c r="AY48" s="12">
        <f t="shared" si="62"/>
        <v>1.204953795</v>
      </c>
      <c r="AZ48" s="13">
        <f t="shared" si="18"/>
        <v>-0.0171350996696056</v>
      </c>
      <c r="BA48" s="13">
        <f t="shared" si="19"/>
        <v>1.44256861227794</v>
      </c>
      <c r="BB48" s="13"/>
      <c r="BC48" s="27" t="s">
        <v>65</v>
      </c>
      <c r="BD48" s="12">
        <f t="shared" ref="BD48" si="63">0.006645157*AW48+0.964808634</f>
        <v>1.2140020215</v>
      </c>
      <c r="BE48" s="13">
        <f t="shared" si="20"/>
        <v>-0.0261833261696056</v>
      </c>
      <c r="BF48" s="13">
        <f t="shared" si="21"/>
        <v>2.2043200930023</v>
      </c>
      <c r="BG48" s="12">
        <f>0.006645157*AW48+0.964808634</f>
        <v>1.2140020215</v>
      </c>
      <c r="BH48" s="13">
        <f t="shared" si="22"/>
        <v>-0.0261833261696056</v>
      </c>
      <c r="BI48" s="13">
        <f t="shared" si="23"/>
        <v>2.2043200930023</v>
      </c>
      <c r="BJ48" s="12">
        <f>0.006645157*AW48+0.964808634</f>
        <v>1.2140020215</v>
      </c>
      <c r="BK48" s="13">
        <f t="shared" si="24"/>
        <v>-0.0261833261696056</v>
      </c>
      <c r="BL48" s="13">
        <f t="shared" si="25"/>
        <v>2.2043200930023</v>
      </c>
      <c r="BM48" s="12">
        <f t="shared" ref="BM48" si="64">0.006645157*AW48+0.964808634</f>
        <v>1.2140020215</v>
      </c>
      <c r="BN48" s="13">
        <f>BU48-BM48</f>
        <v>-0.0261833261696056</v>
      </c>
      <c r="BO48" s="13">
        <f>ABS(BN48/BU48)*100</f>
        <v>2.2043200930023</v>
      </c>
      <c r="BP48" s="59">
        <v>1.2140020215</v>
      </c>
      <c r="BQ48" s="59">
        <v>-0.0261833261696056</v>
      </c>
      <c r="BR48" s="59">
        <v>2.2043200930023</v>
      </c>
      <c r="BU48" s="13">
        <f>LN(R48*2)</f>
        <v>1.18781869533039</v>
      </c>
      <c r="BV48" s="11">
        <f>100-G48*100/AA48</f>
        <v>37.5</v>
      </c>
      <c r="BX48" s="13">
        <f>Q48</f>
        <v>4.69774696055772e-5</v>
      </c>
      <c r="BY48" s="13" t="e">
        <f>Intens(P48,BJ48)</f>
        <v>#NAME?</v>
      </c>
      <c r="BZ48" s="13" t="e">
        <f t="shared" si="26"/>
        <v>#NAME?</v>
      </c>
      <c r="CA48" s="13" t="e">
        <f t="shared" si="27"/>
        <v>#NAME?</v>
      </c>
    </row>
    <row r="49" s="12" customFormat="1" ht="15.9" customHeight="1" spans="1:79">
      <c r="A49" s="27">
        <v>48</v>
      </c>
      <c r="B49" s="28" t="s">
        <v>142</v>
      </c>
      <c r="C49" s="29" t="s">
        <v>143</v>
      </c>
      <c r="D49" s="27">
        <v>290</v>
      </c>
      <c r="E49" s="27">
        <v>100</v>
      </c>
      <c r="F49" s="27" t="s">
        <v>45</v>
      </c>
      <c r="G49" s="27">
        <v>3.7</v>
      </c>
      <c r="H49" s="27" t="s">
        <v>53</v>
      </c>
      <c r="I49" s="27" t="s">
        <v>57</v>
      </c>
      <c r="J49" s="27" t="s">
        <v>53</v>
      </c>
      <c r="K49" s="27" t="s">
        <v>48</v>
      </c>
      <c r="L49" s="27" t="s">
        <v>49</v>
      </c>
      <c r="M49" s="27" t="s">
        <v>53</v>
      </c>
      <c r="N49" s="27">
        <v>80</v>
      </c>
      <c r="O49" s="37">
        <v>0.128472222222222</v>
      </c>
      <c r="P49" s="38">
        <v>27</v>
      </c>
      <c r="Q49" s="27">
        <f t="shared" si="49"/>
        <v>1.45792147051791e-5</v>
      </c>
      <c r="R49" s="27">
        <v>1.28494453074347</v>
      </c>
      <c r="S49" s="27">
        <v>0.943862731238816</v>
      </c>
      <c r="T49" s="44">
        <f t="shared" si="50"/>
        <v>7.5</v>
      </c>
      <c r="U49" s="27"/>
      <c r="V49" s="27"/>
      <c r="W49" s="27"/>
      <c r="X49" s="27"/>
      <c r="Y49" s="27"/>
      <c r="Z49" s="27" t="s">
        <v>58</v>
      </c>
      <c r="AA49" s="2">
        <v>4</v>
      </c>
      <c r="AC49" s="13">
        <f>0.0074*T49+0.9139+0.00372+0.0021+0.0215</f>
        <v>0.99672</v>
      </c>
      <c r="AD49" s="13">
        <f t="shared" si="3"/>
        <v>-0.0528572687611838</v>
      </c>
      <c r="AE49" s="13">
        <f t="shared" si="4"/>
        <v>5.30312111337023</v>
      </c>
      <c r="AF49" s="13">
        <f t="shared" si="5"/>
        <v>5.30312111337023</v>
      </c>
      <c r="AG49" s="2"/>
      <c r="AH49" s="13">
        <f>0.0058*T49+1.0043</f>
        <v>1.0478</v>
      </c>
      <c r="AI49" s="13">
        <f t="shared" si="6"/>
        <v>0.103937268761184</v>
      </c>
      <c r="AJ49" s="13">
        <f t="shared" si="7"/>
        <v>9.91957136487726</v>
      </c>
      <c r="AK49" s="12">
        <f t="shared" si="8"/>
        <v>9.91957136487726</v>
      </c>
      <c r="AM49" s="13">
        <f t="shared" si="9"/>
        <v>0.9694</v>
      </c>
      <c r="AN49" s="13">
        <f t="shared" si="10"/>
        <v>0.0255372687611839</v>
      </c>
      <c r="AO49" s="13">
        <f t="shared" si="11"/>
        <v>2.6343376068892</v>
      </c>
      <c r="AP49" s="13">
        <f t="shared" si="12"/>
        <v>2.6343376068892</v>
      </c>
      <c r="AR49" s="13">
        <f t="shared" si="13"/>
        <v>0.9783</v>
      </c>
      <c r="AS49" s="13">
        <f t="shared" si="14"/>
        <v>0.0344372687611838</v>
      </c>
      <c r="AT49" s="13">
        <f t="shared" si="15"/>
        <v>3.5201133354987</v>
      </c>
      <c r="AU49" s="13">
        <f t="shared" si="16"/>
        <v>3.5201133354987</v>
      </c>
      <c r="AV49" s="58"/>
      <c r="AW49" s="11">
        <f t="shared" si="17"/>
        <v>7.5</v>
      </c>
      <c r="AX49" s="12">
        <f t="shared" si="30"/>
        <v>0.943862731238816</v>
      </c>
      <c r="AY49" s="13">
        <f>0.0062266*AW49+0.9484024</f>
        <v>0.9951019</v>
      </c>
      <c r="AZ49" s="13">
        <f t="shared" si="18"/>
        <v>-0.0512391687611838</v>
      </c>
      <c r="BA49" s="13">
        <f t="shared" si="19"/>
        <v>5.42866743916593</v>
      </c>
      <c r="BB49" s="13"/>
      <c r="BC49" s="27" t="s">
        <v>58</v>
      </c>
      <c r="BD49" s="13">
        <f>0.0062266*AW49+0.9484024</f>
        <v>0.9951019</v>
      </c>
      <c r="BE49" s="13">
        <f t="shared" si="20"/>
        <v>-0.0512391687611838</v>
      </c>
      <c r="BF49" s="13">
        <f t="shared" si="21"/>
        <v>5.42866743916593</v>
      </c>
      <c r="BG49" s="13">
        <f>0.006554648*AW49+0.928046135</f>
        <v>0.977205995</v>
      </c>
      <c r="BH49" s="13">
        <f t="shared" si="22"/>
        <v>-0.0333432637611839</v>
      </c>
      <c r="BI49" s="13">
        <f t="shared" si="23"/>
        <v>3.532639085921</v>
      </c>
      <c r="BJ49" s="13">
        <f>0.006889744*AW49+0.905045926</f>
        <v>0.956719006</v>
      </c>
      <c r="BK49" s="13">
        <f t="shared" si="24"/>
        <v>-0.0128562747611839</v>
      </c>
      <c r="BL49" s="13">
        <f t="shared" si="25"/>
        <v>1.36209157705698</v>
      </c>
      <c r="BM49" s="12">
        <f>0.006889744*AW49+0.905045926</f>
        <v>0.956719006</v>
      </c>
      <c r="BN49" s="13">
        <f>BU49-BM49</f>
        <v>-0.0128562747611839</v>
      </c>
      <c r="BO49" s="13">
        <f>ABS(BN49/BU49)*100</f>
        <v>1.36209157705698</v>
      </c>
      <c r="BP49" s="59">
        <v>0.956719006</v>
      </c>
      <c r="BQ49" s="59">
        <v>-0.0128562747611839</v>
      </c>
      <c r="BR49" s="59">
        <v>1.36209157705698</v>
      </c>
      <c r="BU49" s="13">
        <f>LN(R49*2)</f>
        <v>0.943862731238816</v>
      </c>
      <c r="BV49" s="11">
        <f>100-G49*100/AA49</f>
        <v>7.5</v>
      </c>
      <c r="BX49" s="13">
        <f>Q49</f>
        <v>1.45792147051791e-5</v>
      </c>
      <c r="BY49" s="13" t="e">
        <f>Intens(P49,BJ49)</f>
        <v>#NAME?</v>
      </c>
      <c r="BZ49" s="13" t="e">
        <f t="shared" si="26"/>
        <v>#NAME?</v>
      </c>
      <c r="CA49" s="13" t="e">
        <f t="shared" si="27"/>
        <v>#NAME?</v>
      </c>
    </row>
    <row r="50" s="12" customFormat="1" ht="15.9" customHeight="1" spans="1:79">
      <c r="A50" s="27">
        <v>49</v>
      </c>
      <c r="B50" s="28" t="s">
        <v>144</v>
      </c>
      <c r="C50" s="29" t="s">
        <v>110</v>
      </c>
      <c r="D50" s="27">
        <v>410</v>
      </c>
      <c r="E50" s="27">
        <v>150</v>
      </c>
      <c r="F50" s="27">
        <v>2010</v>
      </c>
      <c r="G50" s="27">
        <v>3.1</v>
      </c>
      <c r="H50" s="27" t="s">
        <v>46</v>
      </c>
      <c r="I50" s="27" t="s">
        <v>84</v>
      </c>
      <c r="J50" s="27" t="s">
        <v>53</v>
      </c>
      <c r="K50" s="27" t="s">
        <v>48</v>
      </c>
      <c r="L50" s="27" t="s">
        <v>49</v>
      </c>
      <c r="M50" s="27" t="s">
        <v>46</v>
      </c>
      <c r="N50" s="27">
        <v>15</v>
      </c>
      <c r="O50" s="37">
        <v>0.260416666666667</v>
      </c>
      <c r="P50" s="38">
        <v>6</v>
      </c>
      <c r="Q50" s="27">
        <f t="shared" si="49"/>
        <v>4.64045736347774e-5</v>
      </c>
      <c r="R50" s="27">
        <v>2.17031994821966</v>
      </c>
      <c r="S50" s="27">
        <v>1.46802177881975</v>
      </c>
      <c r="T50" s="44">
        <f t="shared" si="50"/>
        <v>31.1111111111111</v>
      </c>
      <c r="U50" s="27"/>
      <c r="V50" s="49">
        <v>1</v>
      </c>
      <c r="W50" s="49"/>
      <c r="X50" s="49"/>
      <c r="Y50" s="49">
        <v>1</v>
      </c>
      <c r="Z50" s="27" t="s">
        <v>145</v>
      </c>
      <c r="AA50" s="2">
        <v>4.5</v>
      </c>
      <c r="AC50" s="13">
        <f>0.0074*T50+0.9139+0.0206</f>
        <v>1.16472222222222</v>
      </c>
      <c r="AD50" s="13">
        <f t="shared" si="3"/>
        <v>0.30329955659753</v>
      </c>
      <c r="AE50" s="13">
        <f t="shared" si="4"/>
        <v>26.0405056940403</v>
      </c>
      <c r="AF50" s="13"/>
      <c r="AG50" s="2"/>
      <c r="AH50" s="13">
        <f>0.0074*T50+0.9139</f>
        <v>1.14412222222222</v>
      </c>
      <c r="AI50" s="13">
        <f t="shared" si="6"/>
        <v>-0.32389955659753</v>
      </c>
      <c r="AJ50" s="13">
        <f t="shared" si="7"/>
        <v>28.3098737448191</v>
      </c>
      <c r="AM50" s="13">
        <f t="shared" si="9"/>
        <v>1.14412222222222</v>
      </c>
      <c r="AN50" s="13">
        <f t="shared" si="10"/>
        <v>-0.32389955659753</v>
      </c>
      <c r="AO50" s="13">
        <f t="shared" si="11"/>
        <v>28.3098737448191</v>
      </c>
      <c r="AP50" s="13"/>
      <c r="AR50" s="13">
        <f t="shared" si="13"/>
        <v>1.15302222222222</v>
      </c>
      <c r="AS50" s="13">
        <f t="shared" si="14"/>
        <v>-0.31499955659753</v>
      </c>
      <c r="AT50" s="13">
        <f t="shared" si="15"/>
        <v>27.3194696968139</v>
      </c>
      <c r="AU50" s="13"/>
      <c r="AV50" s="58"/>
      <c r="AW50" s="11"/>
      <c r="AZ50" s="13"/>
      <c r="BA50" s="13"/>
      <c r="BB50" s="13"/>
      <c r="BC50" s="27" t="s">
        <v>145</v>
      </c>
      <c r="BE50" s="13"/>
      <c r="BF50" s="13"/>
      <c r="BH50" s="13"/>
      <c r="BI50" s="13"/>
      <c r="BK50" s="13"/>
      <c r="BL50" s="13"/>
      <c r="BN50" s="13"/>
      <c r="BO50" s="13"/>
      <c r="BP50" s="59"/>
      <c r="BQ50" s="59"/>
      <c r="BR50" s="59"/>
      <c r="BU50" s="13"/>
      <c r="BV50" s="11"/>
      <c r="BX50" s="13"/>
      <c r="BY50" s="13"/>
      <c r="BZ50" s="13"/>
      <c r="CA50" s="13"/>
    </row>
    <row r="51" s="12" customFormat="1" ht="15.9" customHeight="1" spans="1:79">
      <c r="A51" s="27">
        <v>50</v>
      </c>
      <c r="B51" s="28" t="s">
        <v>146</v>
      </c>
      <c r="C51" s="29" t="s">
        <v>147</v>
      </c>
      <c r="D51" s="27">
        <v>320</v>
      </c>
      <c r="E51" s="27">
        <v>150</v>
      </c>
      <c r="F51" s="27" t="s">
        <v>45</v>
      </c>
      <c r="G51" s="27">
        <v>3.9</v>
      </c>
      <c r="H51" s="27" t="s">
        <v>46</v>
      </c>
      <c r="I51" s="27" t="s">
        <v>57</v>
      </c>
      <c r="J51" s="27" t="s">
        <v>46</v>
      </c>
      <c r="K51" s="27" t="s">
        <v>48</v>
      </c>
      <c r="L51" s="27" t="s">
        <v>49</v>
      </c>
      <c r="M51" s="27" t="s">
        <v>53</v>
      </c>
      <c r="N51" s="27">
        <v>80</v>
      </c>
      <c r="O51" s="37">
        <v>0.326388888888889</v>
      </c>
      <c r="P51" s="38">
        <v>27</v>
      </c>
      <c r="Q51" s="27">
        <f t="shared" si="49"/>
        <v>1.32124133265686e-5</v>
      </c>
      <c r="R51" s="27">
        <v>1.25507652549459</v>
      </c>
      <c r="S51" s="27">
        <v>0.920343727774416</v>
      </c>
      <c r="T51" s="44">
        <f t="shared" si="50"/>
        <v>13.3333333333333</v>
      </c>
      <c r="U51" s="27"/>
      <c r="V51" s="51">
        <v>1</v>
      </c>
      <c r="W51" s="51"/>
      <c r="X51" s="51">
        <v>1</v>
      </c>
      <c r="Y51" s="51"/>
      <c r="Z51" s="27" t="s">
        <v>148</v>
      </c>
      <c r="AA51" s="2">
        <v>4.5</v>
      </c>
      <c r="AC51" s="13">
        <f>0.0074*T51+0.9139-0.01875+0.0021+0.0215</f>
        <v>1.01741666666667</v>
      </c>
      <c r="AD51" s="13">
        <f t="shared" si="3"/>
        <v>-0.0970729388922502</v>
      </c>
      <c r="AE51" s="13">
        <f t="shared" si="4"/>
        <v>9.54111939312804</v>
      </c>
      <c r="AF51" s="13">
        <f t="shared" si="5"/>
        <v>9.54111939312804</v>
      </c>
      <c r="AG51" s="2"/>
      <c r="AH51" s="13">
        <f>0.0074*T51+0.9139</f>
        <v>1.01256666666667</v>
      </c>
      <c r="AI51" s="13">
        <f t="shared" si="6"/>
        <v>0.0922229388922502</v>
      </c>
      <c r="AJ51" s="13">
        <f t="shared" si="7"/>
        <v>9.10783871602695</v>
      </c>
      <c r="AK51" s="12">
        <f t="shared" si="8"/>
        <v>9.10783871602695</v>
      </c>
      <c r="AM51" s="13">
        <f t="shared" si="9"/>
        <v>1.01256666666667</v>
      </c>
      <c r="AN51" s="13">
        <f t="shared" si="10"/>
        <v>0.0922229388922502</v>
      </c>
      <c r="AO51" s="13">
        <f t="shared" si="11"/>
        <v>9.10783871602695</v>
      </c>
      <c r="AP51" s="13">
        <f t="shared" si="12"/>
        <v>9.10783871602695</v>
      </c>
      <c r="AR51" s="13">
        <f t="shared" si="13"/>
        <v>1.02146666666667</v>
      </c>
      <c r="AS51" s="13">
        <f t="shared" si="14"/>
        <v>0.10112293889225</v>
      </c>
      <c r="AT51" s="13">
        <f t="shared" si="15"/>
        <v>9.89977864106351</v>
      </c>
      <c r="AU51" s="13">
        <f t="shared" si="16"/>
        <v>9.89977864106351</v>
      </c>
      <c r="AV51" s="58"/>
      <c r="AW51" s="11">
        <f t="shared" si="17"/>
        <v>13.3333333333333</v>
      </c>
      <c r="AX51" s="12">
        <f t="shared" si="30"/>
        <v>0.920343727774416</v>
      </c>
      <c r="AY51" s="12">
        <f t="shared" ref="AY51" si="65">0.00910123*AW51+0.86365767</f>
        <v>0.985007403333333</v>
      </c>
      <c r="AZ51" s="13">
        <f t="shared" si="18"/>
        <v>-0.0646636755589169</v>
      </c>
      <c r="BA51" s="13">
        <f t="shared" si="19"/>
        <v>7.0260353395668</v>
      </c>
      <c r="BB51" s="13"/>
      <c r="BC51" s="27" t="s">
        <v>148</v>
      </c>
      <c r="BD51" s="12">
        <f>0.00741522*AW51+0.8217705</f>
        <v>0.9206401</v>
      </c>
      <c r="BE51" s="13">
        <f t="shared" si="20"/>
        <v>-0.000296372225583541</v>
      </c>
      <c r="BF51" s="13">
        <f t="shared" si="21"/>
        <v>0.032202340999295</v>
      </c>
      <c r="BG51" s="12">
        <f>0.00741522*AW51+0.8217705</f>
        <v>0.9206401</v>
      </c>
      <c r="BH51" s="13">
        <f t="shared" si="22"/>
        <v>-0.000296372225583541</v>
      </c>
      <c r="BI51" s="13">
        <f t="shared" si="23"/>
        <v>0.032202340999295</v>
      </c>
      <c r="BJ51" s="12">
        <f>0.00741522*AW51+0.8217705</f>
        <v>0.9206401</v>
      </c>
      <c r="BK51" s="13">
        <f t="shared" si="24"/>
        <v>-0.000296372225583541</v>
      </c>
      <c r="BL51" s="13">
        <f t="shared" si="25"/>
        <v>0.032202340999295</v>
      </c>
      <c r="BM51" s="12">
        <f>0.00741522*AW51+0.8217705</f>
        <v>0.9206401</v>
      </c>
      <c r="BN51" s="13">
        <f>BU51-BM51</f>
        <v>-0.000296372225583541</v>
      </c>
      <c r="BO51" s="13">
        <f>ABS(BN51/BU51)*100</f>
        <v>0.032202340999295</v>
      </c>
      <c r="BP51" s="59">
        <v>0.9206401</v>
      </c>
      <c r="BQ51" s="59">
        <v>-0.000296372225583541</v>
      </c>
      <c r="BR51" s="59">
        <v>0.032202340999295</v>
      </c>
      <c r="BU51" s="13">
        <f>LN(R51*2)</f>
        <v>0.920343727774416</v>
      </c>
      <c r="BV51" s="11">
        <f>100-G51*100/AA51</f>
        <v>13.3333333333333</v>
      </c>
      <c r="BX51" s="13">
        <f>Q51</f>
        <v>1.32124133265686e-5</v>
      </c>
      <c r="BY51" s="13" t="e">
        <f>Intens(P51,BJ51)</f>
        <v>#NAME?</v>
      </c>
      <c r="BZ51" s="13" t="e">
        <f t="shared" si="26"/>
        <v>#NAME?</v>
      </c>
      <c r="CA51" s="13" t="e">
        <f t="shared" si="27"/>
        <v>#NAME?</v>
      </c>
    </row>
    <row r="52" spans="1:70">
      <c r="A52" s="22">
        <v>51</v>
      </c>
      <c r="B52" s="33" t="s">
        <v>149</v>
      </c>
      <c r="C52" s="26" t="s">
        <v>120</v>
      </c>
      <c r="D52" s="22">
        <v>55</v>
      </c>
      <c r="E52" s="22">
        <v>150</v>
      </c>
      <c r="F52" s="22">
        <v>2010</v>
      </c>
      <c r="G52" s="34">
        <v>3.7</v>
      </c>
      <c r="H52" s="34" t="s">
        <v>53</v>
      </c>
      <c r="I52" s="34" t="s">
        <v>84</v>
      </c>
      <c r="J52" s="34" t="s">
        <v>53</v>
      </c>
      <c r="K52" s="34" t="s">
        <v>48</v>
      </c>
      <c r="L52" s="34" t="s">
        <v>49</v>
      </c>
      <c r="M52" s="34" t="s">
        <v>46</v>
      </c>
      <c r="N52" s="34">
        <v>10</v>
      </c>
      <c r="O52" s="39">
        <v>0.138888888888889</v>
      </c>
      <c r="P52" s="40">
        <v>5</v>
      </c>
      <c r="Q52" s="52">
        <f t="shared" si="49"/>
        <v>0.0004151100041511</v>
      </c>
      <c r="R52" s="52">
        <v>3.66433227860505</v>
      </c>
      <c r="S52" s="52">
        <v>1.99179331065218</v>
      </c>
      <c r="T52" s="44">
        <f t="shared" si="50"/>
        <v>17.7777777777778</v>
      </c>
      <c r="U52" s="52"/>
      <c r="V52" s="52"/>
      <c r="W52" s="52"/>
      <c r="X52" s="52">
        <v>1</v>
      </c>
      <c r="Y52" s="52">
        <v>1</v>
      </c>
      <c r="Z52" s="56"/>
      <c r="AA52" s="2">
        <v>4.5</v>
      </c>
      <c r="AC52" s="13">
        <f>U52*V52*W52*X52*Y52</f>
        <v>0</v>
      </c>
      <c r="AG52" s="14"/>
      <c r="BC52" s="56"/>
      <c r="BP52" s="60"/>
      <c r="BQ52" s="60"/>
      <c r="BR52" s="60"/>
    </row>
    <row r="53" spans="1:70">
      <c r="A53" s="22">
        <v>52</v>
      </c>
      <c r="B53" s="33" t="s">
        <v>150</v>
      </c>
      <c r="C53" s="26" t="s">
        <v>128</v>
      </c>
      <c r="D53" s="22">
        <v>28</v>
      </c>
      <c r="E53" s="22">
        <v>250</v>
      </c>
      <c r="F53" s="22">
        <v>2012</v>
      </c>
      <c r="G53" s="34">
        <v>4.1</v>
      </c>
      <c r="H53" s="34" t="s">
        <v>53</v>
      </c>
      <c r="I53" s="34" t="s">
        <v>84</v>
      </c>
      <c r="J53" s="34" t="s">
        <v>53</v>
      </c>
      <c r="K53" s="41" t="s">
        <v>151</v>
      </c>
      <c r="L53" s="41" t="s">
        <v>152</v>
      </c>
      <c r="M53" s="34" t="s">
        <v>53</v>
      </c>
      <c r="N53" s="34">
        <v>5</v>
      </c>
      <c r="O53" s="39">
        <v>0.163194444444444</v>
      </c>
      <c r="P53" s="40">
        <v>3</v>
      </c>
      <c r="Q53" s="52">
        <f t="shared" si="49"/>
        <v>0.00135899108501848</v>
      </c>
      <c r="R53" s="52">
        <v>5.98267836232611</v>
      </c>
      <c r="S53" s="52">
        <v>2.48201553492779</v>
      </c>
      <c r="T53" s="44">
        <f t="shared" si="50"/>
        <v>54.4444444444444</v>
      </c>
      <c r="U53" s="52"/>
      <c r="V53" s="52"/>
      <c r="W53" s="52"/>
      <c r="X53" s="52">
        <v>1</v>
      </c>
      <c r="Y53" s="52"/>
      <c r="Z53" s="56"/>
      <c r="AA53" s="19">
        <v>9</v>
      </c>
      <c r="AC53" s="13">
        <f>U53*V53*W53*X53*Y53</f>
        <v>0</v>
      </c>
      <c r="AY53" s="19" t="s">
        <v>153</v>
      </c>
      <c r="BC53" s="56"/>
      <c r="BD53" s="19" t="s">
        <v>154</v>
      </c>
      <c r="BG53" s="19" t="s">
        <v>155</v>
      </c>
      <c r="BJ53" s="19" t="s">
        <v>156</v>
      </c>
      <c r="BM53" s="19" t="s">
        <v>157</v>
      </c>
      <c r="BP53" s="60" t="s">
        <v>158</v>
      </c>
      <c r="BQ53" s="60"/>
      <c r="BR53" s="60"/>
    </row>
    <row r="54" ht="31.2" spans="1:70">
      <c r="A54" s="22">
        <v>53</v>
      </c>
      <c r="B54" s="33" t="s">
        <v>159</v>
      </c>
      <c r="C54" s="26" t="s">
        <v>160</v>
      </c>
      <c r="D54" s="22">
        <v>5</v>
      </c>
      <c r="E54" s="22">
        <v>150</v>
      </c>
      <c r="F54" s="22">
        <v>2009</v>
      </c>
      <c r="G54" s="34">
        <v>2.9</v>
      </c>
      <c r="H54" s="34" t="s">
        <v>46</v>
      </c>
      <c r="I54" s="34" t="s">
        <v>84</v>
      </c>
      <c r="J54" s="34" t="s">
        <v>53</v>
      </c>
      <c r="K54" s="41" t="s">
        <v>161</v>
      </c>
      <c r="L54" s="41" t="s">
        <v>162</v>
      </c>
      <c r="M54" s="34" t="s">
        <v>46</v>
      </c>
      <c r="N54" s="34">
        <v>5</v>
      </c>
      <c r="O54" s="39">
        <v>0.121527777777778</v>
      </c>
      <c r="P54" s="40">
        <v>6</v>
      </c>
      <c r="Q54" s="52">
        <f t="shared" si="49"/>
        <v>0.00380517503805175</v>
      </c>
      <c r="R54" s="52">
        <v>4.62975678834575</v>
      </c>
      <c r="S54" s="52">
        <v>2.22565151776341</v>
      </c>
      <c r="T54" s="44">
        <f t="shared" si="50"/>
        <v>35.5555555555556</v>
      </c>
      <c r="U54" s="52"/>
      <c r="V54" s="52">
        <v>1</v>
      </c>
      <c r="W54" s="52"/>
      <c r="X54" s="52">
        <v>1</v>
      </c>
      <c r="Y54" s="52">
        <v>1</v>
      </c>
      <c r="Z54" s="56"/>
      <c r="AA54" s="2">
        <v>4.5</v>
      </c>
      <c r="AC54" s="13">
        <f>U54*V54*W54*X54*Y54</f>
        <v>0</v>
      </c>
      <c r="BC54" s="56"/>
      <c r="BP54" s="60"/>
      <c r="BQ54" s="60"/>
      <c r="BR54" s="60"/>
    </row>
    <row r="55" ht="31.2" spans="1:70">
      <c r="A55" s="22">
        <v>54</v>
      </c>
      <c r="B55" s="33" t="s">
        <v>163</v>
      </c>
      <c r="C55" s="26" t="s">
        <v>164</v>
      </c>
      <c r="D55" s="22">
        <v>51</v>
      </c>
      <c r="E55" s="22">
        <v>150</v>
      </c>
      <c r="F55" s="22">
        <v>2012</v>
      </c>
      <c r="G55" s="34">
        <v>3.1</v>
      </c>
      <c r="H55" s="34" t="s">
        <v>53</v>
      </c>
      <c r="I55" s="34" t="s">
        <v>84</v>
      </c>
      <c r="J55" s="34" t="s">
        <v>53</v>
      </c>
      <c r="K55" s="42" t="s">
        <v>161</v>
      </c>
      <c r="L55" s="42" t="s">
        <v>162</v>
      </c>
      <c r="M55" s="34" t="s">
        <v>53</v>
      </c>
      <c r="N55" s="34">
        <v>5</v>
      </c>
      <c r="O55" s="39">
        <v>0.201388888888889</v>
      </c>
      <c r="P55" s="40">
        <v>3</v>
      </c>
      <c r="Q55" s="52">
        <f t="shared" si="49"/>
        <v>0.000746112752559167</v>
      </c>
      <c r="R55" s="52">
        <v>5.43687969546788</v>
      </c>
      <c r="S55" s="52">
        <v>2.38635249147283</v>
      </c>
      <c r="T55" s="44">
        <f t="shared" si="50"/>
        <v>31.1111111111111</v>
      </c>
      <c r="U55" s="52"/>
      <c r="V55" s="52"/>
      <c r="W55" s="52"/>
      <c r="X55" s="52">
        <v>1</v>
      </c>
      <c r="Y55" s="52"/>
      <c r="Z55" s="56"/>
      <c r="AA55" s="2">
        <v>4.5</v>
      </c>
      <c r="AC55" s="13">
        <f>U55*V55*W55*X55*Y55</f>
        <v>0</v>
      </c>
      <c r="BC55" s="56"/>
      <c r="BP55" s="60"/>
      <c r="BQ55" s="60"/>
      <c r="BR55" s="60"/>
    </row>
    <row r="56" spans="1:70">
      <c r="A56" s="22">
        <v>55</v>
      </c>
      <c r="B56" s="33" t="s">
        <v>165</v>
      </c>
      <c r="C56" s="26" t="s">
        <v>166</v>
      </c>
      <c r="D56" s="22">
        <v>60</v>
      </c>
      <c r="E56" s="22">
        <v>150</v>
      </c>
      <c r="F56" s="22">
        <v>2010</v>
      </c>
      <c r="G56" s="34">
        <v>2.6</v>
      </c>
      <c r="H56" s="34" t="s">
        <v>46</v>
      </c>
      <c r="I56" s="34" t="s">
        <v>84</v>
      </c>
      <c r="J56" s="34" t="s">
        <v>53</v>
      </c>
      <c r="K56" s="41" t="s">
        <v>167</v>
      </c>
      <c r="L56" s="41" t="s">
        <v>162</v>
      </c>
      <c r="M56" s="34" t="s">
        <v>53</v>
      </c>
      <c r="N56" s="34">
        <v>10</v>
      </c>
      <c r="O56" s="39">
        <v>0.288194444444444</v>
      </c>
      <c r="P56" s="40">
        <v>5</v>
      </c>
      <c r="Q56" s="52">
        <f t="shared" si="49"/>
        <v>0.000380517503805175</v>
      </c>
      <c r="R56" s="52">
        <v>3.61026907037725</v>
      </c>
      <c r="S56" s="52">
        <v>1.9769294848577</v>
      </c>
      <c r="T56" s="44">
        <f t="shared" si="50"/>
        <v>42.2222222222222</v>
      </c>
      <c r="U56" s="52"/>
      <c r="V56" s="52">
        <v>1</v>
      </c>
      <c r="W56" s="52"/>
      <c r="X56" s="52">
        <v>1</v>
      </c>
      <c r="Y56" s="52"/>
      <c r="Z56" s="56"/>
      <c r="AA56" s="2">
        <v>4.5</v>
      </c>
      <c r="AC56" s="13">
        <f>U56*V56*W56*X56*Y56</f>
        <v>0</v>
      </c>
      <c r="BC56" s="56"/>
      <c r="BP56" s="60"/>
      <c r="BQ56" s="60"/>
      <c r="BR56" s="60"/>
    </row>
    <row r="57" ht="46.8" spans="30:70">
      <c r="AD57" s="19" t="s">
        <v>168</v>
      </c>
      <c r="AE57" s="19">
        <f>AVERAGE(AE2:AE51)</f>
        <v>5.67183409113652</v>
      </c>
      <c r="AF57" s="19">
        <f>AVERAGE(AF2:AF51)</f>
        <v>3.70799119814422</v>
      </c>
      <c r="AI57" s="19" t="s">
        <v>168</v>
      </c>
      <c r="AJ57" s="19">
        <f>AVERAGE(AJ2:AJ51)</f>
        <v>4.59112289428873</v>
      </c>
      <c r="AK57" s="19">
        <f>AVERAGE(AK2:AK51)</f>
        <v>2.52863626415279</v>
      </c>
      <c r="AN57" s="19" t="s">
        <v>168</v>
      </c>
      <c r="AO57" s="19">
        <f>AVERAGE(AO2:AO51)</f>
        <v>5.31537003184441</v>
      </c>
      <c r="AP57" s="19">
        <f>AVERAGE(AP2:AP51)</f>
        <v>3.25950582416758</v>
      </c>
      <c r="AS57" s="19" t="s">
        <v>168</v>
      </c>
      <c r="AT57" s="19">
        <f>AVERAGE(AT2:AT51)</f>
        <v>5.24372203383403</v>
      </c>
      <c r="AU57" s="19">
        <f>AVERAGE(AU2:AU51)</f>
        <v>3.29149905087118</v>
      </c>
      <c r="AZ57" s="19" t="s">
        <v>168</v>
      </c>
      <c r="BA57" s="19">
        <f>AVERAGE(BA2:BA51)</f>
        <v>2.19347737995626</v>
      </c>
      <c r="BE57" s="19" t="s">
        <v>168</v>
      </c>
      <c r="BF57" s="19">
        <f>AVERAGE(BF2:BF51)</f>
        <v>1.58404069263686</v>
      </c>
      <c r="BH57" s="19" t="s">
        <v>168</v>
      </c>
      <c r="BI57" s="19">
        <f>AVERAGE(BI2:BI51)</f>
        <v>1.43270694148913</v>
      </c>
      <c r="BK57" s="19" t="s">
        <v>168</v>
      </c>
      <c r="BL57" s="19">
        <f>AVERAGE(BL2:BL51)</f>
        <v>1.29344481477438</v>
      </c>
      <c r="BN57" s="19" t="s">
        <v>169</v>
      </c>
      <c r="BO57" s="61">
        <f>AVERAGE(BO2:BO51)</f>
        <v>1.12923445209828</v>
      </c>
      <c r="BP57" s="60"/>
      <c r="BQ57" s="59" t="s">
        <v>169</v>
      </c>
      <c r="BR57" s="62">
        <f>AVERAGE(BR2:BR51)</f>
        <v>1.04187173621396</v>
      </c>
    </row>
    <row r="64" spans="20:30">
      <c r="T64" s="53"/>
      <c r="AD64" s="53"/>
    </row>
    <row r="65" spans="20:30">
      <c r="T65" s="53"/>
      <c r="AD65" s="53"/>
    </row>
    <row r="66" spans="20:30">
      <c r="T66" s="53"/>
      <c r="AD66" s="53"/>
    </row>
    <row r="67" spans="20:30">
      <c r="T67" s="53"/>
      <c r="AD67" s="53"/>
    </row>
    <row r="68" spans="20:30">
      <c r="T68" s="53"/>
      <c r="AD68" s="53"/>
    </row>
    <row r="69" spans="20:30">
      <c r="T69" s="53"/>
      <c r="AD69" s="53"/>
    </row>
    <row r="70" spans="20:30">
      <c r="T70" s="53"/>
      <c r="AD70" s="53"/>
    </row>
    <row r="71" spans="20:30">
      <c r="T71" s="53"/>
      <c r="AD71" s="53"/>
    </row>
    <row r="72" spans="30:30">
      <c r="AD72" s="53"/>
    </row>
    <row r="73" spans="30:30">
      <c r="AD73" s="53"/>
    </row>
    <row r="74" spans="30:30">
      <c r="AD74" s="53"/>
    </row>
    <row r="75" spans="30:30">
      <c r="AD75" s="53"/>
    </row>
    <row r="76" spans="30:30">
      <c r="AD76" s="53"/>
    </row>
    <row r="77" spans="20:30">
      <c r="T77" s="53"/>
      <c r="AD77" s="53"/>
    </row>
    <row r="78" spans="20:20">
      <c r="T78" s="53"/>
    </row>
    <row r="79" spans="20:20">
      <c r="T79" s="53"/>
    </row>
    <row r="80" spans="20:20">
      <c r="T80" s="53"/>
    </row>
    <row r="81" spans="20:20">
      <c r="T81" s="53"/>
    </row>
    <row r="82" spans="20:20">
      <c r="T82" s="53"/>
    </row>
    <row r="83" spans="20:20">
      <c r="T83" s="53"/>
    </row>
    <row r="84" spans="20:20">
      <c r="T84" s="53"/>
    </row>
    <row r="85" spans="20:20">
      <c r="T85" s="53"/>
    </row>
  </sheetData>
  <autoFilter ref="BC1:BC85">
    <extLst/>
  </autoFilter>
  <pageMargins left="0.708661417322835" right="0.708661417322835" top="0.748031496062992" bottom="0.748031496062992" header="0.31496062992126" footer="0.3149606299212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Лист2"/>
  <dimension ref="A1:L58"/>
  <sheetViews>
    <sheetView zoomScale="70" zoomScaleNormal="70" topLeftCell="C16" workbookViewId="0">
      <selection activeCell="D5" sqref="D5"/>
    </sheetView>
  </sheetViews>
  <sheetFormatPr defaultColWidth="9" defaultRowHeight="18"/>
  <cols>
    <col min="1" max="1" width="7" customWidth="1"/>
    <col min="2" max="2" width="21.8181818181818" customWidth="1"/>
    <col min="3" max="3" width="16.3636363636364" customWidth="1"/>
    <col min="4" max="4" width="23.6363636363636" customWidth="1"/>
    <col min="5" max="5" width="11.4545454545455" customWidth="1"/>
    <col min="10" max="10" width="21.9090909090909" customWidth="1"/>
  </cols>
  <sheetData>
    <row r="1" ht="21" customHeight="1" spans="1:12">
      <c r="A1" t="s">
        <v>0</v>
      </c>
      <c r="B1" t="s">
        <v>170</v>
      </c>
      <c r="C1" t="s">
        <v>171</v>
      </c>
      <c r="D1" t="s">
        <v>172</v>
      </c>
      <c r="E1" t="s">
        <v>17</v>
      </c>
      <c r="H1" t="s">
        <v>173</v>
      </c>
      <c r="J1" t="s">
        <v>174</v>
      </c>
      <c r="K1" t="s">
        <v>17</v>
      </c>
      <c r="L1" t="s">
        <v>175</v>
      </c>
    </row>
    <row r="2" spans="1:12">
      <c r="A2">
        <v>1</v>
      </c>
      <c r="B2">
        <v>27</v>
      </c>
      <c r="C2">
        <v>85</v>
      </c>
      <c r="D2">
        <f>40/60</f>
        <v>0.666666666666667</v>
      </c>
      <c r="E2" t="e">
        <f>alfa(C2,D2,B2,$H$2)</f>
        <v>#NAME?</v>
      </c>
      <c r="F2" s="16">
        <v>0.0277777777777778</v>
      </c>
      <c r="H2">
        <v>0.9</v>
      </c>
      <c r="J2">
        <f>1/((C2/1000)*8760*B2)</f>
        <v>4.97408501706111e-5</v>
      </c>
      <c r="K2" t="e">
        <f>alfa2(J2,B2)</f>
        <v>#NAME?</v>
      </c>
      <c r="L2" t="e">
        <f>LN(K2*2)</f>
        <v>#NAME?</v>
      </c>
    </row>
    <row r="3" spans="1:12">
      <c r="A3">
        <v>2</v>
      </c>
      <c r="B3">
        <v>27</v>
      </c>
      <c r="C3">
        <v>190</v>
      </c>
      <c r="D3">
        <f>430/60</f>
        <v>7.16666666666667</v>
      </c>
      <c r="E3" t="e">
        <f>alfa(C3,D3,B3,$H$2)</f>
        <v>#NAME?</v>
      </c>
      <c r="F3" s="16">
        <v>0.298611111111111</v>
      </c>
      <c r="J3">
        <f t="shared" ref="J3:J56" si="0">1/((C3/1000)*8760*B3)</f>
        <v>2.22524856026418e-5</v>
      </c>
      <c r="K3" t="e">
        <f>alfa2(J3,B3)</f>
        <v>#NAME?</v>
      </c>
      <c r="L3" t="e">
        <f t="shared" ref="L3:L56" si="1">LN(K3*2)</f>
        <v>#NAME?</v>
      </c>
    </row>
    <row r="4" spans="1:12">
      <c r="A4">
        <v>3</v>
      </c>
      <c r="B4">
        <v>27</v>
      </c>
      <c r="C4">
        <v>130</v>
      </c>
      <c r="D4">
        <f>235/60</f>
        <v>3.91666666666667</v>
      </c>
      <c r="E4" t="e">
        <f>alfa(C4,D4,B4,$H$2)</f>
        <v>#NAME?</v>
      </c>
      <c r="F4" s="16">
        <v>0.163194444444444</v>
      </c>
      <c r="J4">
        <f t="shared" si="0"/>
        <v>3.25228635730919e-5</v>
      </c>
      <c r="K4" t="e">
        <f>alfa2(J4,B4)</f>
        <v>#NAME?</v>
      </c>
      <c r="L4" t="e">
        <f t="shared" si="1"/>
        <v>#NAME?</v>
      </c>
    </row>
    <row r="5" spans="1:12">
      <c r="A5">
        <v>4</v>
      </c>
      <c r="B5">
        <v>27</v>
      </c>
      <c r="C5">
        <v>50</v>
      </c>
      <c r="D5">
        <f>260/60</f>
        <v>4.33333333333333</v>
      </c>
      <c r="E5" t="e">
        <f>alfa(C5,D5,B5,$H$2)</f>
        <v>#NAME?</v>
      </c>
      <c r="F5" s="16">
        <v>0.180555555555556</v>
      </c>
      <c r="J5">
        <f t="shared" si="0"/>
        <v>8.45594452900389e-5</v>
      </c>
      <c r="K5" t="e">
        <f>alfa2(J5,B5)</f>
        <v>#NAME?</v>
      </c>
      <c r="L5" t="e">
        <f t="shared" si="1"/>
        <v>#NAME?</v>
      </c>
    </row>
    <row r="6" spans="1:12">
      <c r="A6">
        <v>5</v>
      </c>
      <c r="B6">
        <v>26</v>
      </c>
      <c r="C6">
        <v>70</v>
      </c>
      <c r="D6">
        <f>235/60</f>
        <v>3.91666666666667</v>
      </c>
      <c r="E6" t="e">
        <f>alfa(C6,D6,B6,$H$2)</f>
        <v>#NAME?</v>
      </c>
      <c r="F6" s="16">
        <v>0.163194444444444</v>
      </c>
      <c r="J6">
        <f t="shared" si="0"/>
        <v>6.27226654623915e-5</v>
      </c>
      <c r="K6" t="e">
        <f>alfa2(J6,B6)</f>
        <v>#NAME?</v>
      </c>
      <c r="L6" t="e">
        <f t="shared" si="1"/>
        <v>#NAME?</v>
      </c>
    </row>
    <row r="7" spans="1:12">
      <c r="A7">
        <v>6</v>
      </c>
      <c r="B7">
        <v>27</v>
      </c>
      <c r="C7">
        <v>30</v>
      </c>
      <c r="D7">
        <f>127/60</f>
        <v>2.11666666666667</v>
      </c>
      <c r="E7" t="e">
        <f>alfa(C7,D7,B7,$H$2)</f>
        <v>#NAME?</v>
      </c>
      <c r="F7" s="16">
        <v>0.0881944444444444</v>
      </c>
      <c r="J7">
        <f t="shared" si="0"/>
        <v>0.000140932408816731</v>
      </c>
      <c r="K7" t="e">
        <f>alfa2(J7,B7)</f>
        <v>#NAME?</v>
      </c>
      <c r="L7" t="e">
        <f t="shared" si="1"/>
        <v>#NAME?</v>
      </c>
    </row>
    <row r="8" spans="1:12">
      <c r="A8">
        <v>7</v>
      </c>
      <c r="B8">
        <v>27</v>
      </c>
      <c r="C8">
        <v>155</v>
      </c>
      <c r="D8">
        <f>205/60</f>
        <v>3.41666666666667</v>
      </c>
      <c r="E8" t="e">
        <f>alfa(C8,D8,B8,$H$2)</f>
        <v>#NAME?</v>
      </c>
      <c r="F8" s="16">
        <v>0.142361111111111</v>
      </c>
      <c r="J8">
        <f t="shared" si="0"/>
        <v>2.72772404161416e-5</v>
      </c>
      <c r="K8" t="e">
        <f>alfa2(J8,B8)</f>
        <v>#NAME?</v>
      </c>
      <c r="L8" t="e">
        <f t="shared" si="1"/>
        <v>#NAME?</v>
      </c>
    </row>
    <row r="9" spans="1:12">
      <c r="A9">
        <v>8</v>
      </c>
      <c r="B9">
        <v>27</v>
      </c>
      <c r="C9">
        <v>75</v>
      </c>
      <c r="D9">
        <f>630/60</f>
        <v>10.5</v>
      </c>
      <c r="E9" t="e">
        <f>alfa(C9,D9,B9,$H$2)</f>
        <v>#NAME?</v>
      </c>
      <c r="F9" s="16">
        <v>0.4375</v>
      </c>
      <c r="J9">
        <f t="shared" si="0"/>
        <v>5.63729635266926e-5</v>
      </c>
      <c r="K9" t="e">
        <f>alfa2(J9,B9)</f>
        <v>#NAME?</v>
      </c>
      <c r="L9" t="e">
        <f t="shared" si="1"/>
        <v>#NAME?</v>
      </c>
    </row>
    <row r="10" spans="1:12">
      <c r="A10">
        <v>9</v>
      </c>
      <c r="B10">
        <v>27</v>
      </c>
      <c r="C10">
        <v>140</v>
      </c>
      <c r="D10">
        <f>529/60</f>
        <v>8.81666666666667</v>
      </c>
      <c r="E10" t="e">
        <f>alfa(C10,D10,B10,$H$2)</f>
        <v>#NAME?</v>
      </c>
      <c r="F10" s="16">
        <v>0.367361111111111</v>
      </c>
      <c r="J10">
        <f t="shared" si="0"/>
        <v>3.01998018892996e-5</v>
      </c>
      <c r="K10" t="e">
        <f>alfa2(J10,B10)</f>
        <v>#NAME?</v>
      </c>
      <c r="L10" t="e">
        <f t="shared" si="1"/>
        <v>#NAME?</v>
      </c>
    </row>
    <row r="11" spans="1:12">
      <c r="A11">
        <v>10</v>
      </c>
      <c r="B11">
        <v>27</v>
      </c>
      <c r="C11">
        <v>50</v>
      </c>
      <c r="D11">
        <f>190/60</f>
        <v>3.16666666666667</v>
      </c>
      <c r="E11" t="e">
        <f>alfa(C11,D11,B11,$H$2)</f>
        <v>#NAME?</v>
      </c>
      <c r="F11" s="16">
        <v>0.131944444444444</v>
      </c>
      <c r="J11">
        <f t="shared" si="0"/>
        <v>8.45594452900389e-5</v>
      </c>
      <c r="K11" t="e">
        <f>alfa2(J11,B11)</f>
        <v>#NAME?</v>
      </c>
      <c r="L11" t="e">
        <f t="shared" si="1"/>
        <v>#NAME?</v>
      </c>
    </row>
    <row r="12" spans="1:12">
      <c r="A12">
        <v>11</v>
      </c>
      <c r="B12">
        <v>27</v>
      </c>
      <c r="C12">
        <v>210</v>
      </c>
      <c r="D12">
        <f>165/60</f>
        <v>2.75</v>
      </c>
      <c r="E12" t="e">
        <f>alfa(C12,D12,B12,$H$2)</f>
        <v>#NAME?</v>
      </c>
      <c r="F12" s="16">
        <v>0.114583333333333</v>
      </c>
      <c r="J12">
        <f t="shared" si="0"/>
        <v>2.01332012595331e-5</v>
      </c>
      <c r="K12" t="e">
        <f>alfa2(J12,B12)</f>
        <v>#NAME?</v>
      </c>
      <c r="L12" t="e">
        <f t="shared" si="1"/>
        <v>#NAME?</v>
      </c>
    </row>
    <row r="13" spans="1:12">
      <c r="A13">
        <v>12</v>
      </c>
      <c r="B13">
        <v>27</v>
      </c>
      <c r="C13">
        <v>30</v>
      </c>
      <c r="D13">
        <f>220/60</f>
        <v>3.66666666666667</v>
      </c>
      <c r="E13" t="e">
        <f>alfa(C13,D13,B13,$H$2)</f>
        <v>#NAME?</v>
      </c>
      <c r="F13" s="16">
        <v>0.152777777777778</v>
      </c>
      <c r="J13">
        <f t="shared" si="0"/>
        <v>0.000140932408816731</v>
      </c>
      <c r="K13" t="e">
        <f>alfa2(J13,B13)</f>
        <v>#NAME?</v>
      </c>
      <c r="L13" t="e">
        <f t="shared" si="1"/>
        <v>#NAME?</v>
      </c>
    </row>
    <row r="14" spans="1:12">
      <c r="A14">
        <v>13</v>
      </c>
      <c r="B14">
        <v>22</v>
      </c>
      <c r="C14">
        <v>170</v>
      </c>
      <c r="D14">
        <f>715/60</f>
        <v>11.9166666666667</v>
      </c>
      <c r="E14" t="e">
        <f>alfa(C14,D14,B14,$H$2)</f>
        <v>#NAME?</v>
      </c>
      <c r="F14" s="16">
        <v>0.496527777777778</v>
      </c>
      <c r="J14">
        <f t="shared" si="0"/>
        <v>3.0522794422875e-5</v>
      </c>
      <c r="K14" t="e">
        <f>alfa2(J14,B14)</f>
        <v>#NAME?</v>
      </c>
      <c r="L14" t="e">
        <f t="shared" si="1"/>
        <v>#NAME?</v>
      </c>
    </row>
    <row r="15" spans="1:12">
      <c r="A15">
        <v>14</v>
      </c>
      <c r="B15">
        <v>15</v>
      </c>
      <c r="C15">
        <v>100</v>
      </c>
      <c r="D15">
        <f>199/60</f>
        <v>3.31666666666667</v>
      </c>
      <c r="E15" t="e">
        <f>alfa(C15,D15,B15,$H$2)</f>
        <v>#NAME?</v>
      </c>
      <c r="F15" s="16">
        <v>0.138194444444444</v>
      </c>
      <c r="J15">
        <f t="shared" si="0"/>
        <v>7.6103500761035e-5</v>
      </c>
      <c r="K15" t="e">
        <f>alfa2(J15,B15)</f>
        <v>#NAME?</v>
      </c>
      <c r="L15" t="e">
        <f t="shared" si="1"/>
        <v>#NAME?</v>
      </c>
    </row>
    <row r="16" spans="1:12">
      <c r="A16">
        <v>15</v>
      </c>
      <c r="B16">
        <v>12</v>
      </c>
      <c r="C16">
        <v>270</v>
      </c>
      <c r="D16">
        <f>440/60</f>
        <v>7.33333333333333</v>
      </c>
      <c r="E16" t="e">
        <f>alfa(C16,D16,B16,$H$2)</f>
        <v>#NAME?</v>
      </c>
      <c r="F16" s="16">
        <v>0.305555555555556</v>
      </c>
      <c r="J16">
        <f t="shared" si="0"/>
        <v>3.52331022041829e-5</v>
      </c>
      <c r="K16" t="e">
        <f>alfa2(J16,B16)</f>
        <v>#NAME?</v>
      </c>
      <c r="L16" t="e">
        <f t="shared" si="1"/>
        <v>#NAME?</v>
      </c>
    </row>
    <row r="17" spans="1:12">
      <c r="A17">
        <v>16</v>
      </c>
      <c r="B17">
        <v>27</v>
      </c>
      <c r="C17">
        <v>340</v>
      </c>
      <c r="D17">
        <f>410/60</f>
        <v>6.83333333333333</v>
      </c>
      <c r="E17" t="e">
        <f>alfa(C17,D17,B17,$H$2)</f>
        <v>#NAME?</v>
      </c>
      <c r="F17" s="16">
        <v>0.284722222222222</v>
      </c>
      <c r="J17">
        <f t="shared" si="0"/>
        <v>1.24352125426528e-5</v>
      </c>
      <c r="K17" t="e">
        <f>alfa2(J17,B17)</f>
        <v>#NAME?</v>
      </c>
      <c r="L17" t="e">
        <f t="shared" si="1"/>
        <v>#NAME?</v>
      </c>
    </row>
    <row r="18" spans="1:12">
      <c r="A18">
        <v>17</v>
      </c>
      <c r="B18">
        <v>27</v>
      </c>
      <c r="C18">
        <v>190</v>
      </c>
      <c r="D18">
        <f>560/60</f>
        <v>9.33333333333333</v>
      </c>
      <c r="E18" t="e">
        <f>alfa(C18,D18,B18,$H$2)</f>
        <v>#NAME?</v>
      </c>
      <c r="F18" s="16">
        <v>0.388888888888889</v>
      </c>
      <c r="J18">
        <f t="shared" si="0"/>
        <v>2.22524856026418e-5</v>
      </c>
      <c r="K18" t="e">
        <f>alfa2(J18,B18)</f>
        <v>#NAME?</v>
      </c>
      <c r="L18" t="e">
        <f t="shared" si="1"/>
        <v>#NAME?</v>
      </c>
    </row>
    <row r="19" spans="1:12">
      <c r="A19">
        <v>18</v>
      </c>
      <c r="B19">
        <v>14</v>
      </c>
      <c r="C19">
        <v>135</v>
      </c>
      <c r="D19">
        <f>350/60</f>
        <v>5.83333333333333</v>
      </c>
      <c r="E19" t="e">
        <f>alfa(C19,D19,B19,$H$2)</f>
        <v>#NAME?</v>
      </c>
      <c r="F19" s="16">
        <v>0.243055555555556</v>
      </c>
      <c r="J19">
        <f t="shared" si="0"/>
        <v>6.03996037785992e-5</v>
      </c>
      <c r="K19" t="e">
        <f>alfa2(J19,B19)</f>
        <v>#NAME?</v>
      </c>
      <c r="L19" t="e">
        <f t="shared" si="1"/>
        <v>#NAME?</v>
      </c>
    </row>
    <row r="20" spans="1:12">
      <c r="A20">
        <v>19</v>
      </c>
      <c r="B20">
        <v>27</v>
      </c>
      <c r="C20">
        <v>215</v>
      </c>
      <c r="D20">
        <f>591/60</f>
        <v>9.85</v>
      </c>
      <c r="E20" t="e">
        <f>alfa(C20,D20,B20,$H$2)</f>
        <v>#NAME?</v>
      </c>
      <c r="F20" s="16">
        <v>0.410416666666667</v>
      </c>
      <c r="J20">
        <f t="shared" si="0"/>
        <v>1.96649872767532e-5</v>
      </c>
      <c r="K20" t="e">
        <f>alfa2(J20,B20)</f>
        <v>#NAME?</v>
      </c>
      <c r="L20" t="e">
        <f t="shared" si="1"/>
        <v>#NAME?</v>
      </c>
    </row>
    <row r="21" spans="1:12">
      <c r="A21">
        <v>20</v>
      </c>
      <c r="B21">
        <v>27</v>
      </c>
      <c r="C21">
        <v>45</v>
      </c>
      <c r="D21">
        <f>160/60</f>
        <v>2.66666666666667</v>
      </c>
      <c r="E21" t="e">
        <f>alfa(C21,D21,B21,$H$2)</f>
        <v>#NAME?</v>
      </c>
      <c r="F21" s="16">
        <v>0.111111111111111</v>
      </c>
      <c r="J21">
        <f t="shared" si="0"/>
        <v>9.39549392111543e-5</v>
      </c>
      <c r="K21" t="e">
        <f>alfa2(J21,B21)</f>
        <v>#NAME?</v>
      </c>
      <c r="L21" t="e">
        <f t="shared" si="1"/>
        <v>#NAME?</v>
      </c>
    </row>
    <row r="22" spans="1:12">
      <c r="A22">
        <v>21</v>
      </c>
      <c r="B22">
        <v>27</v>
      </c>
      <c r="C22">
        <v>100</v>
      </c>
      <c r="D22">
        <f>438/60</f>
        <v>7.3</v>
      </c>
      <c r="E22" t="e">
        <f>alfa(C22,D22,B22,$H$2)</f>
        <v>#NAME?</v>
      </c>
      <c r="F22" s="16">
        <v>0.304166666666667</v>
      </c>
      <c r="J22">
        <f t="shared" si="0"/>
        <v>4.22797226450194e-5</v>
      </c>
      <c r="K22" t="e">
        <f>alfa2(J22,B22)</f>
        <v>#NAME?</v>
      </c>
      <c r="L22" t="e">
        <f t="shared" si="1"/>
        <v>#NAME?</v>
      </c>
    </row>
    <row r="23" spans="1:12">
      <c r="A23">
        <v>22</v>
      </c>
      <c r="B23">
        <v>27</v>
      </c>
      <c r="C23">
        <v>75</v>
      </c>
      <c r="D23">
        <f>130/60</f>
        <v>2.16666666666667</v>
      </c>
      <c r="E23" t="e">
        <f>alfa(C23,D23,B23,$H$2)</f>
        <v>#NAME?</v>
      </c>
      <c r="F23" s="16">
        <v>0.0902777777777778</v>
      </c>
      <c r="J23">
        <f t="shared" si="0"/>
        <v>5.63729635266926e-5</v>
      </c>
      <c r="K23" t="e">
        <f>alfa2(J23,B23)</f>
        <v>#NAME?</v>
      </c>
      <c r="L23" t="e">
        <f t="shared" si="1"/>
        <v>#NAME?</v>
      </c>
    </row>
    <row r="24" spans="1:12">
      <c r="A24">
        <v>23</v>
      </c>
      <c r="B24">
        <v>27</v>
      </c>
      <c r="C24">
        <v>120</v>
      </c>
      <c r="D24">
        <f>216/60</f>
        <v>3.6</v>
      </c>
      <c r="E24" t="e">
        <f>alfa(C24,D24,B24,$H$2)</f>
        <v>#NAME?</v>
      </c>
      <c r="F24" s="16">
        <v>0.15</v>
      </c>
      <c r="J24">
        <f t="shared" si="0"/>
        <v>3.52331022041829e-5</v>
      </c>
      <c r="K24" t="e">
        <f>alfa2(J24,B24)</f>
        <v>#NAME?</v>
      </c>
      <c r="L24" t="e">
        <f t="shared" si="1"/>
        <v>#NAME?</v>
      </c>
    </row>
    <row r="25" spans="1:12">
      <c r="A25">
        <v>24</v>
      </c>
      <c r="B25">
        <v>27</v>
      </c>
      <c r="C25">
        <v>70</v>
      </c>
      <c r="D25">
        <v>10</v>
      </c>
      <c r="E25" t="e">
        <f>alfa(C25,D25,B25,$H$2)</f>
        <v>#NAME?</v>
      </c>
      <c r="F25" s="16">
        <v>0.416666666666667</v>
      </c>
      <c r="J25">
        <f t="shared" si="0"/>
        <v>6.03996037785992e-5</v>
      </c>
      <c r="K25" t="e">
        <f>alfa2(J25,B25)</f>
        <v>#NAME?</v>
      </c>
      <c r="L25" t="e">
        <f t="shared" si="1"/>
        <v>#NAME?</v>
      </c>
    </row>
    <row r="26" spans="1:12">
      <c r="A26">
        <v>25</v>
      </c>
      <c r="B26">
        <v>27</v>
      </c>
      <c r="C26">
        <v>90</v>
      </c>
      <c r="D26">
        <f>50/60</f>
        <v>0.833333333333333</v>
      </c>
      <c r="E26" t="e">
        <f>alfa(C26,D26,B26,$H$2)</f>
        <v>#NAME?</v>
      </c>
      <c r="F26" s="16">
        <v>0.0347222222222222</v>
      </c>
      <c r="J26">
        <f t="shared" si="0"/>
        <v>4.69774696055772e-5</v>
      </c>
      <c r="K26" t="e">
        <f>alfa2(J26,B26)</f>
        <v>#NAME?</v>
      </c>
      <c r="L26" t="e">
        <f t="shared" si="1"/>
        <v>#NAME?</v>
      </c>
    </row>
    <row r="27" spans="1:12">
      <c r="A27">
        <v>26</v>
      </c>
      <c r="B27">
        <v>27</v>
      </c>
      <c r="C27">
        <v>220</v>
      </c>
      <c r="D27">
        <f>406/60</f>
        <v>6.76666666666667</v>
      </c>
      <c r="E27" t="e">
        <f>alfa(C27,D27,B27,$H$2)</f>
        <v>#NAME?</v>
      </c>
      <c r="F27" s="16">
        <v>0.281944444444444</v>
      </c>
      <c r="J27">
        <f t="shared" si="0"/>
        <v>1.92180557477361e-5</v>
      </c>
      <c r="K27" t="e">
        <f>alfa2(J27,B27)</f>
        <v>#NAME?</v>
      </c>
      <c r="L27" t="e">
        <f t="shared" si="1"/>
        <v>#NAME?</v>
      </c>
    </row>
    <row r="28" spans="1:12">
      <c r="A28">
        <v>27</v>
      </c>
      <c r="B28">
        <v>27</v>
      </c>
      <c r="C28">
        <v>220</v>
      </c>
      <c r="D28">
        <v>7</v>
      </c>
      <c r="E28" t="e">
        <f>alfa(C28,D28,B28,$H$2)</f>
        <v>#NAME?</v>
      </c>
      <c r="F28" s="16">
        <v>0.291666666666667</v>
      </c>
      <c r="J28">
        <f t="shared" si="0"/>
        <v>1.92180557477361e-5</v>
      </c>
      <c r="K28" t="e">
        <f>alfa2(J28,B28)</f>
        <v>#NAME?</v>
      </c>
      <c r="L28" t="e">
        <f t="shared" si="1"/>
        <v>#NAME?</v>
      </c>
    </row>
    <row r="29" spans="1:12">
      <c r="A29">
        <v>28</v>
      </c>
      <c r="B29">
        <v>27</v>
      </c>
      <c r="C29">
        <v>60</v>
      </c>
      <c r="D29">
        <f>160/60</f>
        <v>2.66666666666667</v>
      </c>
      <c r="E29" t="e">
        <f>alfa(C29,D29,B29,$H$2)</f>
        <v>#NAME?</v>
      </c>
      <c r="F29" s="16">
        <v>0.111111111111111</v>
      </c>
      <c r="J29">
        <f t="shared" si="0"/>
        <v>7.04662044083657e-5</v>
      </c>
      <c r="K29" t="e">
        <f>alfa2(J29,B29)</f>
        <v>#NAME?</v>
      </c>
      <c r="L29" t="e">
        <f t="shared" si="1"/>
        <v>#NAME?</v>
      </c>
    </row>
    <row r="30" spans="1:12">
      <c r="A30">
        <v>29</v>
      </c>
      <c r="B30">
        <v>27</v>
      </c>
      <c r="C30">
        <v>120</v>
      </c>
      <c r="D30">
        <f>210/60</f>
        <v>3.5</v>
      </c>
      <c r="E30" t="e">
        <f>alfa(C30,D30,B30,$H$2)</f>
        <v>#NAME?</v>
      </c>
      <c r="F30" s="16">
        <v>0.145833333333333</v>
      </c>
      <c r="J30">
        <f t="shared" si="0"/>
        <v>3.52331022041829e-5</v>
      </c>
      <c r="K30" t="e">
        <f>alfa2(J30,B30)</f>
        <v>#NAME?</v>
      </c>
      <c r="L30" t="e">
        <f t="shared" si="1"/>
        <v>#NAME?</v>
      </c>
    </row>
    <row r="31" spans="1:12">
      <c r="A31">
        <v>30</v>
      </c>
      <c r="B31">
        <v>27</v>
      </c>
      <c r="C31">
        <v>40</v>
      </c>
      <c r="D31">
        <f>170/60</f>
        <v>2.83333333333333</v>
      </c>
      <c r="E31" t="e">
        <f>alfa(C31,D31,B31,$H$2)</f>
        <v>#NAME?</v>
      </c>
      <c r="F31" s="16">
        <v>0.118055555555556</v>
      </c>
      <c r="J31">
        <f t="shared" si="0"/>
        <v>0.000105699306612549</v>
      </c>
      <c r="K31" t="e">
        <f>alfa2(J31,B31)</f>
        <v>#NAME?</v>
      </c>
      <c r="L31" t="e">
        <f t="shared" si="1"/>
        <v>#NAME?</v>
      </c>
    </row>
    <row r="32" spans="1:12">
      <c r="A32">
        <v>31</v>
      </c>
      <c r="B32">
        <v>27</v>
      </c>
      <c r="C32">
        <v>180</v>
      </c>
      <c r="D32">
        <f>635/60</f>
        <v>10.5833333333333</v>
      </c>
      <c r="E32" t="e">
        <f>alfa(C32,D32,B32,$H$2)</f>
        <v>#NAME?</v>
      </c>
      <c r="F32" s="16">
        <v>0.440972222222222</v>
      </c>
      <c r="J32">
        <f t="shared" si="0"/>
        <v>2.34887348027886e-5</v>
      </c>
      <c r="K32" t="e">
        <f>alfa2(J32,B32)</f>
        <v>#NAME?</v>
      </c>
      <c r="L32" t="e">
        <f t="shared" si="1"/>
        <v>#NAME?</v>
      </c>
    </row>
    <row r="33" spans="1:12">
      <c r="A33">
        <v>32</v>
      </c>
      <c r="B33">
        <v>20</v>
      </c>
      <c r="C33">
        <v>100</v>
      </c>
      <c r="D33">
        <f>139/60</f>
        <v>2.31666666666667</v>
      </c>
      <c r="E33" t="e">
        <f>alfa(C33,D33,B33,$H$2)</f>
        <v>#NAME?</v>
      </c>
      <c r="F33" s="16">
        <v>0.0965277777777778</v>
      </c>
      <c r="J33">
        <f t="shared" si="0"/>
        <v>5.70776255707763e-5</v>
      </c>
      <c r="K33" t="e">
        <f>alfa2(J33,B33)</f>
        <v>#NAME?</v>
      </c>
      <c r="L33" t="e">
        <f t="shared" si="1"/>
        <v>#NAME?</v>
      </c>
    </row>
    <row r="34" spans="1:12">
      <c r="A34">
        <v>33</v>
      </c>
      <c r="B34">
        <v>27</v>
      </c>
      <c r="C34">
        <v>75</v>
      </c>
      <c r="D34">
        <f>280/60</f>
        <v>4.66666666666667</v>
      </c>
      <c r="E34" t="e">
        <f>alfa(C34,D34,B34,$H$2)</f>
        <v>#NAME?</v>
      </c>
      <c r="F34" s="16">
        <v>0.194444444444444</v>
      </c>
      <c r="J34">
        <f t="shared" si="0"/>
        <v>5.63729635266926e-5</v>
      </c>
      <c r="K34" t="e">
        <f>alfa2(J34,B34)</f>
        <v>#NAME?</v>
      </c>
      <c r="L34" t="e">
        <f t="shared" si="1"/>
        <v>#NAME?</v>
      </c>
    </row>
    <row r="35" spans="1:12">
      <c r="A35">
        <v>34</v>
      </c>
      <c r="B35">
        <v>27</v>
      </c>
      <c r="C35">
        <v>280</v>
      </c>
      <c r="D35">
        <f>280/60</f>
        <v>4.66666666666667</v>
      </c>
      <c r="E35" t="e">
        <f>alfa(C35,D35,B35,$H$2)</f>
        <v>#NAME?</v>
      </c>
      <c r="F35" s="16">
        <v>0.194444444444444</v>
      </c>
      <c r="J35">
        <f t="shared" si="0"/>
        <v>1.50999009446498e-5</v>
      </c>
      <c r="K35" t="e">
        <f>alfa2(J35,B35)</f>
        <v>#NAME?</v>
      </c>
      <c r="L35" t="e">
        <f t="shared" si="1"/>
        <v>#NAME?</v>
      </c>
    </row>
    <row r="36" spans="1:12">
      <c r="A36">
        <v>35</v>
      </c>
      <c r="B36">
        <v>27</v>
      </c>
      <c r="C36">
        <v>130</v>
      </c>
      <c r="D36">
        <f>210/60</f>
        <v>3.5</v>
      </c>
      <c r="E36" t="e">
        <f>alfa(C36,D36,B36,$H$2)</f>
        <v>#NAME?</v>
      </c>
      <c r="F36" s="16">
        <v>0.145833333333333</v>
      </c>
      <c r="J36">
        <f t="shared" si="0"/>
        <v>3.25228635730919e-5</v>
      </c>
      <c r="K36" t="e">
        <f>alfa2(J36,B36)</f>
        <v>#NAME?</v>
      </c>
      <c r="L36" t="e">
        <f t="shared" si="1"/>
        <v>#NAME?</v>
      </c>
    </row>
    <row r="37" spans="1:12">
      <c r="A37">
        <v>36</v>
      </c>
      <c r="B37">
        <v>27</v>
      </c>
      <c r="C37">
        <v>110</v>
      </c>
      <c r="D37">
        <f>755/60</f>
        <v>12.5833333333333</v>
      </c>
      <c r="E37" t="e">
        <f>alfa(C37,D37,B37,$H$2)</f>
        <v>#NAME?</v>
      </c>
      <c r="F37" s="16">
        <v>0.357638888888889</v>
      </c>
      <c r="J37">
        <f t="shared" si="0"/>
        <v>3.84361114954722e-5</v>
      </c>
      <c r="K37" t="e">
        <f>alfa2(J37,B37)</f>
        <v>#NAME?</v>
      </c>
      <c r="L37" t="e">
        <f t="shared" si="1"/>
        <v>#NAME?</v>
      </c>
    </row>
    <row r="38" spans="1:12">
      <c r="A38">
        <v>37</v>
      </c>
      <c r="B38">
        <v>27</v>
      </c>
      <c r="C38">
        <v>110</v>
      </c>
      <c r="D38">
        <f>490/60</f>
        <v>8.16666666666667</v>
      </c>
      <c r="E38" t="e">
        <f>alfa(C38,D38,B38,$H$2)</f>
        <v>#NAME?</v>
      </c>
      <c r="F38" s="16">
        <v>0.340277777777778</v>
      </c>
      <c r="J38">
        <f t="shared" si="0"/>
        <v>3.84361114954722e-5</v>
      </c>
      <c r="K38" t="e">
        <f>alfa2(J38,B38)</f>
        <v>#NAME?</v>
      </c>
      <c r="L38" t="e">
        <f t="shared" si="1"/>
        <v>#NAME?</v>
      </c>
    </row>
    <row r="39" spans="1:12">
      <c r="A39">
        <v>38</v>
      </c>
      <c r="B39">
        <v>27</v>
      </c>
      <c r="C39">
        <v>50</v>
      </c>
      <c r="D39">
        <f>155/60</f>
        <v>2.58333333333333</v>
      </c>
      <c r="E39" t="e">
        <f>alfa(C39,D39,B39,$H$2)</f>
        <v>#NAME?</v>
      </c>
      <c r="F39" s="16">
        <v>0.107638888888889</v>
      </c>
      <c r="J39">
        <f t="shared" si="0"/>
        <v>8.45594452900389e-5</v>
      </c>
      <c r="K39" t="e">
        <f>alfa2(J39,B39)</f>
        <v>#NAME?</v>
      </c>
      <c r="L39" t="e">
        <f t="shared" si="1"/>
        <v>#NAME?</v>
      </c>
    </row>
    <row r="40" spans="1:12">
      <c r="A40">
        <v>39</v>
      </c>
      <c r="B40">
        <v>27</v>
      </c>
      <c r="C40">
        <v>30</v>
      </c>
      <c r="D40">
        <v>2.5</v>
      </c>
      <c r="E40" t="e">
        <f>alfa(C40,D40,B40,$H$2)</f>
        <v>#NAME?</v>
      </c>
      <c r="F40" s="16">
        <v>0.104166666666667</v>
      </c>
      <c r="J40">
        <f t="shared" si="0"/>
        <v>0.000140932408816731</v>
      </c>
      <c r="K40" t="e">
        <f>alfa2(J40,B40)</f>
        <v>#NAME?</v>
      </c>
      <c r="L40" t="e">
        <f t="shared" si="1"/>
        <v>#NAME?</v>
      </c>
    </row>
    <row r="41" spans="1:12">
      <c r="A41">
        <v>40</v>
      </c>
      <c r="B41">
        <v>27</v>
      </c>
      <c r="C41">
        <v>180</v>
      </c>
      <c r="D41">
        <f>223/60</f>
        <v>3.71666666666667</v>
      </c>
      <c r="E41" t="e">
        <f>alfa(C41,D41,B41,$H$2)</f>
        <v>#NAME?</v>
      </c>
      <c r="F41" s="16">
        <v>0.154861111111111</v>
      </c>
      <c r="J41">
        <f t="shared" si="0"/>
        <v>2.34887348027886e-5</v>
      </c>
      <c r="K41" t="e">
        <f>alfa2(J41,B41)</f>
        <v>#NAME?</v>
      </c>
      <c r="L41" t="e">
        <f t="shared" si="1"/>
        <v>#NAME?</v>
      </c>
    </row>
    <row r="42" spans="1:12">
      <c r="A42">
        <v>41</v>
      </c>
      <c r="B42">
        <v>27</v>
      </c>
      <c r="C42">
        <v>180</v>
      </c>
      <c r="D42">
        <f>173/60</f>
        <v>2.88333333333333</v>
      </c>
      <c r="E42" t="e">
        <f>alfa(C42,D42,B42,$H$2)</f>
        <v>#NAME?</v>
      </c>
      <c r="F42" s="16">
        <v>0.120138888888889</v>
      </c>
      <c r="J42">
        <f t="shared" si="0"/>
        <v>2.34887348027886e-5</v>
      </c>
      <c r="K42" t="e">
        <f>alfa2(J42,B42)</f>
        <v>#NAME?</v>
      </c>
      <c r="L42" t="e">
        <f t="shared" si="1"/>
        <v>#NAME?</v>
      </c>
    </row>
    <row r="43" spans="1:12">
      <c r="A43">
        <v>42</v>
      </c>
      <c r="B43">
        <v>27</v>
      </c>
      <c r="C43">
        <v>260</v>
      </c>
      <c r="D43">
        <f>238/60</f>
        <v>3.96666666666667</v>
      </c>
      <c r="E43" t="e">
        <f>alfa(C43,D43,B43,$H$2)</f>
        <v>#NAME?</v>
      </c>
      <c r="F43" s="16">
        <v>0.165277777777778</v>
      </c>
      <c r="J43">
        <f t="shared" si="0"/>
        <v>1.62614317865459e-5</v>
      </c>
      <c r="K43" t="e">
        <f>alfa2(J43,B43)</f>
        <v>#NAME?</v>
      </c>
      <c r="L43" t="e">
        <f t="shared" si="1"/>
        <v>#NAME?</v>
      </c>
    </row>
    <row r="44" spans="1:12">
      <c r="A44">
        <v>43</v>
      </c>
      <c r="B44">
        <v>27</v>
      </c>
      <c r="C44">
        <v>170</v>
      </c>
      <c r="D44">
        <f>214/60</f>
        <v>3.56666666666667</v>
      </c>
      <c r="E44" t="e">
        <f>alfa(C44,D44,B44,$H$2)</f>
        <v>#NAME?</v>
      </c>
      <c r="F44" s="16">
        <v>0.148611111111111</v>
      </c>
      <c r="J44">
        <f t="shared" si="0"/>
        <v>2.48704250853056e-5</v>
      </c>
      <c r="K44" t="e">
        <f>alfa2(J44,B44)</f>
        <v>#NAME?</v>
      </c>
      <c r="L44" t="e">
        <f t="shared" si="1"/>
        <v>#NAME?</v>
      </c>
    </row>
    <row r="45" spans="1:12">
      <c r="A45">
        <v>44</v>
      </c>
      <c r="B45">
        <v>17</v>
      </c>
      <c r="C45">
        <v>245</v>
      </c>
      <c r="D45">
        <f>428/60</f>
        <v>7.13333333333333</v>
      </c>
      <c r="E45" t="e">
        <f>alfa(C45,D45,B45,$H$2)</f>
        <v>#NAME?</v>
      </c>
      <c r="F45" s="16">
        <v>0.297222222222222</v>
      </c>
      <c r="J45">
        <f t="shared" si="0"/>
        <v>2.7408223563398e-5</v>
      </c>
      <c r="K45" t="e">
        <f>alfa2(J45,B45)</f>
        <v>#NAME?</v>
      </c>
      <c r="L45" t="e">
        <f t="shared" si="1"/>
        <v>#NAME?</v>
      </c>
    </row>
    <row r="46" spans="1:12">
      <c r="A46">
        <v>45</v>
      </c>
      <c r="B46">
        <v>27</v>
      </c>
      <c r="C46">
        <v>310</v>
      </c>
      <c r="D46">
        <f>95/60</f>
        <v>1.58333333333333</v>
      </c>
      <c r="E46" t="e">
        <f>alfa(C46,D46,B46,$H$2)</f>
        <v>#NAME?</v>
      </c>
      <c r="F46" s="16">
        <v>0.0659722222222222</v>
      </c>
      <c r="J46">
        <f t="shared" si="0"/>
        <v>1.36386202080708e-5</v>
      </c>
      <c r="K46" t="e">
        <f>alfa2(J46,B46)</f>
        <v>#NAME?</v>
      </c>
      <c r="L46" t="e">
        <f t="shared" si="1"/>
        <v>#NAME?</v>
      </c>
    </row>
    <row r="47" spans="1:12">
      <c r="A47">
        <v>46</v>
      </c>
      <c r="B47">
        <v>27</v>
      </c>
      <c r="C47">
        <v>370</v>
      </c>
      <c r="D47">
        <f>300/60</f>
        <v>5</v>
      </c>
      <c r="E47" t="e">
        <f>alfa(C47,D47,B47,$H$2)</f>
        <v>#NAME?</v>
      </c>
      <c r="F47" s="16">
        <v>0.208333333333333</v>
      </c>
      <c r="J47">
        <f t="shared" si="0"/>
        <v>1.14269520662215e-5</v>
      </c>
      <c r="K47" t="e">
        <f>alfa2(J47,B47)</f>
        <v>#NAME?</v>
      </c>
      <c r="L47" t="e">
        <f t="shared" si="1"/>
        <v>#NAME?</v>
      </c>
    </row>
    <row r="48" spans="1:12">
      <c r="A48">
        <v>47</v>
      </c>
      <c r="B48">
        <v>27</v>
      </c>
      <c r="C48">
        <v>90</v>
      </c>
      <c r="D48">
        <f>195/60</f>
        <v>3.25</v>
      </c>
      <c r="E48" t="e">
        <f>alfa(C48,D48,B48,$H$2)</f>
        <v>#NAME?</v>
      </c>
      <c r="F48" s="16">
        <v>0.135416666666667</v>
      </c>
      <c r="J48">
        <f t="shared" si="0"/>
        <v>4.69774696055772e-5</v>
      </c>
      <c r="K48" t="e">
        <f>alfa2(J48,B48)</f>
        <v>#NAME?</v>
      </c>
      <c r="L48" t="e">
        <f t="shared" si="1"/>
        <v>#NAME?</v>
      </c>
    </row>
    <row r="49" spans="1:12">
      <c r="A49">
        <v>48</v>
      </c>
      <c r="B49">
        <v>27</v>
      </c>
      <c r="C49">
        <v>290</v>
      </c>
      <c r="D49">
        <f>185/60</f>
        <v>3.08333333333333</v>
      </c>
      <c r="E49" t="e">
        <f>alfa(C49,D49,B49,$H$2)</f>
        <v>#NAME?</v>
      </c>
      <c r="F49" s="16">
        <v>0.128472222222222</v>
      </c>
      <c r="J49">
        <f t="shared" si="0"/>
        <v>1.45792147051791e-5</v>
      </c>
      <c r="K49" t="e">
        <f>alfa2(J49,B49)</f>
        <v>#NAME?</v>
      </c>
      <c r="L49" t="e">
        <f t="shared" si="1"/>
        <v>#NAME?</v>
      </c>
    </row>
    <row r="50" spans="1:12">
      <c r="A50">
        <v>49</v>
      </c>
      <c r="B50">
        <v>6</v>
      </c>
      <c r="C50">
        <v>410</v>
      </c>
      <c r="D50">
        <f>375/60</f>
        <v>6.25</v>
      </c>
      <c r="E50" t="e">
        <f>alfa(C50,D50,B50,$H$2)</f>
        <v>#NAME?</v>
      </c>
      <c r="F50" s="16">
        <v>0.260416666666667</v>
      </c>
      <c r="J50">
        <f t="shared" si="0"/>
        <v>4.64045736347774e-5</v>
      </c>
      <c r="K50" t="e">
        <f>alfa2(J50,B50)</f>
        <v>#NAME?</v>
      </c>
      <c r="L50" t="e">
        <f t="shared" si="1"/>
        <v>#NAME?</v>
      </c>
    </row>
    <row r="51" spans="1:12">
      <c r="A51">
        <v>50</v>
      </c>
      <c r="B51">
        <v>27</v>
      </c>
      <c r="C51">
        <v>320</v>
      </c>
      <c r="D51">
        <f>470/60</f>
        <v>7.83333333333333</v>
      </c>
      <c r="E51" t="e">
        <f>alfa(C51,D51,B51,$H$2)</f>
        <v>#NAME?</v>
      </c>
      <c r="F51" s="16">
        <v>0.326388888888889</v>
      </c>
      <c r="J51">
        <f t="shared" si="0"/>
        <v>1.32124133265686e-5</v>
      </c>
      <c r="K51" t="e">
        <f>alfa2(J51,B51)</f>
        <v>#NAME?</v>
      </c>
      <c r="L51" t="e">
        <f t="shared" si="1"/>
        <v>#NAME?</v>
      </c>
    </row>
    <row r="52" spans="1:12">
      <c r="A52">
        <v>51</v>
      </c>
      <c r="B52">
        <v>5</v>
      </c>
      <c r="C52">
        <v>55</v>
      </c>
      <c r="D52">
        <f>200/60</f>
        <v>3.33333333333333</v>
      </c>
      <c r="E52" t="e">
        <f>alfa(C52,D52,B52,$H$2)</f>
        <v>#NAME?</v>
      </c>
      <c r="F52" s="16">
        <v>0.138888888888889</v>
      </c>
      <c r="J52">
        <f t="shared" si="0"/>
        <v>0.0004151100041511</v>
      </c>
      <c r="K52" s="17" t="e">
        <f>alfa2(J52,B52)</f>
        <v>#NAME?</v>
      </c>
      <c r="L52" s="17" t="e">
        <f t="shared" si="1"/>
        <v>#NAME?</v>
      </c>
    </row>
    <row r="53" spans="1:12">
      <c r="A53">
        <v>52</v>
      </c>
      <c r="B53">
        <v>3</v>
      </c>
      <c r="C53">
        <v>28</v>
      </c>
      <c r="D53">
        <f>235/60</f>
        <v>3.91666666666667</v>
      </c>
      <c r="E53" t="e">
        <f>alfa(C53,D53,B53,$H$2)</f>
        <v>#NAME?</v>
      </c>
      <c r="F53" s="16">
        <v>0.163194444444444</v>
      </c>
      <c r="J53">
        <f t="shared" si="0"/>
        <v>0.00135899108501848</v>
      </c>
      <c r="K53" s="17" t="e">
        <f>alfa2(J53,B53)</f>
        <v>#NAME?</v>
      </c>
      <c r="L53" s="17" t="e">
        <f t="shared" si="1"/>
        <v>#NAME?</v>
      </c>
    </row>
    <row r="54" spans="1:12">
      <c r="A54">
        <v>53</v>
      </c>
      <c r="B54">
        <v>6</v>
      </c>
      <c r="C54">
        <v>5</v>
      </c>
      <c r="D54">
        <f>175/60</f>
        <v>2.91666666666667</v>
      </c>
      <c r="E54" t="e">
        <f>alfa(C54,D54,B54,$H$2)</f>
        <v>#NAME?</v>
      </c>
      <c r="F54" s="16">
        <v>0.121527777777778</v>
      </c>
      <c r="J54">
        <f t="shared" si="0"/>
        <v>0.00380517503805175</v>
      </c>
      <c r="K54" s="17" t="e">
        <f>alfa2(J54,B54)</f>
        <v>#NAME?</v>
      </c>
      <c r="L54" s="17" t="e">
        <f t="shared" si="1"/>
        <v>#NAME?</v>
      </c>
    </row>
    <row r="55" spans="1:12">
      <c r="A55">
        <v>54</v>
      </c>
      <c r="B55">
        <v>3</v>
      </c>
      <c r="C55">
        <v>51</v>
      </c>
      <c r="D55">
        <f>290/60</f>
        <v>4.83333333333333</v>
      </c>
      <c r="E55" t="e">
        <f>alfa(C55,D55,B55,$H$2)</f>
        <v>#NAME?</v>
      </c>
      <c r="F55" s="16">
        <v>0.201388888888889</v>
      </c>
      <c r="J55">
        <f t="shared" si="0"/>
        <v>0.000746112752559167</v>
      </c>
      <c r="K55" s="17" t="e">
        <f>alfa2(J55,B55)</f>
        <v>#NAME?</v>
      </c>
      <c r="L55" s="17" t="e">
        <f t="shared" si="1"/>
        <v>#NAME?</v>
      </c>
    </row>
    <row r="56" spans="1:12">
      <c r="A56">
        <v>55</v>
      </c>
      <c r="B56">
        <v>5</v>
      </c>
      <c r="C56">
        <v>60</v>
      </c>
      <c r="D56">
        <f>415/60</f>
        <v>6.91666666666667</v>
      </c>
      <c r="E56" t="e">
        <f>alfa(C56,D56,B56,$H$2)</f>
        <v>#NAME?</v>
      </c>
      <c r="F56" s="16">
        <v>0.288194444444444</v>
      </c>
      <c r="J56">
        <f t="shared" si="0"/>
        <v>0.000380517503805175</v>
      </c>
      <c r="K56" s="17" t="e">
        <f>alfa2(J56,B56)</f>
        <v>#NAME?</v>
      </c>
      <c r="L56" s="17" t="e">
        <f t="shared" si="1"/>
        <v>#NAME?</v>
      </c>
    </row>
    <row r="57" spans="11:12">
      <c r="K57" t="s">
        <v>176</v>
      </c>
      <c r="L57" s="18" t="e">
        <f>MIN(L2:L51)</f>
        <v>#NAME?</v>
      </c>
    </row>
    <row r="58" spans="11:12">
      <c r="K58" t="s">
        <v>177</v>
      </c>
      <c r="L58" s="18" t="e">
        <f>MAX(L2:L51)</f>
        <v>#NAME?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Лист3"/>
  <dimension ref="A1:P468"/>
  <sheetViews>
    <sheetView topLeftCell="A46" workbookViewId="0">
      <selection activeCell="P408" sqref="N371:P408"/>
    </sheetView>
  </sheetViews>
  <sheetFormatPr defaultColWidth="9" defaultRowHeight="18"/>
  <cols>
    <col min="1" max="1" width="15.6363636363636" customWidth="1"/>
    <col min="2" max="2" width="11.0909090909091" customWidth="1"/>
    <col min="3" max="3" width="25.9090909090909" customWidth="1"/>
    <col min="12" max="12" width="16.1818181818182" customWidth="1"/>
    <col min="14" max="14" width="25.3636363636364" customWidth="1"/>
  </cols>
  <sheetData>
    <row r="1" spans="1:1">
      <c r="A1" t="s">
        <v>178</v>
      </c>
    </row>
    <row r="2" spans="1:3">
      <c r="A2" t="s">
        <v>179</v>
      </c>
      <c r="B2" t="s">
        <v>175</v>
      </c>
      <c r="C2" t="s">
        <v>180</v>
      </c>
    </row>
    <row r="3" spans="1:3">
      <c r="A3" s="1">
        <v>8.8888888888889</v>
      </c>
      <c r="B3" s="2">
        <v>0.905579347301888</v>
      </c>
      <c r="C3" t="s">
        <v>50</v>
      </c>
    </row>
    <row r="4" spans="1:3">
      <c r="A4" s="1">
        <v>8.8888888888889</v>
      </c>
      <c r="B4" s="2">
        <v>1.30847841227854</v>
      </c>
      <c r="C4" t="s">
        <v>50</v>
      </c>
    </row>
    <row r="5" spans="1:3">
      <c r="A5" s="1">
        <v>11.1111111111111</v>
      </c>
      <c r="B5" s="2">
        <v>1.017314158788</v>
      </c>
      <c r="C5" t="s">
        <v>50</v>
      </c>
    </row>
    <row r="6" spans="1:3">
      <c r="A6" s="1">
        <v>12.5</v>
      </c>
      <c r="B6" s="2">
        <v>1.05057651105715</v>
      </c>
      <c r="C6" t="s">
        <v>50</v>
      </c>
    </row>
    <row r="7" spans="1:3">
      <c r="A7" s="1">
        <v>20</v>
      </c>
      <c r="B7" s="2">
        <v>1.08181833199517</v>
      </c>
      <c r="C7" t="s">
        <v>50</v>
      </c>
    </row>
    <row r="8" spans="1:3">
      <c r="A8" s="1">
        <v>24.7058823529412</v>
      </c>
      <c r="B8" s="2">
        <v>1.12678591526095</v>
      </c>
      <c r="C8" t="s">
        <v>50</v>
      </c>
    </row>
    <row r="9" spans="1:3">
      <c r="A9" s="1">
        <v>27.5</v>
      </c>
      <c r="B9" s="2">
        <v>1.13312510739865</v>
      </c>
      <c r="C9" t="s">
        <v>50</v>
      </c>
    </row>
    <row r="10" spans="1:3">
      <c r="A10" s="1">
        <v>32.5</v>
      </c>
      <c r="B10" s="2">
        <v>1.2910500634762</v>
      </c>
      <c r="C10" t="s">
        <v>50</v>
      </c>
    </row>
    <row r="11" spans="1:3">
      <c r="A11" s="1">
        <v>34.2857142857143</v>
      </c>
      <c r="B11" s="2">
        <v>1.19833819463617</v>
      </c>
      <c r="C11" t="s">
        <v>50</v>
      </c>
    </row>
    <row r="12" spans="1:3">
      <c r="A12" s="1">
        <v>37.5</v>
      </c>
      <c r="B12" s="2">
        <v>1.2910500634762</v>
      </c>
      <c r="C12" t="s">
        <v>50</v>
      </c>
    </row>
    <row r="13" spans="1:3">
      <c r="A13" s="1">
        <v>40</v>
      </c>
      <c r="B13" s="2">
        <v>1.23326644426548</v>
      </c>
      <c r="C13" t="s">
        <v>50</v>
      </c>
    </row>
    <row r="14" spans="1:3">
      <c r="A14" s="1">
        <v>52.5</v>
      </c>
      <c r="B14" s="2">
        <v>1.2910500634762</v>
      </c>
      <c r="C14" t="s">
        <v>50</v>
      </c>
    </row>
    <row r="15" spans="1:3">
      <c r="A15" s="1">
        <v>54.2857142857143</v>
      </c>
      <c r="B15" s="2">
        <v>1.32760869406898</v>
      </c>
      <c r="C15" t="s">
        <v>50</v>
      </c>
    </row>
    <row r="16" spans="1:3">
      <c r="A16" s="1">
        <v>62.5</v>
      </c>
      <c r="B16" s="2">
        <v>1.37285079063421</v>
      </c>
      <c r="C16" t="s">
        <v>50</v>
      </c>
    </row>
    <row r="18" spans="1:1">
      <c r="A18" t="s">
        <v>181</v>
      </c>
    </row>
    <row r="19" spans="1:3">
      <c r="A19" t="s">
        <v>179</v>
      </c>
      <c r="B19" t="s">
        <v>175</v>
      </c>
      <c r="C19" t="s">
        <v>180</v>
      </c>
    </row>
    <row r="20" spans="1:3">
      <c r="A20" s="1">
        <v>8.8888888888889</v>
      </c>
      <c r="B20" s="2"/>
      <c r="C20" t="s">
        <v>50</v>
      </c>
    </row>
    <row r="21" spans="1:3">
      <c r="A21" s="1">
        <v>11.1111111111111</v>
      </c>
      <c r="B21" s="2">
        <v>1.017314158788</v>
      </c>
      <c r="C21" t="s">
        <v>50</v>
      </c>
    </row>
    <row r="22" spans="1:3">
      <c r="A22" s="1">
        <v>12.5</v>
      </c>
      <c r="B22" s="2">
        <v>1.05057651105715</v>
      </c>
      <c r="C22" t="s">
        <v>50</v>
      </c>
    </row>
    <row r="23" spans="1:3">
      <c r="A23" s="1">
        <v>20</v>
      </c>
      <c r="B23" s="2">
        <v>1.08181833199517</v>
      </c>
      <c r="C23" t="s">
        <v>50</v>
      </c>
    </row>
    <row r="24" spans="1:3">
      <c r="A24" s="1">
        <v>27.5</v>
      </c>
      <c r="B24" s="2">
        <v>1.13312510739865</v>
      </c>
      <c r="C24" t="s">
        <v>50</v>
      </c>
    </row>
    <row r="25" spans="1:3">
      <c r="A25" s="1">
        <v>34.2857142857143</v>
      </c>
      <c r="B25" s="2">
        <v>1.19833819463617</v>
      </c>
      <c r="C25" t="s">
        <v>50</v>
      </c>
    </row>
    <row r="26" spans="1:3">
      <c r="A26" s="1">
        <v>40</v>
      </c>
      <c r="B26" s="2">
        <v>1.23326644426548</v>
      </c>
      <c r="C26" t="s">
        <v>50</v>
      </c>
    </row>
    <row r="27" spans="1:3">
      <c r="A27" s="1">
        <v>52.5</v>
      </c>
      <c r="B27" s="2">
        <v>1.2910500634762</v>
      </c>
      <c r="C27" t="s">
        <v>50</v>
      </c>
    </row>
    <row r="28" spans="1:3">
      <c r="A28" s="1">
        <v>54.2857142857143</v>
      </c>
      <c r="B28" s="2">
        <v>1.32760869406898</v>
      </c>
      <c r="C28" t="s">
        <v>50</v>
      </c>
    </row>
    <row r="29" spans="1:3">
      <c r="A29" s="1">
        <v>62.5</v>
      </c>
      <c r="B29" s="2">
        <v>1.37285079063421</v>
      </c>
      <c r="C29" t="s">
        <v>50</v>
      </c>
    </row>
    <row r="35" spans="1:1">
      <c r="A35" t="s">
        <v>178</v>
      </c>
    </row>
    <row r="36" spans="1:3">
      <c r="A36" t="s">
        <v>179</v>
      </c>
      <c r="B36" t="s">
        <v>175</v>
      </c>
      <c r="C36" t="s">
        <v>180</v>
      </c>
    </row>
    <row r="37" spans="1:3">
      <c r="A37" s="1">
        <v>8.8888888888889</v>
      </c>
      <c r="B37" s="2">
        <v>0.884615449496208</v>
      </c>
      <c r="C37" t="s">
        <v>65</v>
      </c>
    </row>
    <row r="38" spans="1:3">
      <c r="A38" s="1">
        <v>22.5</v>
      </c>
      <c r="B38" s="2">
        <v>1.14998535885395</v>
      </c>
      <c r="C38" t="s">
        <v>65</v>
      </c>
    </row>
    <row r="39" spans="1:3">
      <c r="A39" s="1">
        <v>25</v>
      </c>
      <c r="B39" s="2">
        <v>1.14998535885395</v>
      </c>
      <c r="C39" t="s">
        <v>65</v>
      </c>
    </row>
    <row r="40" spans="1:3">
      <c r="A40" s="1">
        <v>37.5</v>
      </c>
      <c r="B40" s="2">
        <v>1.18781869533039</v>
      </c>
      <c r="C40" t="s">
        <v>65</v>
      </c>
    </row>
    <row r="41" spans="1:3">
      <c r="A41" s="1">
        <v>60</v>
      </c>
      <c r="B41" s="2">
        <v>1.37285079063421</v>
      </c>
      <c r="C41" t="s">
        <v>65</v>
      </c>
    </row>
    <row r="43" spans="1:3">
      <c r="A43" t="s">
        <v>182</v>
      </c>
      <c r="B43" t="s">
        <v>183</v>
      </c>
      <c r="C43" t="s">
        <v>184</v>
      </c>
    </row>
    <row r="44" spans="1:3">
      <c r="A44" t="s">
        <v>185</v>
      </c>
      <c r="B44" s="3">
        <v>0.92148</v>
      </c>
      <c r="C44" s="4">
        <v>0.00758</v>
      </c>
    </row>
    <row r="47" spans="1:3">
      <c r="A47" t="s">
        <v>178</v>
      </c>
      <c r="C47" t="s">
        <v>186</v>
      </c>
    </row>
    <row r="48" spans="1:3">
      <c r="A48" t="s">
        <v>179</v>
      </c>
      <c r="B48" t="s">
        <v>175</v>
      </c>
      <c r="C48" t="s">
        <v>180</v>
      </c>
    </row>
    <row r="49" spans="1:3">
      <c r="A49" s="1">
        <v>8.8888888888889</v>
      </c>
      <c r="B49" s="2">
        <v>0.884615449496208</v>
      </c>
      <c r="C49" t="s">
        <v>65</v>
      </c>
    </row>
    <row r="50" spans="1:3">
      <c r="A50" s="1">
        <v>37.5</v>
      </c>
      <c r="B50" s="2">
        <v>1.18781869533039</v>
      </c>
      <c r="C50" t="s">
        <v>65</v>
      </c>
    </row>
    <row r="51" spans="1:3">
      <c r="A51" s="1">
        <v>60</v>
      </c>
      <c r="B51" s="2">
        <v>1.37285079063421</v>
      </c>
      <c r="C51" t="s">
        <v>65</v>
      </c>
    </row>
    <row r="52" spans="1:2">
      <c r="A52" s="1"/>
      <c r="B52" s="2"/>
    </row>
    <row r="53" spans="1:3">
      <c r="A53" t="s">
        <v>182</v>
      </c>
      <c r="B53" t="s">
        <v>183</v>
      </c>
      <c r="C53" t="s">
        <v>184</v>
      </c>
    </row>
    <row r="54" spans="1:3">
      <c r="A54" t="s">
        <v>185</v>
      </c>
      <c r="B54" s="3">
        <v>0.8861</v>
      </c>
      <c r="C54" s="4">
        <v>-0.0278</v>
      </c>
    </row>
    <row r="58" spans="1:1">
      <c r="A58" t="s">
        <v>178</v>
      </c>
    </row>
    <row r="59" spans="1:3">
      <c r="A59" t="s">
        <v>179</v>
      </c>
      <c r="B59" t="s">
        <v>175</v>
      </c>
      <c r="C59" t="s">
        <v>180</v>
      </c>
    </row>
    <row r="60" spans="1:3">
      <c r="A60" s="1">
        <v>8.8888888888889</v>
      </c>
      <c r="B60" s="2">
        <v>0.952114679478278</v>
      </c>
      <c r="C60" t="s">
        <v>54</v>
      </c>
    </row>
    <row r="61" spans="1:3">
      <c r="A61" s="1">
        <v>11.1111111111111</v>
      </c>
      <c r="B61" s="2">
        <v>1.00705489774309</v>
      </c>
      <c r="C61" t="s">
        <v>54</v>
      </c>
    </row>
    <row r="62" spans="1:3">
      <c r="A62" s="1">
        <v>13.3333333333333</v>
      </c>
      <c r="B62" s="2">
        <v>1.05057651105715</v>
      </c>
      <c r="C62" t="s">
        <v>54</v>
      </c>
    </row>
    <row r="63" spans="1:3">
      <c r="A63" s="1">
        <v>16.4705882352941</v>
      </c>
      <c r="B63" s="2">
        <v>1.03903553773497</v>
      </c>
      <c r="C63" t="s">
        <v>54</v>
      </c>
    </row>
    <row r="64" spans="1:3">
      <c r="A64" s="1">
        <v>17.5</v>
      </c>
      <c r="B64" s="5">
        <v>1.03903553773497</v>
      </c>
      <c r="C64" t="s">
        <v>54</v>
      </c>
    </row>
    <row r="65" spans="1:3">
      <c r="A65" s="1">
        <v>22.5</v>
      </c>
      <c r="B65" s="2">
        <v>1.06263419653789</v>
      </c>
      <c r="C65" t="s">
        <v>54</v>
      </c>
    </row>
    <row r="66" spans="1:3">
      <c r="A66" s="1">
        <v>32.5</v>
      </c>
      <c r="B66" s="2">
        <v>1.10253897836759</v>
      </c>
      <c r="C66" t="s">
        <v>54</v>
      </c>
    </row>
    <row r="67" spans="1:3">
      <c r="A67" s="1">
        <v>40</v>
      </c>
      <c r="B67" s="2">
        <v>1.13312510739865</v>
      </c>
      <c r="C67" t="s">
        <v>54</v>
      </c>
    </row>
    <row r="68" spans="1:3">
      <c r="A68" s="1">
        <v>42.5</v>
      </c>
      <c r="B68" s="2">
        <v>1.16813318340363</v>
      </c>
      <c r="C68" t="s">
        <v>54</v>
      </c>
    </row>
    <row r="69" spans="1:3">
      <c r="A69" s="1">
        <v>48.5714285714286</v>
      </c>
      <c r="B69" s="2"/>
      <c r="C69" t="s">
        <v>54</v>
      </c>
    </row>
    <row r="70" spans="1:3">
      <c r="A70" t="s">
        <v>182</v>
      </c>
      <c r="B70" t="s">
        <v>183</v>
      </c>
      <c r="C70" t="s">
        <v>184</v>
      </c>
    </row>
    <row r="71" spans="1:3">
      <c r="A71" t="s">
        <v>185</v>
      </c>
      <c r="B71" s="3">
        <v>0.89515</v>
      </c>
      <c r="C71" s="6">
        <v>-0.0187</v>
      </c>
    </row>
    <row r="72" spans="1:1">
      <c r="A72" t="s">
        <v>178</v>
      </c>
    </row>
    <row r="73" spans="1:3">
      <c r="A73" t="s">
        <v>179</v>
      </c>
      <c r="B73" t="s">
        <v>175</v>
      </c>
      <c r="C73" t="s">
        <v>180</v>
      </c>
    </row>
    <row r="74" spans="1:3">
      <c r="A74" s="1">
        <v>15.5555555555556</v>
      </c>
      <c r="B74" s="2">
        <v>1.05057651105715</v>
      </c>
      <c r="C74" t="s">
        <v>78</v>
      </c>
    </row>
    <row r="75" spans="1:3">
      <c r="A75" s="1">
        <v>17.5</v>
      </c>
      <c r="B75" s="2">
        <v>0.927989628694177</v>
      </c>
      <c r="C75" t="s">
        <v>78</v>
      </c>
    </row>
    <row r="76" spans="1:3">
      <c r="A76" s="1">
        <v>30</v>
      </c>
      <c r="B76" s="2">
        <v>1.18781869533039</v>
      </c>
      <c r="C76" t="s">
        <v>78</v>
      </c>
    </row>
    <row r="77" spans="1:3">
      <c r="A77" s="1">
        <v>35</v>
      </c>
      <c r="B77" s="2">
        <v>1.22099403323395</v>
      </c>
      <c r="C77" t="s">
        <v>78</v>
      </c>
    </row>
    <row r="78" spans="1:3">
      <c r="A78" s="1">
        <v>47.5</v>
      </c>
      <c r="B78" s="2">
        <v>1.2601543639</v>
      </c>
      <c r="C78" t="s">
        <v>78</v>
      </c>
    </row>
    <row r="79" spans="1:3">
      <c r="A79" s="1">
        <v>62.8571428571429</v>
      </c>
      <c r="B79" s="2">
        <v>1.37285079063421</v>
      </c>
      <c r="C79" t="s">
        <v>78</v>
      </c>
    </row>
    <row r="81" spans="1:3">
      <c r="A81" t="s">
        <v>182</v>
      </c>
      <c r="B81" t="s">
        <v>183</v>
      </c>
      <c r="C81" t="s">
        <v>184</v>
      </c>
    </row>
    <row r="82" spans="1:3">
      <c r="A82" t="s">
        <v>185</v>
      </c>
      <c r="B82" s="3">
        <v>0.91399</v>
      </c>
      <c r="C82" s="4">
        <v>9e-5</v>
      </c>
    </row>
    <row r="84" spans="1:1">
      <c r="A84" t="s">
        <v>181</v>
      </c>
    </row>
    <row r="85" spans="1:3">
      <c r="A85" t="s">
        <v>179</v>
      </c>
      <c r="B85" t="s">
        <v>175</v>
      </c>
      <c r="C85" t="s">
        <v>180</v>
      </c>
    </row>
    <row r="86" spans="1:3">
      <c r="A86" s="1">
        <v>15.5555555555556</v>
      </c>
      <c r="B86" s="2">
        <v>1.05057651105715</v>
      </c>
      <c r="C86" t="s">
        <v>78</v>
      </c>
    </row>
    <row r="87" spans="1:3">
      <c r="A87" s="1">
        <v>30</v>
      </c>
      <c r="B87" s="2">
        <v>1.18781869533039</v>
      </c>
      <c r="C87" t="s">
        <v>78</v>
      </c>
    </row>
    <row r="88" spans="1:3">
      <c r="A88" s="1">
        <v>35</v>
      </c>
      <c r="B88" s="2">
        <v>1.22099403323395</v>
      </c>
      <c r="C88" t="s">
        <v>78</v>
      </c>
    </row>
    <row r="89" spans="1:3">
      <c r="A89" s="1">
        <v>47.5</v>
      </c>
      <c r="B89" s="2">
        <v>1.2601543639</v>
      </c>
      <c r="C89" t="s">
        <v>78</v>
      </c>
    </row>
    <row r="90" spans="1:3">
      <c r="A90" s="1">
        <v>62.8571428571429</v>
      </c>
      <c r="B90" s="2">
        <v>1.37285079063421</v>
      </c>
      <c r="C90" t="s">
        <v>78</v>
      </c>
    </row>
    <row r="92" spans="1:3">
      <c r="A92" t="s">
        <v>182</v>
      </c>
      <c r="B92" t="s">
        <v>183</v>
      </c>
      <c r="C92" t="s">
        <v>184</v>
      </c>
    </row>
    <row r="93" spans="1:3">
      <c r="A93" t="s">
        <v>185</v>
      </c>
      <c r="B93" s="3">
        <v>0.9354</v>
      </c>
      <c r="C93" s="6">
        <v>0.0215</v>
      </c>
    </row>
    <row r="97" spans="1:1">
      <c r="A97" t="s">
        <v>178</v>
      </c>
    </row>
    <row r="98" spans="1:3">
      <c r="A98" t="s">
        <v>179</v>
      </c>
      <c r="B98" t="s">
        <v>175</v>
      </c>
      <c r="C98" t="s">
        <v>180</v>
      </c>
    </row>
    <row r="99" spans="1:3">
      <c r="A99" s="1">
        <v>7.5</v>
      </c>
      <c r="B99" s="2">
        <v>0.943862731238816</v>
      </c>
      <c r="C99" t="s">
        <v>58</v>
      </c>
    </row>
    <row r="100" spans="1:3">
      <c r="A100" s="1">
        <v>11.1111111111111</v>
      </c>
      <c r="B100" s="2">
        <v>1.00705489774309</v>
      </c>
      <c r="C100" t="s">
        <v>58</v>
      </c>
    </row>
    <row r="101" spans="1:3">
      <c r="A101" s="1">
        <v>17.5</v>
      </c>
      <c r="B101" s="2">
        <v>1.24478341974083</v>
      </c>
      <c r="C101" t="s">
        <v>58</v>
      </c>
    </row>
    <row r="102" spans="1:3">
      <c r="A102" s="1">
        <v>17.5</v>
      </c>
      <c r="B102" s="2">
        <v>1.11736007329225</v>
      </c>
      <c r="C102" t="s">
        <v>58</v>
      </c>
    </row>
    <row r="103" spans="1:3">
      <c r="A103" s="1">
        <v>20</v>
      </c>
      <c r="B103" s="5">
        <v>1.11736007329225</v>
      </c>
      <c r="C103" t="s">
        <v>58</v>
      </c>
    </row>
    <row r="104" spans="1:3">
      <c r="A104" s="1">
        <v>35</v>
      </c>
      <c r="B104" s="2">
        <v>1.13415583390299</v>
      </c>
      <c r="C104" t="s">
        <v>58</v>
      </c>
    </row>
    <row r="105" spans="1:3">
      <c r="A105" s="1">
        <v>35.5555555555556</v>
      </c>
      <c r="B105" s="2">
        <v>1.33207804802924</v>
      </c>
      <c r="C105" t="s">
        <v>58</v>
      </c>
    </row>
    <row r="106" spans="1:3">
      <c r="A106" s="1">
        <v>53.3333333333333</v>
      </c>
      <c r="B106" s="2">
        <v>1.24302053352523</v>
      </c>
      <c r="C106" t="s">
        <v>58</v>
      </c>
    </row>
    <row r="107" spans="1:3">
      <c r="A107" s="1">
        <v>62.5</v>
      </c>
      <c r="B107" s="2">
        <v>1.36456440673705</v>
      </c>
      <c r="C107" t="s">
        <v>58</v>
      </c>
    </row>
    <row r="110" spans="1:1">
      <c r="A110" t="s">
        <v>181</v>
      </c>
    </row>
    <row r="111" spans="1:3">
      <c r="A111" t="s">
        <v>179</v>
      </c>
      <c r="B111" t="s">
        <v>175</v>
      </c>
      <c r="C111" t="s">
        <v>180</v>
      </c>
    </row>
    <row r="112" spans="1:3">
      <c r="A112" s="1">
        <v>7.5</v>
      </c>
      <c r="B112" s="2">
        <v>0.943862731238816</v>
      </c>
      <c r="C112" t="s">
        <v>58</v>
      </c>
    </row>
    <row r="113" spans="1:3">
      <c r="A113" s="1">
        <v>11.1111111111111</v>
      </c>
      <c r="B113" s="2">
        <v>1.00705489774309</v>
      </c>
      <c r="C113" t="s">
        <v>58</v>
      </c>
    </row>
    <row r="114" spans="1:3">
      <c r="A114" s="1">
        <v>17.5</v>
      </c>
      <c r="B114" s="2">
        <v>1.11736007329225</v>
      </c>
      <c r="C114" t="s">
        <v>58</v>
      </c>
    </row>
    <row r="115" spans="1:3">
      <c r="A115" s="1">
        <v>20</v>
      </c>
      <c r="B115" s="5">
        <v>1.11736007329225</v>
      </c>
      <c r="C115" t="s">
        <v>58</v>
      </c>
    </row>
    <row r="116" spans="1:3">
      <c r="A116" s="1">
        <v>35</v>
      </c>
      <c r="B116" s="2">
        <v>1.13415583390299</v>
      </c>
      <c r="C116" t="s">
        <v>58</v>
      </c>
    </row>
    <row r="117" spans="1:3">
      <c r="A117" s="1">
        <v>53.3333333333333</v>
      </c>
      <c r="B117" s="2">
        <v>1.24302053352523</v>
      </c>
      <c r="C117" t="s">
        <v>58</v>
      </c>
    </row>
    <row r="118" spans="1:3">
      <c r="A118" s="1">
        <v>62.5</v>
      </c>
      <c r="B118" s="2">
        <v>1.36456440673705</v>
      </c>
      <c r="C118" t="s">
        <v>58</v>
      </c>
    </row>
    <row r="123" spans="1:3">
      <c r="A123" t="s">
        <v>178</v>
      </c>
      <c r="C123" t="s">
        <v>187</v>
      </c>
    </row>
    <row r="124" spans="1:3">
      <c r="A124" t="s">
        <v>179</v>
      </c>
      <c r="B124" t="s">
        <v>175</v>
      </c>
      <c r="C124" t="s">
        <v>180</v>
      </c>
    </row>
    <row r="125" spans="1:3">
      <c r="A125" s="1">
        <v>11.1111111111111</v>
      </c>
      <c r="B125" s="2">
        <v>1.00705489774309</v>
      </c>
      <c r="C125" t="s">
        <v>58</v>
      </c>
    </row>
    <row r="126" spans="1:3">
      <c r="A126" s="1">
        <v>17.5</v>
      </c>
      <c r="B126" s="2">
        <v>1.11736007329225</v>
      </c>
      <c r="C126" t="s">
        <v>58</v>
      </c>
    </row>
    <row r="127" spans="1:3">
      <c r="A127" s="1">
        <v>35.5555555555556</v>
      </c>
      <c r="B127" s="2">
        <v>1.33207804802924</v>
      </c>
      <c r="C127" t="s">
        <v>58</v>
      </c>
    </row>
    <row r="128" spans="1:3">
      <c r="A128" s="1">
        <v>53.3333333333333</v>
      </c>
      <c r="B128" s="2">
        <v>1.24302053352523</v>
      </c>
      <c r="C128" t="s">
        <v>58</v>
      </c>
    </row>
    <row r="129" spans="1:3">
      <c r="A129" s="1">
        <v>62.5</v>
      </c>
      <c r="B129" s="2">
        <v>1.36456440673705</v>
      </c>
      <c r="C129" t="s">
        <v>58</v>
      </c>
    </row>
    <row r="130" spans="3:3">
      <c r="C130" s="2"/>
    </row>
    <row r="131" spans="1:3">
      <c r="A131" t="s">
        <v>182</v>
      </c>
      <c r="B131" t="s">
        <v>183</v>
      </c>
      <c r="C131" t="s">
        <v>184</v>
      </c>
    </row>
    <row r="132" spans="1:3">
      <c r="A132" t="s">
        <v>185</v>
      </c>
      <c r="B132" s="3">
        <v>0.9467</v>
      </c>
      <c r="C132" s="6">
        <v>0.0328</v>
      </c>
    </row>
    <row r="133" ht="18.75" customHeight="1" spans="1:3">
      <c r="A133" s="1" t="s">
        <v>188</v>
      </c>
      <c r="B133" s="2"/>
      <c r="C133" s="2">
        <f>0.0328-0.00758-0.0215</f>
        <v>0.00372</v>
      </c>
    </row>
    <row r="136" spans="1:3">
      <c r="A136" t="s">
        <v>181</v>
      </c>
      <c r="C136" t="s">
        <v>186</v>
      </c>
    </row>
    <row r="137" spans="1:3">
      <c r="A137" t="s">
        <v>179</v>
      </c>
      <c r="B137" t="s">
        <v>175</v>
      </c>
      <c r="C137" t="s">
        <v>180</v>
      </c>
    </row>
    <row r="138" spans="1:3">
      <c r="A138" s="1">
        <v>7.5</v>
      </c>
      <c r="B138" s="2">
        <v>0.943862731238816</v>
      </c>
      <c r="C138" t="s">
        <v>58</v>
      </c>
    </row>
    <row r="139" spans="1:3">
      <c r="A139" s="1">
        <v>20</v>
      </c>
      <c r="B139" s="5">
        <v>1.11736007329225</v>
      </c>
      <c r="C139" t="s">
        <v>58</v>
      </c>
    </row>
    <row r="140" spans="1:3">
      <c r="A140" s="1">
        <v>35</v>
      </c>
      <c r="B140" s="2">
        <v>1.13415583390299</v>
      </c>
      <c r="C140" t="s">
        <v>58</v>
      </c>
    </row>
    <row r="142" spans="1:3">
      <c r="A142" s="1"/>
      <c r="B142" s="2"/>
      <c r="C142" s="2"/>
    </row>
    <row r="143" spans="1:3">
      <c r="A143" s="1"/>
      <c r="B143" s="2"/>
      <c r="C143" s="2"/>
    </row>
    <row r="144" spans="1:3">
      <c r="A144" s="1"/>
      <c r="B144" s="2"/>
      <c r="C144" s="2"/>
    </row>
    <row r="145" spans="3:3">
      <c r="C145" s="2"/>
    </row>
    <row r="146" spans="3:3">
      <c r="C146" s="2"/>
    </row>
    <row r="147" spans="3:3">
      <c r="C147" s="7"/>
    </row>
    <row r="148" spans="1:1">
      <c r="A148" t="s">
        <v>178</v>
      </c>
    </row>
    <row r="149" spans="1:2">
      <c r="A149" t="s">
        <v>179</v>
      </c>
      <c r="B149" t="s">
        <v>175</v>
      </c>
    </row>
    <row r="150" spans="1:2">
      <c r="A150" s="8">
        <v>7.5</v>
      </c>
      <c r="B150" s="2">
        <v>0.943862731238816</v>
      </c>
    </row>
    <row r="151" spans="1:2">
      <c r="A151" s="8">
        <v>8.8888888888889</v>
      </c>
      <c r="B151" s="2">
        <v>0.905579347301888</v>
      </c>
    </row>
    <row r="152" spans="1:2">
      <c r="A152" s="8">
        <v>8.8888888888889</v>
      </c>
      <c r="B152" s="2">
        <v>0.952114679478278</v>
      </c>
    </row>
    <row r="153" spans="1:2">
      <c r="A153" s="8">
        <v>8.8888888888889</v>
      </c>
      <c r="B153" s="2">
        <v>0.884615449496208</v>
      </c>
    </row>
    <row r="154" spans="1:2">
      <c r="A154" s="8">
        <v>11.1111111111111</v>
      </c>
      <c r="B154" s="2">
        <v>1.017314158788</v>
      </c>
    </row>
    <row r="155" spans="1:2">
      <c r="A155" s="8">
        <v>11.1111111111111</v>
      </c>
      <c r="B155" s="2">
        <v>1.00705489774309</v>
      </c>
    </row>
    <row r="156" spans="1:2">
      <c r="A156" s="8">
        <v>11.1111111111111</v>
      </c>
      <c r="B156" s="2">
        <v>1.00705489774309</v>
      </c>
    </row>
    <row r="157" spans="1:2">
      <c r="A157" s="8">
        <v>11.1111111111111</v>
      </c>
      <c r="B157" s="2">
        <v>0.969321054815573</v>
      </c>
    </row>
    <row r="158" spans="1:2">
      <c r="A158" s="8">
        <v>12.5</v>
      </c>
      <c r="B158" s="2">
        <v>1.05057651105715</v>
      </c>
    </row>
    <row r="159" spans="1:2">
      <c r="A159" s="8">
        <v>13.3333333333333</v>
      </c>
      <c r="B159" s="2">
        <v>1.05057651105715</v>
      </c>
    </row>
    <row r="160" spans="1:2">
      <c r="A160" s="8">
        <v>13.3333333333333</v>
      </c>
      <c r="B160" s="2">
        <v>0.920343727774416</v>
      </c>
    </row>
    <row r="161" spans="1:2">
      <c r="A161" s="8">
        <v>15.5555555555556</v>
      </c>
      <c r="B161" s="2">
        <v>1.05057651105715</v>
      </c>
    </row>
    <row r="162" spans="1:2">
      <c r="A162" s="8">
        <v>16.4705882352941</v>
      </c>
      <c r="B162" s="2">
        <v>1.03903553773497</v>
      </c>
    </row>
    <row r="163" spans="1:2">
      <c r="A163" s="8">
        <v>17.5</v>
      </c>
      <c r="B163" s="2">
        <v>1.03903553773497</v>
      </c>
    </row>
    <row r="164" spans="1:2">
      <c r="A164" s="8">
        <v>17.5</v>
      </c>
      <c r="B164" s="2">
        <v>1.11736007329225</v>
      </c>
    </row>
    <row r="165" spans="1:2">
      <c r="A165" s="8">
        <v>17.5</v>
      </c>
      <c r="B165" s="2">
        <v>0.927989628694177</v>
      </c>
    </row>
    <row r="166" spans="1:2">
      <c r="A166" s="8">
        <v>20</v>
      </c>
      <c r="B166" s="2">
        <v>1.11736007329225</v>
      </c>
    </row>
    <row r="167" spans="1:2">
      <c r="A167" s="8">
        <v>20</v>
      </c>
      <c r="B167" s="2">
        <v>1.08181833199517</v>
      </c>
    </row>
    <row r="168" spans="1:2">
      <c r="A168" s="8">
        <v>22.5</v>
      </c>
      <c r="B168" s="2">
        <v>1.14998535885395</v>
      </c>
    </row>
    <row r="169" spans="1:2">
      <c r="A169" s="8">
        <v>22.5</v>
      </c>
      <c r="B169" s="2">
        <v>1.06263419653789</v>
      </c>
    </row>
    <row r="170" spans="1:2">
      <c r="A170" s="8">
        <v>24.7058823529412</v>
      </c>
      <c r="B170" s="2">
        <v>1.12678591526095</v>
      </c>
    </row>
    <row r="171" spans="1:2">
      <c r="A171" s="8">
        <v>25</v>
      </c>
      <c r="B171" s="2">
        <v>1.01213803126207</v>
      </c>
    </row>
    <row r="172" spans="1:2">
      <c r="A172" s="8">
        <v>25</v>
      </c>
      <c r="B172" s="2">
        <v>1.14998535885395</v>
      </c>
    </row>
    <row r="173" spans="1:2">
      <c r="A173" s="8">
        <v>27.5</v>
      </c>
      <c r="B173" s="2">
        <v>1.13312510739865</v>
      </c>
    </row>
    <row r="174" spans="1:2">
      <c r="A174" s="8">
        <v>30</v>
      </c>
      <c r="B174" s="2">
        <v>1.18781869533039</v>
      </c>
    </row>
    <row r="175" spans="1:2">
      <c r="A175" s="8">
        <v>32.5</v>
      </c>
      <c r="B175" s="2">
        <v>1.10253897836759</v>
      </c>
    </row>
    <row r="176" spans="1:2">
      <c r="A176" s="8">
        <v>32.5</v>
      </c>
      <c r="B176" s="2">
        <v>1.2910500634762</v>
      </c>
    </row>
    <row r="177" spans="1:2">
      <c r="A177" s="8">
        <v>34.2857142857143</v>
      </c>
      <c r="B177" s="2">
        <v>1.19833819463617</v>
      </c>
    </row>
    <row r="178" spans="1:2">
      <c r="A178" s="8">
        <v>35</v>
      </c>
      <c r="B178" s="2">
        <v>1.22099403323395</v>
      </c>
    </row>
    <row r="179" spans="1:2">
      <c r="A179" s="8">
        <v>35</v>
      </c>
      <c r="B179" s="2">
        <v>1.13415583390299</v>
      </c>
    </row>
    <row r="180" spans="1:2">
      <c r="A180" s="8">
        <v>35.5555555555556</v>
      </c>
      <c r="B180" s="2">
        <v>1.33207804802924</v>
      </c>
    </row>
    <row r="181" spans="1:2">
      <c r="A181" s="8">
        <v>37.5</v>
      </c>
      <c r="B181" s="2">
        <v>1.2910500634762</v>
      </c>
    </row>
    <row r="182" spans="1:2">
      <c r="A182" s="8">
        <v>37.5</v>
      </c>
      <c r="B182" s="2">
        <v>1.18781869533039</v>
      </c>
    </row>
    <row r="183" spans="1:2">
      <c r="A183" s="8">
        <v>40</v>
      </c>
      <c r="B183" s="2">
        <v>1.23326644426548</v>
      </c>
    </row>
    <row r="184" spans="1:2">
      <c r="A184" s="8">
        <v>40</v>
      </c>
      <c r="B184" s="2">
        <v>1.13312510739865</v>
      </c>
    </row>
    <row r="185" spans="1:2">
      <c r="A185" s="8">
        <v>42.5</v>
      </c>
      <c r="B185" s="2">
        <v>1.16813318340363</v>
      </c>
    </row>
    <row r="186" spans="1:2">
      <c r="A186" s="8">
        <v>45.7142857142857</v>
      </c>
      <c r="B186" s="2">
        <v>1.22099403323395</v>
      </c>
    </row>
    <row r="187" spans="1:2">
      <c r="A187" s="8">
        <v>47.5</v>
      </c>
      <c r="B187" s="2">
        <v>1.2601543639</v>
      </c>
    </row>
    <row r="188" spans="1:2">
      <c r="A188" s="8">
        <v>48.5714285714286</v>
      </c>
      <c r="B188" s="2">
        <v>1.26360459932349</v>
      </c>
    </row>
    <row r="189" spans="1:2">
      <c r="A189" s="8">
        <v>51.4285714285714</v>
      </c>
      <c r="B189" s="2">
        <v>1.22099403323395</v>
      </c>
    </row>
    <row r="190" spans="1:2">
      <c r="A190" s="8">
        <v>52.5</v>
      </c>
      <c r="B190" s="2">
        <v>1.2910500634762</v>
      </c>
    </row>
    <row r="191" spans="1:2">
      <c r="A191" s="8">
        <v>53.3333333333333</v>
      </c>
      <c r="B191" s="2">
        <v>1.24302053352523</v>
      </c>
    </row>
    <row r="192" spans="1:2">
      <c r="A192" s="8">
        <v>54.2857142857143</v>
      </c>
      <c r="B192" s="2">
        <v>1.32760869406898</v>
      </c>
    </row>
    <row r="193" spans="1:2">
      <c r="A193" s="8">
        <v>60</v>
      </c>
      <c r="B193" s="2">
        <v>1.37285079063421</v>
      </c>
    </row>
    <row r="194" spans="1:2">
      <c r="A194" s="8">
        <v>62.5</v>
      </c>
      <c r="B194" s="2">
        <v>1.36456440673705</v>
      </c>
    </row>
    <row r="195" spans="1:2">
      <c r="A195" s="8">
        <v>62.5</v>
      </c>
      <c r="B195" s="2">
        <v>1.37285079063421</v>
      </c>
    </row>
    <row r="196" spans="1:2">
      <c r="A196" s="8">
        <v>62.8571428571429</v>
      </c>
      <c r="B196" s="2">
        <v>1.37285079063421</v>
      </c>
    </row>
    <row r="198" spans="1:3">
      <c r="A198" t="s">
        <v>178</v>
      </c>
      <c r="C198" t="s">
        <v>186</v>
      </c>
    </row>
    <row r="199" spans="1:2">
      <c r="A199" t="s">
        <v>179</v>
      </c>
      <c r="B199" t="s">
        <v>175</v>
      </c>
    </row>
    <row r="200" spans="1:2">
      <c r="A200" s="1">
        <v>7.5</v>
      </c>
      <c r="B200" s="2">
        <v>0.943862731238816</v>
      </c>
    </row>
    <row r="201" spans="1:2">
      <c r="A201" s="1">
        <v>8.8888888888889</v>
      </c>
      <c r="B201" s="2">
        <v>0.884615449496208</v>
      </c>
    </row>
    <row r="202" spans="1:2">
      <c r="A202" s="1">
        <v>13.3333333333333</v>
      </c>
      <c r="B202" s="2">
        <v>0.920343727774416</v>
      </c>
    </row>
    <row r="203" spans="1:2">
      <c r="A203" s="1">
        <v>17.5</v>
      </c>
      <c r="B203" s="2">
        <v>1.24478341974083</v>
      </c>
    </row>
    <row r="204" spans="1:2">
      <c r="A204" s="1">
        <v>20</v>
      </c>
      <c r="B204" s="5">
        <v>1.11736007329225</v>
      </c>
    </row>
    <row r="205" spans="1:2">
      <c r="A205" s="1">
        <v>35</v>
      </c>
      <c r="B205" s="2">
        <v>1.13415583390299</v>
      </c>
    </row>
    <row r="206" spans="1:2">
      <c r="A206" s="1">
        <v>37.5</v>
      </c>
      <c r="B206" s="2">
        <v>1.18781869533039</v>
      </c>
    </row>
    <row r="207" spans="1:2">
      <c r="A207" s="1">
        <v>60</v>
      </c>
      <c r="B207" s="2">
        <v>1.37285079063421</v>
      </c>
    </row>
    <row r="208" spans="1:3">
      <c r="A208" t="s">
        <v>182</v>
      </c>
      <c r="B208" t="s">
        <v>183</v>
      </c>
      <c r="C208" t="s">
        <v>184</v>
      </c>
    </row>
    <row r="209" spans="1:3">
      <c r="A209" t="s">
        <v>185</v>
      </c>
      <c r="B209" s="3">
        <v>0.916</v>
      </c>
      <c r="C209" s="6">
        <v>0.0021</v>
      </c>
    </row>
    <row r="211" spans="1:3">
      <c r="A211" t="s">
        <v>181</v>
      </c>
      <c r="C211" t="s">
        <v>186</v>
      </c>
    </row>
    <row r="212" spans="1:2">
      <c r="A212" t="s">
        <v>179</v>
      </c>
      <c r="B212" t="s">
        <v>175</v>
      </c>
    </row>
    <row r="213" spans="1:2">
      <c r="A213" s="1">
        <v>7.5</v>
      </c>
      <c r="B213" s="2">
        <v>0.943862731238816</v>
      </c>
    </row>
    <row r="214" spans="1:2">
      <c r="A214" s="1">
        <v>8.8888888888889</v>
      </c>
      <c r="B214" s="2">
        <v>0.884615449496208</v>
      </c>
    </row>
    <row r="215" spans="1:2">
      <c r="A215" s="1">
        <v>13.3333333333333</v>
      </c>
      <c r="B215" s="2">
        <v>0.920343727774416</v>
      </c>
    </row>
    <row r="216" spans="1:2">
      <c r="A216" s="1">
        <v>20</v>
      </c>
      <c r="B216" s="5">
        <v>1.11736007329225</v>
      </c>
    </row>
    <row r="217" spans="1:2">
      <c r="A217" s="1">
        <v>35</v>
      </c>
      <c r="B217" s="2">
        <v>1.13415583390299</v>
      </c>
    </row>
    <row r="218" spans="1:2">
      <c r="A218" s="1">
        <v>37.5</v>
      </c>
      <c r="B218" s="2">
        <v>1.18781869533039</v>
      </c>
    </row>
    <row r="219" spans="1:2">
      <c r="A219" s="1">
        <v>60</v>
      </c>
      <c r="B219" s="2">
        <v>1.37285079063421</v>
      </c>
    </row>
    <row r="221" spans="1:3">
      <c r="A221" t="s">
        <v>182</v>
      </c>
      <c r="B221" t="s">
        <v>183</v>
      </c>
      <c r="C221" t="s">
        <v>184</v>
      </c>
    </row>
    <row r="222" spans="1:3">
      <c r="A222" t="s">
        <v>185</v>
      </c>
      <c r="B222" s="3">
        <v>0.8877</v>
      </c>
      <c r="C222" s="4">
        <v>-0.0261</v>
      </c>
    </row>
    <row r="224" spans="1:3">
      <c r="A224" t="s">
        <v>178</v>
      </c>
      <c r="C224" t="s">
        <v>187</v>
      </c>
    </row>
    <row r="225" spans="1:2">
      <c r="A225" t="s">
        <v>179</v>
      </c>
      <c r="B225" t="s">
        <v>175</v>
      </c>
    </row>
    <row r="226" spans="1:2">
      <c r="A226" s="1">
        <v>11.1111111111111</v>
      </c>
      <c r="B226" s="2">
        <v>1.00705489774309</v>
      </c>
    </row>
    <row r="227" spans="1:2">
      <c r="A227" s="1">
        <v>17.5</v>
      </c>
      <c r="B227" s="2">
        <v>1.11736007329225</v>
      </c>
    </row>
    <row r="228" spans="1:2">
      <c r="A228" s="1">
        <v>22.5</v>
      </c>
      <c r="B228" s="2">
        <v>1.14998535885395</v>
      </c>
    </row>
    <row r="229" spans="1:2">
      <c r="A229" s="1">
        <v>25</v>
      </c>
      <c r="B229" s="2">
        <v>1.14998535885395</v>
      </c>
    </row>
    <row r="230" spans="1:2">
      <c r="A230" s="1">
        <v>31.1111111111111</v>
      </c>
      <c r="B230" s="2">
        <v>1.46802177881975</v>
      </c>
    </row>
    <row r="231" spans="1:2">
      <c r="A231" s="1">
        <v>35.5555555555556</v>
      </c>
      <c r="B231" s="2">
        <v>1.33207804802924</v>
      </c>
    </row>
    <row r="232" spans="1:2">
      <c r="A232" s="1">
        <v>53.3333333333333</v>
      </c>
      <c r="B232" s="2">
        <v>1.24302053352523</v>
      </c>
    </row>
    <row r="233" spans="1:2">
      <c r="A233" s="1">
        <v>62.5</v>
      </c>
      <c r="B233" s="2">
        <v>1.36456440673705</v>
      </c>
    </row>
    <row r="235" spans="1:3">
      <c r="A235" t="s">
        <v>182</v>
      </c>
      <c r="B235" t="s">
        <v>183</v>
      </c>
      <c r="C235" t="s">
        <v>184</v>
      </c>
    </row>
    <row r="236" spans="1:3">
      <c r="A236" t="s">
        <v>185</v>
      </c>
      <c r="B236" s="3">
        <v>0.99106</v>
      </c>
      <c r="C236" s="4">
        <v>0.07716</v>
      </c>
    </row>
    <row r="238" spans="1:3">
      <c r="A238" t="s">
        <v>181</v>
      </c>
      <c r="C238" t="s">
        <v>187</v>
      </c>
    </row>
    <row r="239" spans="1:2">
      <c r="A239" t="s">
        <v>179</v>
      </c>
      <c r="B239" t="s">
        <v>175</v>
      </c>
    </row>
    <row r="240" spans="1:2">
      <c r="A240" s="1">
        <v>11.1111111111111</v>
      </c>
      <c r="B240" s="2">
        <v>1.00705489774309</v>
      </c>
    </row>
    <row r="241" spans="1:2">
      <c r="A241" s="1">
        <v>17.5</v>
      </c>
      <c r="B241" s="2">
        <v>1.11736007329225</v>
      </c>
    </row>
    <row r="242" spans="1:2">
      <c r="A242" s="1">
        <v>22.5</v>
      </c>
      <c r="B242" s="2">
        <v>1.14998535885395</v>
      </c>
    </row>
    <row r="243" spans="1:2">
      <c r="A243" s="1">
        <v>25</v>
      </c>
      <c r="B243" s="2">
        <v>1.14998535885395</v>
      </c>
    </row>
    <row r="244" spans="1:2">
      <c r="A244" s="1">
        <v>53.3333333333333</v>
      </c>
      <c r="B244" s="2">
        <v>1.24302053352523</v>
      </c>
    </row>
    <row r="245" spans="1:2">
      <c r="A245" s="1">
        <v>62.5</v>
      </c>
      <c r="B245" s="2">
        <v>1.36456440673705</v>
      </c>
    </row>
    <row r="247" spans="1:3">
      <c r="A247" t="s">
        <v>182</v>
      </c>
      <c r="B247" t="s">
        <v>183</v>
      </c>
      <c r="C247" t="s">
        <v>184</v>
      </c>
    </row>
    <row r="248" spans="1:3">
      <c r="A248" t="s">
        <v>185</v>
      </c>
      <c r="B248" s="3">
        <v>0.9345</v>
      </c>
      <c r="C248" s="9">
        <v>0.0206</v>
      </c>
    </row>
    <row r="250" spans="1:3">
      <c r="A250" s="10" t="s">
        <v>189</v>
      </c>
      <c r="B250" s="10"/>
      <c r="C250" s="10"/>
    </row>
    <row r="251" spans="1:1">
      <c r="A251" t="s">
        <v>178</v>
      </c>
    </row>
    <row r="252" spans="1:2">
      <c r="A252" t="s">
        <v>179</v>
      </c>
      <c r="B252" t="s">
        <v>175</v>
      </c>
    </row>
    <row r="253" spans="1:3">
      <c r="A253" s="1">
        <v>11.1111111111111</v>
      </c>
      <c r="B253" s="2">
        <v>0.969321054815573</v>
      </c>
      <c r="C253" t="s">
        <v>133</v>
      </c>
    </row>
    <row r="254" spans="1:3">
      <c r="A254" s="1">
        <v>24.7058823529412</v>
      </c>
      <c r="B254" s="2">
        <v>1.12678591526095</v>
      </c>
      <c r="C254" t="s">
        <v>133</v>
      </c>
    </row>
    <row r="255" spans="1:2">
      <c r="A255" s="1"/>
      <c r="B255" s="2"/>
    </row>
    <row r="257" spans="1:2">
      <c r="A257" s="1"/>
      <c r="B257" s="2"/>
    </row>
    <row r="258" spans="1:2">
      <c r="A258" s="1"/>
      <c r="B258" s="2"/>
    </row>
    <row r="259" spans="1:2">
      <c r="A259" s="1"/>
      <c r="B259" s="2"/>
    </row>
    <row r="265" spans="1:1">
      <c r="A265" t="s">
        <v>178</v>
      </c>
    </row>
    <row r="266" spans="1:3">
      <c r="A266" t="s">
        <v>179</v>
      </c>
      <c r="B266" t="s">
        <v>175</v>
      </c>
      <c r="C266" t="s">
        <v>180</v>
      </c>
    </row>
    <row r="267" spans="1:3">
      <c r="A267" s="1">
        <v>8.8888888888889</v>
      </c>
      <c r="B267" s="2">
        <v>0.884615449496208</v>
      </c>
      <c r="C267" s="2" t="s">
        <v>65</v>
      </c>
    </row>
    <row r="268" spans="1:3">
      <c r="A268" s="1">
        <v>13.3333333333333</v>
      </c>
      <c r="B268" s="2">
        <v>0.920343727774416</v>
      </c>
      <c r="C268" s="2" t="s">
        <v>148</v>
      </c>
    </row>
    <row r="269" spans="1:3">
      <c r="A269" s="1">
        <v>22.5</v>
      </c>
      <c r="B269" s="2">
        <v>1.14998535885395</v>
      </c>
      <c r="C269" s="2" t="s">
        <v>65</v>
      </c>
    </row>
    <row r="270" spans="1:3">
      <c r="A270" s="1">
        <v>24.7058823529412</v>
      </c>
      <c r="B270" s="2">
        <v>1.12678591526095</v>
      </c>
      <c r="C270" s="2" t="s">
        <v>81</v>
      </c>
    </row>
    <row r="271" spans="1:3">
      <c r="A271" s="1">
        <v>25</v>
      </c>
      <c r="B271" s="2">
        <v>1.14998535885395</v>
      </c>
      <c r="C271" s="2" t="s">
        <v>65</v>
      </c>
    </row>
    <row r="272" spans="1:3">
      <c r="A272" s="1">
        <v>31.1111111111111</v>
      </c>
      <c r="B272" s="2">
        <v>1.46802177881975</v>
      </c>
      <c r="C272" s="2" t="s">
        <v>145</v>
      </c>
    </row>
    <row r="273" spans="1:3">
      <c r="A273" s="1">
        <v>37.5</v>
      </c>
      <c r="B273" s="2">
        <v>1.18781869533039</v>
      </c>
      <c r="C273" s="2" t="s">
        <v>65</v>
      </c>
    </row>
    <row r="274" spans="1:3">
      <c r="A274" s="1">
        <v>60</v>
      </c>
      <c r="B274" s="2">
        <v>1.37285079063421</v>
      </c>
      <c r="C274" s="2" t="s">
        <v>65</v>
      </c>
    </row>
    <row r="278" spans="1:1">
      <c r="A278" t="s">
        <v>178</v>
      </c>
    </row>
    <row r="279" spans="1:3">
      <c r="A279" t="s">
        <v>179</v>
      </c>
      <c r="B279" t="s">
        <v>175</v>
      </c>
      <c r="C279" t="s">
        <v>180</v>
      </c>
    </row>
    <row r="280" spans="1:3">
      <c r="A280" s="1">
        <v>8.8888888888889</v>
      </c>
      <c r="B280" s="2">
        <v>0.884615449496208</v>
      </c>
      <c r="C280" s="2" t="s">
        <v>65</v>
      </c>
    </row>
    <row r="281" spans="1:3">
      <c r="A281" s="1">
        <v>13.3333333333333</v>
      </c>
      <c r="B281" s="2">
        <v>0.920343727774416</v>
      </c>
      <c r="C281" s="2" t="s">
        <v>148</v>
      </c>
    </row>
    <row r="282" spans="1:3">
      <c r="A282" s="1">
        <v>22.5</v>
      </c>
      <c r="B282" s="2">
        <v>1.14998535885395</v>
      </c>
      <c r="C282" s="2" t="s">
        <v>65</v>
      </c>
    </row>
    <row r="283" spans="1:3">
      <c r="A283" s="1">
        <v>24.7058823529412</v>
      </c>
      <c r="B283" s="2">
        <v>1.12678591526095</v>
      </c>
      <c r="C283" s="2" t="s">
        <v>81</v>
      </c>
    </row>
    <row r="284" spans="1:3">
      <c r="A284" s="1">
        <v>25</v>
      </c>
      <c r="B284" s="2">
        <v>1.14998535885395</v>
      </c>
      <c r="C284" s="2" t="s">
        <v>65</v>
      </c>
    </row>
    <row r="285" spans="1:3">
      <c r="A285" s="1">
        <v>37.5</v>
      </c>
      <c r="B285" s="2">
        <v>1.18781869533039</v>
      </c>
      <c r="C285" s="2" t="s">
        <v>65</v>
      </c>
    </row>
    <row r="286" spans="1:3">
      <c r="A286" s="1">
        <v>60</v>
      </c>
      <c r="B286" s="2">
        <v>1.37285079063421</v>
      </c>
      <c r="C286" s="2" t="s">
        <v>65</v>
      </c>
    </row>
    <row r="292" spans="1:1">
      <c r="A292" t="s">
        <v>178</v>
      </c>
    </row>
    <row r="293" spans="1:3">
      <c r="A293" t="s">
        <v>179</v>
      </c>
      <c r="B293" t="s">
        <v>175</v>
      </c>
      <c r="C293" t="s">
        <v>180</v>
      </c>
    </row>
    <row r="294" spans="1:3">
      <c r="A294" s="11">
        <v>25</v>
      </c>
      <c r="B294" s="12">
        <v>1.01213803126207</v>
      </c>
      <c r="C294" t="s">
        <v>190</v>
      </c>
    </row>
    <row r="295" spans="1:3">
      <c r="A295" s="11">
        <v>45.7142857142857</v>
      </c>
      <c r="B295" s="12">
        <v>1.22099403323395</v>
      </c>
      <c r="C295" t="s">
        <v>190</v>
      </c>
    </row>
    <row r="296" spans="1:2">
      <c r="A296" s="1"/>
      <c r="B296" s="2"/>
    </row>
    <row r="297" spans="1:2">
      <c r="A297" s="1"/>
      <c r="B297" s="2"/>
    </row>
    <row r="298" spans="1:2">
      <c r="A298" s="1"/>
      <c r="B298" s="2"/>
    </row>
    <row r="299" spans="1:2">
      <c r="A299" s="1"/>
      <c r="B299" s="2"/>
    </row>
    <row r="303" spans="1:1">
      <c r="A303" t="s">
        <v>178</v>
      </c>
    </row>
    <row r="304" spans="1:3">
      <c r="A304" t="s">
        <v>179</v>
      </c>
      <c r="B304" t="s">
        <v>175</v>
      </c>
      <c r="C304" t="s">
        <v>180</v>
      </c>
    </row>
    <row r="305" spans="1:3">
      <c r="A305" s="11">
        <v>24.7058823529412</v>
      </c>
      <c r="B305" s="12">
        <v>1.12678591526095</v>
      </c>
      <c r="C305" s="2" t="s">
        <v>81</v>
      </c>
    </row>
    <row r="306" spans="1:3">
      <c r="A306" s="11">
        <v>25</v>
      </c>
      <c r="B306" s="12">
        <v>1.14998535885395</v>
      </c>
      <c r="C306" s="2" t="s">
        <v>65</v>
      </c>
    </row>
    <row r="307" spans="1:3">
      <c r="A307" s="11">
        <v>37.5</v>
      </c>
      <c r="B307" s="12">
        <v>1.18781869533039</v>
      </c>
      <c r="C307" s="2" t="s">
        <v>65</v>
      </c>
    </row>
    <row r="308" spans="1:3">
      <c r="A308" s="11">
        <v>60</v>
      </c>
      <c r="B308" s="12">
        <v>1.37285079063421</v>
      </c>
      <c r="C308" s="2" t="s">
        <v>65</v>
      </c>
    </row>
    <row r="316" spans="1:1">
      <c r="A316" t="s">
        <v>181</v>
      </c>
    </row>
    <row r="317" spans="1:3">
      <c r="A317" t="s">
        <v>179</v>
      </c>
      <c r="B317" t="s">
        <v>175</v>
      </c>
      <c r="C317" t="s">
        <v>180</v>
      </c>
    </row>
    <row r="318" spans="1:3">
      <c r="A318" s="1">
        <v>7.5</v>
      </c>
      <c r="B318" s="2">
        <v>0.943862731238816</v>
      </c>
      <c r="C318" t="s">
        <v>58</v>
      </c>
    </row>
    <row r="319" spans="1:3">
      <c r="A319" s="1">
        <v>11.1111111111111</v>
      </c>
      <c r="B319" s="2">
        <v>1.00705489774309</v>
      </c>
      <c r="C319" t="s">
        <v>58</v>
      </c>
    </row>
    <row r="320" spans="1:3">
      <c r="A320" s="1">
        <v>35</v>
      </c>
      <c r="B320" s="2">
        <v>1.13415583390299</v>
      </c>
      <c r="C320" t="s">
        <v>58</v>
      </c>
    </row>
    <row r="321" spans="1:3">
      <c r="A321" s="1">
        <v>53.3333333333333</v>
      </c>
      <c r="B321" s="2">
        <v>1.24302053352523</v>
      </c>
      <c r="C321" t="s">
        <v>58</v>
      </c>
    </row>
    <row r="322" spans="1:3">
      <c r="A322" s="1">
        <v>62.5</v>
      </c>
      <c r="B322" s="2">
        <v>1.36456440673705</v>
      </c>
      <c r="C322" t="s">
        <v>58</v>
      </c>
    </row>
    <row r="329" spans="1:1">
      <c r="A329" t="s">
        <v>178</v>
      </c>
    </row>
    <row r="330" spans="1:2">
      <c r="A330" t="s">
        <v>179</v>
      </c>
      <c r="B330" t="s">
        <v>175</v>
      </c>
    </row>
    <row r="331" spans="1:2">
      <c r="A331">
        <v>7.5</v>
      </c>
      <c r="B331">
        <v>0.943862731238816</v>
      </c>
    </row>
    <row r="332" spans="1:2">
      <c r="A332">
        <v>8.8888888888889</v>
      </c>
      <c r="B332">
        <v>0.952114679478278</v>
      </c>
    </row>
    <row r="333" spans="1:2">
      <c r="A333">
        <v>11.1111111111111</v>
      </c>
      <c r="B333">
        <v>1.017314158788</v>
      </c>
    </row>
    <row r="334" spans="1:2">
      <c r="A334">
        <v>11.1111111111111</v>
      </c>
      <c r="B334">
        <v>1.00705489774309</v>
      </c>
    </row>
    <row r="335" spans="1:2">
      <c r="A335">
        <v>11.1111111111111</v>
      </c>
      <c r="B335">
        <v>1.00705489774309</v>
      </c>
    </row>
    <row r="336" spans="1:2">
      <c r="A336">
        <v>11.1111111111111</v>
      </c>
      <c r="B336">
        <v>0.969321054815573</v>
      </c>
    </row>
    <row r="337" spans="1:2">
      <c r="A337">
        <v>12.5</v>
      </c>
      <c r="B337">
        <v>1.05057651105715</v>
      </c>
    </row>
    <row r="338" spans="1:2">
      <c r="A338">
        <v>13.3333333333333</v>
      </c>
      <c r="B338">
        <v>1.05057651105715</v>
      </c>
    </row>
    <row r="339" spans="1:2">
      <c r="A339">
        <v>13.3333333333333</v>
      </c>
      <c r="B339">
        <v>0.920343727774416</v>
      </c>
    </row>
    <row r="340" spans="1:2">
      <c r="A340">
        <v>15.5555555555556</v>
      </c>
      <c r="B340">
        <v>1.05057651105715</v>
      </c>
    </row>
    <row r="341" spans="1:2">
      <c r="A341">
        <v>16.4705882352941</v>
      </c>
      <c r="B341">
        <v>1.03903553773497</v>
      </c>
    </row>
    <row r="342" spans="1:2">
      <c r="A342">
        <v>17.5</v>
      </c>
      <c r="B342">
        <v>1.03903553773497</v>
      </c>
    </row>
    <row r="343" spans="1:2">
      <c r="A343">
        <v>20</v>
      </c>
      <c r="B343">
        <v>1.08181833199517</v>
      </c>
    </row>
    <row r="344" spans="1:2">
      <c r="A344">
        <v>22.5</v>
      </c>
      <c r="B344">
        <v>1.06263419653789</v>
      </c>
    </row>
    <row r="345" spans="1:2">
      <c r="A345">
        <v>24.7058823529412</v>
      </c>
      <c r="B345">
        <v>1.12678591526095</v>
      </c>
    </row>
    <row r="346" spans="1:2">
      <c r="A346">
        <v>25</v>
      </c>
      <c r="B346">
        <v>1.01213803126207</v>
      </c>
    </row>
    <row r="347" spans="1:2">
      <c r="A347">
        <v>25</v>
      </c>
      <c r="B347">
        <v>1.14998535885395</v>
      </c>
    </row>
    <row r="348" spans="1:2">
      <c r="A348">
        <v>27.5</v>
      </c>
      <c r="B348">
        <v>1.13312510739865</v>
      </c>
    </row>
    <row r="349" spans="1:2">
      <c r="A349">
        <v>30</v>
      </c>
      <c r="B349">
        <v>1.18781869533039</v>
      </c>
    </row>
    <row r="350" spans="1:2">
      <c r="A350">
        <v>32.5</v>
      </c>
      <c r="B350">
        <v>1.10253897836759</v>
      </c>
    </row>
    <row r="351" spans="1:2">
      <c r="A351">
        <v>34.2857142857143</v>
      </c>
      <c r="B351">
        <v>1.19833819463617</v>
      </c>
    </row>
    <row r="352" spans="1:2">
      <c r="A352">
        <v>35</v>
      </c>
      <c r="B352">
        <v>1.22099403323395</v>
      </c>
    </row>
    <row r="353" spans="1:2">
      <c r="A353">
        <v>35</v>
      </c>
      <c r="B353">
        <v>1.13415583390299</v>
      </c>
    </row>
    <row r="354" spans="1:2">
      <c r="A354">
        <v>37.5</v>
      </c>
      <c r="B354">
        <v>1.18781869533039</v>
      </c>
    </row>
    <row r="355" spans="1:2">
      <c r="A355">
        <v>40</v>
      </c>
      <c r="B355">
        <v>1.23326644426548</v>
      </c>
    </row>
    <row r="356" spans="1:2">
      <c r="A356">
        <v>40</v>
      </c>
      <c r="B356">
        <v>1.13312510739865</v>
      </c>
    </row>
    <row r="357" spans="1:2">
      <c r="A357">
        <v>42.5</v>
      </c>
      <c r="B357">
        <v>1.16813318340363</v>
      </c>
    </row>
    <row r="358" spans="1:2">
      <c r="A358">
        <v>45.7142857142857</v>
      </c>
      <c r="B358">
        <v>1.22099403323395</v>
      </c>
    </row>
    <row r="359" spans="1:2">
      <c r="A359">
        <v>47.5</v>
      </c>
      <c r="B359">
        <v>1.2601543639</v>
      </c>
    </row>
    <row r="360" spans="1:2">
      <c r="A360">
        <v>48.5714285714286</v>
      </c>
      <c r="B360">
        <v>1.26360459932349</v>
      </c>
    </row>
    <row r="361" spans="1:2">
      <c r="A361">
        <v>51.4285714285714</v>
      </c>
      <c r="B361">
        <v>1.22099403323395</v>
      </c>
    </row>
    <row r="362" spans="1:2">
      <c r="A362">
        <v>52.5</v>
      </c>
      <c r="B362">
        <v>1.2910500634762</v>
      </c>
    </row>
    <row r="363" spans="1:2">
      <c r="A363">
        <v>53.3333333333333</v>
      </c>
      <c r="B363">
        <v>1.24302053352523</v>
      </c>
    </row>
    <row r="364" spans="1:2">
      <c r="A364">
        <v>54.2857142857143</v>
      </c>
      <c r="B364">
        <v>1.32760869406898</v>
      </c>
    </row>
    <row r="365" spans="1:2">
      <c r="A365">
        <v>60</v>
      </c>
      <c r="B365">
        <v>1.37285079063421</v>
      </c>
    </row>
    <row r="366" spans="1:2">
      <c r="A366">
        <v>62.5</v>
      </c>
      <c r="B366">
        <v>1.36456440673705</v>
      </c>
    </row>
    <row r="367" spans="1:2">
      <c r="A367">
        <v>62.5</v>
      </c>
      <c r="B367">
        <v>1.37285079063421</v>
      </c>
    </row>
    <row r="368" spans="1:2">
      <c r="A368">
        <v>62.8571428571429</v>
      </c>
      <c r="B368">
        <v>1.37285079063421</v>
      </c>
    </row>
    <row r="370" spans="1:14">
      <c r="A370" t="s">
        <v>191</v>
      </c>
      <c r="N370" t="s">
        <v>192</v>
      </c>
    </row>
    <row r="371" spans="1:16">
      <c r="A371" t="s">
        <v>193</v>
      </c>
      <c r="B371" t="s">
        <v>194</v>
      </c>
      <c r="C371" t="s">
        <v>195</v>
      </c>
      <c r="N371" t="s">
        <v>193</v>
      </c>
      <c r="O371" t="s">
        <v>194</v>
      </c>
      <c r="P371" t="s">
        <v>195</v>
      </c>
    </row>
    <row r="372" spans="1:16">
      <c r="A372">
        <v>1</v>
      </c>
      <c r="B372" s="13">
        <v>4.97408501706111e-5</v>
      </c>
      <c r="C372" s="13">
        <v>4.62600556165611e-5</v>
      </c>
      <c r="N372">
        <v>1</v>
      </c>
      <c r="O372" s="13">
        <v>1.18496742857143</v>
      </c>
      <c r="P372" s="13">
        <v>1.19833819463617</v>
      </c>
    </row>
    <row r="373" spans="1:16">
      <c r="A373">
        <v>2</v>
      </c>
      <c r="B373" s="13">
        <v>2.22524856026418e-5</v>
      </c>
      <c r="C373" s="13">
        <v>2.19201551833588e-5</v>
      </c>
      <c r="N373">
        <v>2</v>
      </c>
      <c r="O373" s="13">
        <v>1.0356225965</v>
      </c>
      <c r="P373" s="13">
        <v>1.03903553773497</v>
      </c>
    </row>
    <row r="374" spans="1:16">
      <c r="A374">
        <v>3</v>
      </c>
      <c r="B374" s="13">
        <v>8.45594452900389e-5</v>
      </c>
      <c r="C374" s="13">
        <v>9.34452430358732e-5</v>
      </c>
      <c r="N374">
        <v>3</v>
      </c>
      <c r="O374" s="13">
        <v>1.307586</v>
      </c>
      <c r="P374" s="13">
        <v>1.2910500634762</v>
      </c>
    </row>
    <row r="375" spans="1:16">
      <c r="A375">
        <v>4</v>
      </c>
      <c r="B375" s="13">
        <v>0.000140932408816731</v>
      </c>
      <c r="C375" s="13">
        <v>0.000132670140023968</v>
      </c>
      <c r="N375">
        <v>4</v>
      </c>
      <c r="O375" s="12">
        <v>1.363518054</v>
      </c>
      <c r="P375" s="13">
        <v>1.37285079063421</v>
      </c>
    </row>
    <row r="376" spans="1:16">
      <c r="A376">
        <v>5</v>
      </c>
      <c r="B376" s="13">
        <v>2.72772404161416e-5</v>
      </c>
      <c r="C376" s="13">
        <v>2.82217424633189e-5</v>
      </c>
      <c r="N376">
        <v>5</v>
      </c>
      <c r="O376" s="13">
        <v>1.088796</v>
      </c>
      <c r="P376" s="13">
        <v>1.08181833199517</v>
      </c>
    </row>
    <row r="377" spans="1:16">
      <c r="A377">
        <v>6</v>
      </c>
      <c r="B377" s="13">
        <v>5.63729635266926e-5</v>
      </c>
      <c r="C377" s="13">
        <v>5.51751762387267e-5</v>
      </c>
      <c r="N377">
        <v>6</v>
      </c>
      <c r="O377" s="12">
        <v>1.21714285714286</v>
      </c>
      <c r="P377" s="13">
        <v>1.22099403323395</v>
      </c>
    </row>
    <row r="378" spans="1:16">
      <c r="A378">
        <v>7</v>
      </c>
      <c r="B378" s="13">
        <v>3.01998018892996e-5</v>
      </c>
      <c r="C378" s="13">
        <v>3.35995357387619e-5</v>
      </c>
      <c r="N378">
        <v>7</v>
      </c>
      <c r="O378" s="13">
        <v>1.1097111515</v>
      </c>
      <c r="P378" s="13">
        <v>1.10253897836759</v>
      </c>
    </row>
    <row r="379" spans="1:16">
      <c r="A379">
        <v>8</v>
      </c>
      <c r="B379" s="13">
        <v>2.01332012595331e-5</v>
      </c>
      <c r="C379" s="13">
        <v>2.12369123387958e-5</v>
      </c>
      <c r="N379">
        <v>8</v>
      </c>
      <c r="O379" s="13">
        <v>1.028956</v>
      </c>
      <c r="P379" s="13">
        <v>1.017314158788</v>
      </c>
    </row>
    <row r="380" spans="1:16">
      <c r="A380">
        <v>9</v>
      </c>
      <c r="B380" s="13">
        <v>0.000140932408816731</v>
      </c>
      <c r="C380" s="13">
        <v>0.000144537227724569</v>
      </c>
      <c r="N380">
        <v>9</v>
      </c>
      <c r="O380" s="12">
        <v>1.37672673428571</v>
      </c>
      <c r="P380" s="13">
        <v>1.37285079063421</v>
      </c>
    </row>
    <row r="381" spans="1:16">
      <c r="A381">
        <v>10</v>
      </c>
      <c r="B381" s="13">
        <v>3.0522794422875e-5</v>
      </c>
      <c r="C381" s="13">
        <v>3.08446640687735e-5</v>
      </c>
      <c r="N381">
        <v>10</v>
      </c>
      <c r="O381" s="12">
        <v>1.12898310105882</v>
      </c>
      <c r="P381" s="13">
        <v>1.12678591526095</v>
      </c>
    </row>
    <row r="382" spans="1:16">
      <c r="A382">
        <v>11</v>
      </c>
      <c r="B382" s="13">
        <v>7.6103500761035e-5</v>
      </c>
      <c r="C382" s="13">
        <v>6.54362741315976e-5</v>
      </c>
      <c r="N382">
        <v>11</v>
      </c>
      <c r="O382" s="12">
        <v>1.335654926</v>
      </c>
      <c r="P382" s="13">
        <v>1.36456440673705</v>
      </c>
    </row>
    <row r="383" spans="1:16">
      <c r="A383">
        <v>12</v>
      </c>
      <c r="B383" s="13">
        <v>3.52331022041829e-5</v>
      </c>
      <c r="C383" s="13">
        <v>4.00777872198321e-5</v>
      </c>
      <c r="N383">
        <v>12</v>
      </c>
      <c r="O383" s="12">
        <v>1.27249893933333</v>
      </c>
      <c r="P383" s="13">
        <v>1.24302053352523</v>
      </c>
    </row>
    <row r="384" spans="1:16">
      <c r="A384">
        <v>13</v>
      </c>
      <c r="B384" s="13">
        <v>2.22524856026418e-5</v>
      </c>
      <c r="C384" s="13">
        <v>2.13158455947101e-5</v>
      </c>
      <c r="N384">
        <v>13</v>
      </c>
      <c r="O384" s="13">
        <v>1.03053808782353</v>
      </c>
      <c r="P384" s="13">
        <v>1.03903553773497</v>
      </c>
    </row>
    <row r="385" spans="1:16">
      <c r="A385">
        <v>14</v>
      </c>
      <c r="B385" s="13">
        <v>1.96649872767532e-5</v>
      </c>
      <c r="C385" s="13">
        <v>1.94754720679427e-5</v>
      </c>
      <c r="N385">
        <v>14</v>
      </c>
      <c r="O385" s="12">
        <v>1.01</v>
      </c>
      <c r="P385" s="13">
        <v>1.01213803126207</v>
      </c>
    </row>
    <row r="386" spans="1:16">
      <c r="A386">
        <v>15</v>
      </c>
      <c r="B386" s="13">
        <v>4.22797226450194e-5</v>
      </c>
      <c r="C386" s="13">
        <v>4.56434975980047e-5</v>
      </c>
      <c r="N386">
        <v>15</v>
      </c>
      <c r="O386" s="13">
        <v>1.1591035215</v>
      </c>
      <c r="P386" s="13">
        <v>1.16813318340363</v>
      </c>
    </row>
    <row r="387" spans="1:16">
      <c r="A387">
        <v>16</v>
      </c>
      <c r="B387" s="13">
        <v>5.63729635266926e-5</v>
      </c>
      <c r="C387" s="13">
        <v>5.64397410057587e-5</v>
      </c>
      <c r="N387">
        <v>16</v>
      </c>
      <c r="O387" s="12">
        <v>1.22120589342857</v>
      </c>
      <c r="P387" s="13">
        <v>1.22099403323395</v>
      </c>
    </row>
    <row r="388" spans="1:16">
      <c r="A388">
        <v>17</v>
      </c>
      <c r="B388" s="13">
        <v>3.52331022041829e-5</v>
      </c>
      <c r="C388" s="13">
        <v>3.63651481640952e-5</v>
      </c>
      <c r="N388">
        <v>17</v>
      </c>
      <c r="O388" s="13">
        <v>1.139286</v>
      </c>
      <c r="P388" s="13">
        <v>1.13312510739865</v>
      </c>
    </row>
    <row r="389" spans="1:16">
      <c r="A389">
        <v>18</v>
      </c>
      <c r="B389" s="13">
        <v>6.03996037785992e-5</v>
      </c>
      <c r="C389" s="13">
        <v>5.71483486404365e-5</v>
      </c>
      <c r="N389">
        <v>18</v>
      </c>
      <c r="O389" s="13">
        <v>1.223436</v>
      </c>
      <c r="P389" s="13">
        <v>1.23326644426548</v>
      </c>
    </row>
    <row r="390" spans="1:16">
      <c r="A390">
        <v>19</v>
      </c>
      <c r="B390" s="13">
        <v>4.69774696055772e-5</v>
      </c>
      <c r="C390" s="13">
        <v>4.18051656372351e-5</v>
      </c>
      <c r="N390">
        <v>19</v>
      </c>
      <c r="O390" s="12">
        <v>1.16600103</v>
      </c>
      <c r="P390" s="13">
        <v>1.18781869533039</v>
      </c>
    </row>
    <row r="391" spans="1:16">
      <c r="A391">
        <v>20</v>
      </c>
      <c r="B391" s="13">
        <v>1.92180557477361e-5</v>
      </c>
      <c r="C391" s="13">
        <v>1.84783488110301e-5</v>
      </c>
      <c r="N391">
        <v>20</v>
      </c>
      <c r="O391" s="13">
        <v>1.00406636011111</v>
      </c>
      <c r="P391" s="13">
        <v>1.00705489774309</v>
      </c>
    </row>
    <row r="392" spans="1:16">
      <c r="A392">
        <v>21</v>
      </c>
      <c r="B392" s="13">
        <v>1.92180557477361e-5</v>
      </c>
      <c r="C392" s="13">
        <v>1.71579356001052e-5</v>
      </c>
      <c r="N392">
        <v>21</v>
      </c>
      <c r="O392" s="12">
        <v>0.981598637111111</v>
      </c>
      <c r="P392" s="13">
        <v>1.00705489774309</v>
      </c>
    </row>
    <row r="393" spans="1:16">
      <c r="A393">
        <v>22</v>
      </c>
      <c r="B393" s="13">
        <v>7.04662044083657e-5</v>
      </c>
      <c r="C393" s="13">
        <v>7.83470674890321e-5</v>
      </c>
      <c r="N393">
        <v>22</v>
      </c>
      <c r="O393" s="12">
        <v>1.2782353725</v>
      </c>
      <c r="P393" s="13">
        <v>1.2601543639</v>
      </c>
    </row>
    <row r="394" spans="1:16">
      <c r="A394">
        <v>23</v>
      </c>
      <c r="B394" s="13">
        <v>3.52331022041829e-5</v>
      </c>
      <c r="C394" s="13">
        <v>4.22067756305915e-5</v>
      </c>
      <c r="N394">
        <v>23</v>
      </c>
      <c r="O394" s="13">
        <v>1.146755429</v>
      </c>
      <c r="P394" s="13">
        <v>1.13312510739865</v>
      </c>
    </row>
    <row r="395" spans="1:16">
      <c r="A395">
        <v>24</v>
      </c>
      <c r="B395" s="13">
        <v>0.000105699306612549</v>
      </c>
      <c r="C395" s="13">
        <v>0.000100590835864949</v>
      </c>
      <c r="N395">
        <v>24</v>
      </c>
      <c r="O395" s="13">
        <v>1.31960742857143</v>
      </c>
      <c r="P395" s="13">
        <v>1.32760869406898</v>
      </c>
    </row>
    <row r="396" spans="1:16">
      <c r="A396">
        <v>25</v>
      </c>
      <c r="B396" s="13">
        <v>2.34887348027886e-5</v>
      </c>
      <c r="C396" s="13">
        <v>2.21770261600685e-5</v>
      </c>
      <c r="N396">
        <v>25</v>
      </c>
      <c r="O396" s="13">
        <v>1.038306</v>
      </c>
      <c r="P396" s="13">
        <v>1.05057651105715</v>
      </c>
    </row>
    <row r="397" spans="1:16">
      <c r="A397">
        <v>26</v>
      </c>
      <c r="B397" s="13">
        <v>5.70776255707763e-5</v>
      </c>
      <c r="C397" s="13">
        <v>4.5088903042013e-5</v>
      </c>
      <c r="N397">
        <v>26</v>
      </c>
      <c r="O397" s="12">
        <v>1.198067985</v>
      </c>
      <c r="P397" s="13">
        <v>1.22099403323395</v>
      </c>
    </row>
    <row r="398" spans="1:16">
      <c r="A398">
        <v>27</v>
      </c>
      <c r="B398" s="13">
        <v>5.63729635266926e-5</v>
      </c>
      <c r="C398" s="13">
        <v>4.96674997976398e-5</v>
      </c>
      <c r="N398">
        <v>27</v>
      </c>
      <c r="O398" s="13">
        <v>0.993090277888889</v>
      </c>
      <c r="P398" s="13">
        <v>0.952114679478278</v>
      </c>
    </row>
    <row r="399" spans="1:16">
      <c r="A399">
        <v>28</v>
      </c>
      <c r="B399" s="13">
        <v>1.50999009446498e-5</v>
      </c>
      <c r="C399" s="13">
        <v>1.74383811518846e-5</v>
      </c>
      <c r="N399">
        <v>28</v>
      </c>
      <c r="O399" s="12">
        <v>1.130937559</v>
      </c>
      <c r="P399" s="13">
        <v>1.14998535885395</v>
      </c>
    </row>
    <row r="400" spans="1:16">
      <c r="A400">
        <v>29</v>
      </c>
      <c r="B400" s="13">
        <v>3.84361114954722e-5</v>
      </c>
      <c r="C400" s="13">
        <v>3.48413121690555e-5</v>
      </c>
      <c r="N400">
        <v>29</v>
      </c>
      <c r="O400" s="13">
        <v>1.374906</v>
      </c>
      <c r="P400" s="13">
        <v>1.37285079063421</v>
      </c>
    </row>
    <row r="401" spans="1:16">
      <c r="A401">
        <v>30</v>
      </c>
      <c r="B401" s="13">
        <v>0.000140932408816731</v>
      </c>
      <c r="C401" s="13">
        <v>0.000142830771694542</v>
      </c>
      <c r="N401">
        <v>30</v>
      </c>
      <c r="O401" s="13">
        <v>1.01504244233333</v>
      </c>
      <c r="P401" s="13">
        <v>1.05057651105715</v>
      </c>
    </row>
    <row r="402" spans="1:16">
      <c r="A402">
        <v>31</v>
      </c>
      <c r="B402" s="13">
        <v>2.34887348027886e-5</v>
      </c>
      <c r="C402" s="13">
        <v>1.95952268132629e-5</v>
      </c>
      <c r="N402">
        <v>31</v>
      </c>
      <c r="O402" s="12">
        <v>1.07336316</v>
      </c>
      <c r="P402" s="13">
        <v>1.05057651105715</v>
      </c>
    </row>
    <row r="403" spans="1:16">
      <c r="A403">
        <v>32</v>
      </c>
      <c r="B403" s="13">
        <v>2.34887348027886e-5</v>
      </c>
      <c r="C403" s="13">
        <v>2.6183299454536e-5</v>
      </c>
      <c r="N403">
        <v>32</v>
      </c>
      <c r="O403" s="12">
        <v>0.969400344444444</v>
      </c>
      <c r="P403" s="13">
        <v>0.969321054815573</v>
      </c>
    </row>
    <row r="404" spans="1:16">
      <c r="A404">
        <v>33</v>
      </c>
      <c r="B404" s="13">
        <v>1.62614317865459e-5</v>
      </c>
      <c r="C404" s="13">
        <v>1.62670341809848e-5</v>
      </c>
      <c r="N404">
        <v>33</v>
      </c>
      <c r="O404" s="13">
        <v>1.0603187815</v>
      </c>
      <c r="P404" s="13">
        <v>1.06263419653789</v>
      </c>
    </row>
    <row r="405" spans="1:16">
      <c r="A405">
        <v>34</v>
      </c>
      <c r="B405" s="13">
        <v>2.48704250853056e-5</v>
      </c>
      <c r="C405" s="13">
        <v>2.51691677250294e-5</v>
      </c>
      <c r="N405">
        <v>34</v>
      </c>
      <c r="O405" s="12">
        <v>1.146186966</v>
      </c>
      <c r="P405" s="13">
        <v>1.13415583390299</v>
      </c>
    </row>
    <row r="406" spans="1:16">
      <c r="A406">
        <v>35</v>
      </c>
      <c r="B406" s="13">
        <v>2.7408223563398e-5</v>
      </c>
      <c r="C406" s="13">
        <v>2.89087194983869e-5</v>
      </c>
      <c r="N406">
        <v>35</v>
      </c>
      <c r="O406" s="12">
        <v>1.2140020215</v>
      </c>
      <c r="P406" s="13">
        <v>1.18781869533039</v>
      </c>
    </row>
    <row r="407" spans="14:16">
      <c r="N407">
        <v>36</v>
      </c>
      <c r="O407" s="12">
        <v>0.956719006</v>
      </c>
      <c r="P407" s="13">
        <v>0.943862731238816</v>
      </c>
    </row>
    <row r="408" spans="14:16">
      <c r="N408">
        <v>37</v>
      </c>
      <c r="O408" s="12">
        <v>0.9206401</v>
      </c>
      <c r="P408" s="13">
        <v>0.920343727774416</v>
      </c>
    </row>
    <row r="411" spans="4:8">
      <c r="D411" s="7"/>
      <c r="E411" s="7"/>
      <c r="F411" s="7"/>
      <c r="G411" s="7"/>
      <c r="H411" s="7"/>
    </row>
    <row r="412" spans="4:16">
      <c r="D412" s="7"/>
      <c r="E412" s="7"/>
      <c r="F412" s="7"/>
      <c r="G412" s="7"/>
      <c r="H412" s="7"/>
      <c r="O412" s="12"/>
      <c r="P412" s="13"/>
    </row>
    <row r="413" spans="4:8">
      <c r="D413" s="7"/>
      <c r="E413" s="5"/>
      <c r="F413" s="5"/>
      <c r="G413" s="7"/>
      <c r="H413" s="7"/>
    </row>
    <row r="414" spans="1:8">
      <c r="A414" s="13"/>
      <c r="B414" s="13"/>
      <c r="D414" s="7"/>
      <c r="E414" s="5"/>
      <c r="F414" s="5"/>
      <c r="G414" s="7"/>
      <c r="H414" s="7"/>
    </row>
    <row r="415" spans="1:8">
      <c r="A415" s="13"/>
      <c r="B415" s="13"/>
      <c r="D415" s="7"/>
      <c r="E415" s="5"/>
      <c r="F415" s="5"/>
      <c r="G415" s="7"/>
      <c r="H415" s="7"/>
    </row>
    <row r="416" spans="1:8">
      <c r="A416" s="13">
        <v>4.69774696055772e-5</v>
      </c>
      <c r="B416" s="13">
        <v>5.42204988525689e-5</v>
      </c>
      <c r="D416" s="7"/>
      <c r="E416" s="5"/>
      <c r="F416" s="5"/>
      <c r="G416" s="7"/>
      <c r="H416" s="7"/>
    </row>
    <row r="417" spans="1:8">
      <c r="A417" s="13">
        <v>1.45792147051791e-5</v>
      </c>
      <c r="B417" s="13">
        <v>1.54004119792775e-5</v>
      </c>
      <c r="D417" s="7"/>
      <c r="E417" s="5"/>
      <c r="F417" s="2"/>
      <c r="G417" s="7"/>
      <c r="H417" s="7"/>
    </row>
    <row r="418" spans="1:8">
      <c r="A418" s="13"/>
      <c r="B418" s="13"/>
      <c r="D418" s="7"/>
      <c r="E418" s="5"/>
      <c r="F418" s="2"/>
      <c r="G418" s="7"/>
      <c r="H418" s="7"/>
    </row>
    <row r="419" spans="1:8">
      <c r="A419" s="13">
        <v>1.32124133265686e-5</v>
      </c>
      <c r="B419" s="13">
        <v>1.32286234455884e-5</v>
      </c>
      <c r="D419" s="7"/>
      <c r="E419" s="5"/>
      <c r="F419" s="2"/>
      <c r="G419" s="7"/>
      <c r="H419" s="7"/>
    </row>
    <row r="420" spans="4:8">
      <c r="D420" s="7"/>
      <c r="E420" s="5"/>
      <c r="F420" s="2"/>
      <c r="G420" s="7"/>
      <c r="H420" s="7"/>
    </row>
    <row r="421" spans="4:8">
      <c r="D421" s="7"/>
      <c r="E421" s="5"/>
      <c r="F421" s="2"/>
      <c r="G421" s="7"/>
      <c r="H421" s="7"/>
    </row>
    <row r="422" spans="4:8">
      <c r="D422" s="7"/>
      <c r="E422" s="5"/>
      <c r="F422" s="2"/>
      <c r="G422" s="7"/>
      <c r="H422" s="7"/>
    </row>
    <row r="423" spans="4:8">
      <c r="D423" s="7"/>
      <c r="E423" s="5"/>
      <c r="F423" s="2"/>
      <c r="G423" s="7"/>
      <c r="H423" s="7"/>
    </row>
    <row r="424" spans="4:8">
      <c r="D424" s="7"/>
      <c r="E424" s="5"/>
      <c r="F424" s="2"/>
      <c r="G424" s="7"/>
      <c r="H424" s="7"/>
    </row>
    <row r="425" spans="4:8">
      <c r="D425" s="7"/>
      <c r="E425" s="5"/>
      <c r="F425" s="2"/>
      <c r="G425" s="7"/>
      <c r="H425" s="7"/>
    </row>
    <row r="426" spans="4:8">
      <c r="D426" s="7"/>
      <c r="E426" s="5"/>
      <c r="F426" s="2"/>
      <c r="G426" s="7"/>
      <c r="H426" s="7"/>
    </row>
    <row r="427" spans="4:8">
      <c r="D427" s="7"/>
      <c r="E427" s="5"/>
      <c r="F427" s="2"/>
      <c r="G427" s="7"/>
      <c r="H427" s="7"/>
    </row>
    <row r="428" spans="4:8">
      <c r="D428" s="7"/>
      <c r="E428" s="5"/>
      <c r="F428" s="2"/>
      <c r="G428" s="7"/>
      <c r="H428" s="7"/>
    </row>
    <row r="429" spans="4:8">
      <c r="D429" s="7"/>
      <c r="E429" s="5"/>
      <c r="F429" s="2"/>
      <c r="G429" s="7"/>
      <c r="H429" s="7"/>
    </row>
    <row r="430" spans="4:8">
      <c r="D430" s="7"/>
      <c r="E430" s="5"/>
      <c r="F430" s="2"/>
      <c r="G430" s="7"/>
      <c r="H430" s="7"/>
    </row>
    <row r="431" spans="4:8">
      <c r="D431" s="7"/>
      <c r="E431" s="5"/>
      <c r="F431" s="2"/>
      <c r="G431" s="7"/>
      <c r="H431" s="7"/>
    </row>
    <row r="432" spans="4:8">
      <c r="D432" s="7"/>
      <c r="E432" s="5"/>
      <c r="F432" s="2"/>
      <c r="G432" s="7"/>
      <c r="H432" s="7"/>
    </row>
    <row r="433" spans="4:8">
      <c r="D433" s="7"/>
      <c r="E433" s="5"/>
      <c r="F433" s="2"/>
      <c r="G433" s="7"/>
      <c r="H433" s="7"/>
    </row>
    <row r="434" spans="4:8">
      <c r="D434" s="7"/>
      <c r="E434" s="5"/>
      <c r="F434" s="2"/>
      <c r="G434" s="7"/>
      <c r="H434" s="7"/>
    </row>
    <row r="435" spans="4:8">
      <c r="D435" s="7"/>
      <c r="E435" s="5"/>
      <c r="F435" s="2"/>
      <c r="G435" s="7"/>
      <c r="H435" s="7"/>
    </row>
    <row r="436" spans="4:8">
      <c r="D436" s="7"/>
      <c r="E436" s="5"/>
      <c r="F436" s="2"/>
      <c r="G436" s="7"/>
      <c r="H436" s="7"/>
    </row>
    <row r="437" spans="4:8">
      <c r="D437" s="7"/>
      <c r="E437" s="5"/>
      <c r="F437" s="2"/>
      <c r="G437" s="7"/>
      <c r="H437" s="7"/>
    </row>
    <row r="438" spans="4:8">
      <c r="D438" s="7"/>
      <c r="E438" s="5"/>
      <c r="F438" s="2"/>
      <c r="G438" s="7"/>
      <c r="H438" s="7"/>
    </row>
    <row r="439" spans="4:8">
      <c r="D439" s="7"/>
      <c r="E439" s="5"/>
      <c r="F439" s="2"/>
      <c r="G439" s="7"/>
      <c r="H439" s="7"/>
    </row>
    <row r="440" spans="4:8">
      <c r="D440" s="7"/>
      <c r="E440" s="5"/>
      <c r="F440" s="2"/>
      <c r="G440" s="7"/>
      <c r="H440" s="7"/>
    </row>
    <row r="441" spans="4:8">
      <c r="D441" s="7"/>
      <c r="E441" s="5"/>
      <c r="F441" s="2"/>
      <c r="G441" s="7"/>
      <c r="H441" s="7"/>
    </row>
    <row r="442" spans="4:8">
      <c r="D442" s="7"/>
      <c r="E442" s="5"/>
      <c r="F442" s="2"/>
      <c r="G442" s="7"/>
      <c r="H442" s="7"/>
    </row>
    <row r="443" spans="4:8">
      <c r="D443" s="7"/>
      <c r="E443" s="5"/>
      <c r="F443" s="2"/>
      <c r="G443" s="7"/>
      <c r="H443" s="7"/>
    </row>
    <row r="444" spans="4:8">
      <c r="D444" s="7"/>
      <c r="E444" s="5"/>
      <c r="F444" s="2"/>
      <c r="G444" s="7"/>
      <c r="H444" s="7"/>
    </row>
    <row r="445" spans="4:8">
      <c r="D445" s="7"/>
      <c r="E445" s="5"/>
      <c r="F445" s="2"/>
      <c r="G445" s="7"/>
      <c r="H445" s="7"/>
    </row>
    <row r="446" spans="4:8">
      <c r="D446" s="7"/>
      <c r="E446" s="5"/>
      <c r="F446" s="2"/>
      <c r="G446" s="7"/>
      <c r="H446" s="7"/>
    </row>
    <row r="447" spans="4:8">
      <c r="D447" s="7"/>
      <c r="E447" s="5"/>
      <c r="F447" s="2"/>
      <c r="G447" s="7"/>
      <c r="H447" s="7"/>
    </row>
    <row r="448" spans="4:8">
      <c r="D448" s="7"/>
      <c r="E448" s="5"/>
      <c r="F448" s="2"/>
      <c r="G448" s="7"/>
      <c r="H448" s="7"/>
    </row>
    <row r="449" spans="4:8">
      <c r="D449" s="7"/>
      <c r="E449" s="5"/>
      <c r="F449" s="2"/>
      <c r="G449" s="7"/>
      <c r="H449" s="7"/>
    </row>
    <row r="450" spans="4:8">
      <c r="D450" s="7"/>
      <c r="E450" s="5"/>
      <c r="F450" s="2"/>
      <c r="G450" s="7"/>
      <c r="H450" s="7"/>
    </row>
    <row r="451" spans="4:8">
      <c r="D451" s="7"/>
      <c r="E451" s="5"/>
      <c r="F451" s="2"/>
      <c r="G451" s="7"/>
      <c r="H451" s="7"/>
    </row>
    <row r="452" spans="4:8">
      <c r="D452" s="7"/>
      <c r="E452" s="5"/>
      <c r="F452" s="2"/>
      <c r="G452" s="7"/>
      <c r="H452" s="7"/>
    </row>
    <row r="453" spans="4:8">
      <c r="D453" s="7"/>
      <c r="E453" s="5"/>
      <c r="F453" s="2"/>
      <c r="G453" s="7"/>
      <c r="H453" s="7"/>
    </row>
    <row r="454" spans="4:8">
      <c r="D454" s="7"/>
      <c r="E454" s="5"/>
      <c r="F454" s="2"/>
      <c r="G454" s="7"/>
      <c r="H454" s="7"/>
    </row>
    <row r="455" spans="4:8">
      <c r="D455" s="7"/>
      <c r="E455" s="2"/>
      <c r="F455" s="2"/>
      <c r="G455" s="7"/>
      <c r="H455" s="7"/>
    </row>
    <row r="456" spans="4:8">
      <c r="D456" s="7"/>
      <c r="E456" s="2"/>
      <c r="F456" s="2"/>
      <c r="G456" s="7"/>
      <c r="H456" s="7"/>
    </row>
    <row r="457" spans="4:8">
      <c r="D457" s="7"/>
      <c r="E457" s="2"/>
      <c r="F457" s="2"/>
      <c r="G457" s="7"/>
      <c r="H457" s="7"/>
    </row>
    <row r="458" spans="4:8">
      <c r="D458" s="7"/>
      <c r="E458" s="2"/>
      <c r="F458" s="2"/>
      <c r="G458" s="7"/>
      <c r="H458" s="7"/>
    </row>
    <row r="459" spans="4:8">
      <c r="D459" s="7"/>
      <c r="E459" s="2"/>
      <c r="F459" s="2"/>
      <c r="G459" s="7"/>
      <c r="H459" s="7"/>
    </row>
    <row r="460" spans="4:8">
      <c r="D460" s="7"/>
      <c r="E460" s="2"/>
      <c r="F460" s="2"/>
      <c r="G460" s="7"/>
      <c r="H460" s="7"/>
    </row>
    <row r="461" spans="4:8">
      <c r="D461" s="7"/>
      <c r="E461" s="2"/>
      <c r="F461" s="2"/>
      <c r="G461" s="7"/>
      <c r="H461" s="7"/>
    </row>
    <row r="462" spans="4:8">
      <c r="D462" s="7"/>
      <c r="E462" s="14"/>
      <c r="F462" s="15"/>
      <c r="G462" s="7"/>
      <c r="H462" s="7"/>
    </row>
    <row r="463" spans="4:8">
      <c r="D463" s="7"/>
      <c r="E463" s="2"/>
      <c r="F463" s="2"/>
      <c r="G463" s="7"/>
      <c r="H463" s="7"/>
    </row>
    <row r="464" spans="4:8">
      <c r="D464" s="7"/>
      <c r="E464" s="14"/>
      <c r="F464" s="15"/>
      <c r="G464" s="7"/>
      <c r="H464" s="7"/>
    </row>
    <row r="465" spans="4:8">
      <c r="D465" s="7"/>
      <c r="E465" s="14"/>
      <c r="F465" s="15"/>
      <c r="G465" s="7"/>
      <c r="H465" s="7"/>
    </row>
    <row r="466" spans="4:8">
      <c r="D466" s="7"/>
      <c r="E466" s="14"/>
      <c r="F466" s="15"/>
      <c r="G466" s="7"/>
      <c r="H466" s="7"/>
    </row>
    <row r="467" spans="4:8">
      <c r="D467" s="7"/>
      <c r="E467" s="14"/>
      <c r="F467" s="15"/>
      <c r="G467" s="7"/>
      <c r="H467" s="7"/>
    </row>
    <row r="468" spans="4:8">
      <c r="D468" s="7"/>
      <c r="E468" s="7"/>
      <c r="F468" s="7"/>
      <c r="G468" s="7"/>
      <c r="H468" s="7"/>
    </row>
  </sheetData>
  <sortState ref="E413:F467">
    <sortCondition ref="E413:E467"/>
  </sortState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Лист4"/>
  <dimension ref="A1:C145"/>
  <sheetViews>
    <sheetView zoomScale="80" zoomScaleNormal="80" workbookViewId="0">
      <selection activeCell="H79" sqref="H79"/>
    </sheetView>
  </sheetViews>
  <sheetFormatPr defaultColWidth="9" defaultRowHeight="18" outlineLevelCol="2"/>
  <cols>
    <col min="1" max="1" width="12" customWidth="1"/>
    <col min="2" max="2" width="12.4545454545455" customWidth="1"/>
    <col min="3" max="3" width="15.0909090909091" customWidth="1"/>
  </cols>
  <sheetData>
    <row r="1" spans="1:3">
      <c r="A1" t="s">
        <v>196</v>
      </c>
      <c r="B1" t="s">
        <v>197</v>
      </c>
      <c r="C1" t="s">
        <v>198</v>
      </c>
    </row>
    <row r="2" spans="1:3">
      <c r="A2" t="s">
        <v>199</v>
      </c>
      <c r="B2" t="s">
        <v>200</v>
      </c>
      <c r="C2" t="s">
        <v>200</v>
      </c>
    </row>
    <row r="3" spans="1:3">
      <c r="A3">
        <v>3</v>
      </c>
      <c r="B3">
        <v>2.25651588974132e-5</v>
      </c>
      <c r="C3">
        <v>8.06067399050152e-5</v>
      </c>
    </row>
    <row r="4" spans="1:3">
      <c r="A4">
        <v>5</v>
      </c>
      <c r="B4">
        <v>1.14e-5</v>
      </c>
      <c r="C4">
        <v>2.16510012709052e-5</v>
      </c>
    </row>
    <row r="5" spans="1:3">
      <c r="A5">
        <v>44</v>
      </c>
      <c r="B5">
        <v>2.28e-7</v>
      </c>
      <c r="C5">
        <v>2.28e-7</v>
      </c>
    </row>
    <row r="6" spans="1:3">
      <c r="A6">
        <v>43</v>
      </c>
      <c r="B6">
        <v>2.25651588974132e-5</v>
      </c>
      <c r="C6">
        <v>7.68048288724216e-5</v>
      </c>
    </row>
    <row r="7" spans="1:3">
      <c r="A7">
        <v>38</v>
      </c>
      <c r="B7">
        <v>1.14e-5</v>
      </c>
      <c r="C7">
        <v>1.25438661462132e-5</v>
      </c>
    </row>
    <row r="8" spans="1:3">
      <c r="A8">
        <v>56</v>
      </c>
      <c r="B8">
        <v>2.28e-7</v>
      </c>
      <c r="C8">
        <v>2.28e-7</v>
      </c>
    </row>
    <row r="9" spans="1:3">
      <c r="A9">
        <v>55</v>
      </c>
      <c r="B9">
        <v>2.25651588974132e-5</v>
      </c>
      <c r="C9">
        <v>8.67306651482306e-5</v>
      </c>
    </row>
    <row r="10" spans="1:3">
      <c r="A10">
        <v>7</v>
      </c>
      <c r="B10">
        <v>1.14e-5</v>
      </c>
      <c r="C10">
        <v>1.5102011085348e-5</v>
      </c>
    </row>
    <row r="11" spans="1:3">
      <c r="A11">
        <v>13</v>
      </c>
      <c r="B11">
        <v>1.14e-5</v>
      </c>
      <c r="C11">
        <v>1.47706885998313e-5</v>
      </c>
    </row>
    <row r="12" spans="1:3">
      <c r="A12">
        <v>46</v>
      </c>
      <c r="B12">
        <v>2.28e-7</v>
      </c>
      <c r="C12">
        <v>2.28e-7</v>
      </c>
    </row>
    <row r="13" spans="1:3">
      <c r="A13">
        <v>45</v>
      </c>
      <c r="B13">
        <v>1.14e-5</v>
      </c>
      <c r="C13">
        <v>2.36927469200645e-5</v>
      </c>
    </row>
    <row r="14" spans="1:3">
      <c r="A14">
        <v>25</v>
      </c>
      <c r="B14">
        <v>1.14e-5</v>
      </c>
      <c r="C14">
        <v>2.32864427977967e-5</v>
      </c>
    </row>
    <row r="15" spans="1:3">
      <c r="A15">
        <v>27</v>
      </c>
      <c r="B15">
        <v>1.14e-5</v>
      </c>
      <c r="C15">
        <v>2.33439419052672e-5</v>
      </c>
    </row>
    <row r="16" spans="1:3">
      <c r="A16">
        <v>32</v>
      </c>
      <c r="B16">
        <v>1.14e-5</v>
      </c>
      <c r="C16">
        <v>2.45941193713961e-5</v>
      </c>
    </row>
    <row r="17" spans="1:3">
      <c r="A17">
        <v>52</v>
      </c>
      <c r="B17">
        <v>2.28e-7</v>
      </c>
      <c r="C17">
        <v>2.28e-7</v>
      </c>
    </row>
    <row r="18" spans="1:3">
      <c r="A18">
        <v>51</v>
      </c>
      <c r="B18">
        <v>1.14e-5</v>
      </c>
      <c r="C18">
        <v>2.42889096927719e-5</v>
      </c>
    </row>
    <row r="19" spans="1:3">
      <c r="A19">
        <v>15</v>
      </c>
      <c r="B19">
        <v>1.14e-5</v>
      </c>
      <c r="C19">
        <v>1.88180735648794e-5</v>
      </c>
    </row>
    <row r="20" spans="1:3">
      <c r="A20">
        <v>62</v>
      </c>
      <c r="B20">
        <v>1.14e-5</v>
      </c>
      <c r="C20">
        <v>1.78868663495062e-5</v>
      </c>
    </row>
    <row r="21" spans="1:3">
      <c r="A21">
        <v>69</v>
      </c>
      <c r="B21">
        <v>1.14e-5</v>
      </c>
      <c r="C21">
        <v>9.86819642449597e-6</v>
      </c>
    </row>
    <row r="22" spans="1:3">
      <c r="A22">
        <v>11</v>
      </c>
      <c r="B22">
        <v>1.14e-5</v>
      </c>
      <c r="C22">
        <v>1.15264920449461e-5</v>
      </c>
    </row>
    <row r="23" spans="1:3">
      <c r="A23">
        <v>64</v>
      </c>
      <c r="B23">
        <v>1.14e-5</v>
      </c>
      <c r="C23">
        <v>1.22237295393952e-5</v>
      </c>
    </row>
    <row r="24" spans="1:3">
      <c r="A24">
        <v>20</v>
      </c>
      <c r="B24">
        <v>1.14e-5</v>
      </c>
      <c r="C24">
        <v>1.78194750617018e-5</v>
      </c>
    </row>
    <row r="25" spans="1:3">
      <c r="A25">
        <v>48</v>
      </c>
      <c r="B25">
        <v>2.28e-7</v>
      </c>
      <c r="C25">
        <v>2.28e-7</v>
      </c>
    </row>
    <row r="26" spans="1:3">
      <c r="A26">
        <v>47</v>
      </c>
      <c r="B26">
        <v>1.14e-5</v>
      </c>
      <c r="C26">
        <v>9.0320808775149e-6</v>
      </c>
    </row>
    <row r="27" spans="1:3">
      <c r="A27">
        <v>22</v>
      </c>
      <c r="B27">
        <v>1.14e-5</v>
      </c>
      <c r="C27">
        <v>1.24558100384263e-5</v>
      </c>
    </row>
    <row r="28" spans="1:3">
      <c r="A28">
        <v>42</v>
      </c>
      <c r="B28">
        <v>1.14e-5</v>
      </c>
      <c r="C28">
        <v>1.25438661462132e-5</v>
      </c>
    </row>
    <row r="29" spans="1:3">
      <c r="A29">
        <v>54</v>
      </c>
      <c r="B29">
        <v>2.28e-7</v>
      </c>
      <c r="C29">
        <v>2.28e-7</v>
      </c>
    </row>
    <row r="30" spans="1:3">
      <c r="A30">
        <v>53</v>
      </c>
      <c r="B30">
        <v>1.14e-5</v>
      </c>
      <c r="C30">
        <v>1.01436456353963e-5</v>
      </c>
    </row>
    <row r="31" spans="1:3">
      <c r="A31">
        <v>39</v>
      </c>
      <c r="B31">
        <v>1.14e-5</v>
      </c>
      <c r="C31">
        <v>9.1646197947716e-6</v>
      </c>
    </row>
    <row r="32" spans="1:3">
      <c r="A32">
        <v>23</v>
      </c>
      <c r="B32">
        <v>1.45037598565491e-5</v>
      </c>
      <c r="C32">
        <v>7.62185752812641e-6</v>
      </c>
    </row>
    <row r="33" spans="1:3">
      <c r="A33">
        <v>34</v>
      </c>
      <c r="B33">
        <v>1.14e-5</v>
      </c>
      <c r="C33">
        <v>1.48108311865605e-5</v>
      </c>
    </row>
    <row r="34" spans="1:3">
      <c r="A34">
        <v>50</v>
      </c>
      <c r="B34">
        <v>2.28e-7</v>
      </c>
      <c r="C34">
        <v>2.28e-7</v>
      </c>
    </row>
    <row r="35" spans="1:3">
      <c r="A35">
        <v>49</v>
      </c>
      <c r="B35">
        <v>1.57289181406578e-5</v>
      </c>
      <c r="C35">
        <v>7.0748352128954e-6</v>
      </c>
    </row>
    <row r="36" spans="1:3">
      <c r="A36">
        <v>36</v>
      </c>
      <c r="B36">
        <v>1.80677823940567e-5</v>
      </c>
      <c r="C36">
        <v>5.7e-6</v>
      </c>
    </row>
    <row r="38" spans="2:2">
      <c r="B38" t="s">
        <v>201</v>
      </c>
    </row>
    <row r="39" spans="2:2">
      <c r="B39" t="s">
        <v>202</v>
      </c>
    </row>
    <row r="41" spans="1:3">
      <c r="A41" t="s">
        <v>196</v>
      </c>
      <c r="B41" t="s">
        <v>203</v>
      </c>
      <c r="C41" t="s">
        <v>204</v>
      </c>
    </row>
    <row r="42" spans="1:3">
      <c r="A42" t="s">
        <v>199</v>
      </c>
      <c r="B42" t="s">
        <v>205</v>
      </c>
      <c r="C42" t="s">
        <v>205</v>
      </c>
    </row>
    <row r="43" spans="1:3">
      <c r="A43">
        <v>3</v>
      </c>
      <c r="B43">
        <v>1.12825794487066e-5</v>
      </c>
      <c r="C43">
        <v>4.03033699525076e-5</v>
      </c>
    </row>
    <row r="44" spans="1:3">
      <c r="A44">
        <v>5</v>
      </c>
      <c r="B44">
        <v>2.28e-9</v>
      </c>
      <c r="C44">
        <v>4.33020025418103e-9</v>
      </c>
    </row>
    <row r="45" spans="1:3">
      <c r="A45">
        <v>44</v>
      </c>
      <c r="B45">
        <v>4.56e-7</v>
      </c>
      <c r="C45">
        <v>4.56e-7</v>
      </c>
    </row>
    <row r="46" spans="1:3">
      <c r="A46">
        <v>43</v>
      </c>
      <c r="B46">
        <v>1.80521271179306e-5</v>
      </c>
      <c r="C46">
        <v>6.14438630979373e-5</v>
      </c>
    </row>
    <row r="47" spans="1:3">
      <c r="A47">
        <v>38</v>
      </c>
      <c r="B47">
        <v>2.052e-9</v>
      </c>
      <c r="C47">
        <v>2.25789590631838e-9</v>
      </c>
    </row>
    <row r="48" spans="1:3">
      <c r="A48">
        <v>56</v>
      </c>
      <c r="B48">
        <v>4.56e-7</v>
      </c>
      <c r="C48">
        <v>4.56e-7</v>
      </c>
    </row>
    <row r="49" spans="1:3">
      <c r="A49">
        <v>55</v>
      </c>
      <c r="B49">
        <v>4.51303177948265e-6</v>
      </c>
      <c r="C49">
        <v>1.73461330296461e-5</v>
      </c>
    </row>
    <row r="50" spans="1:3">
      <c r="A50">
        <v>7</v>
      </c>
      <c r="B50">
        <v>1.026e-5</v>
      </c>
      <c r="C50">
        <v>1.35918099768132e-5</v>
      </c>
    </row>
    <row r="51" spans="1:3">
      <c r="A51">
        <v>13</v>
      </c>
      <c r="B51">
        <v>3.192e-9</v>
      </c>
      <c r="C51">
        <v>4.13579280795275e-9</v>
      </c>
    </row>
    <row r="52" spans="1:3">
      <c r="A52">
        <v>46</v>
      </c>
      <c r="B52">
        <v>4.56e-7</v>
      </c>
      <c r="C52">
        <v>4.56e-7</v>
      </c>
    </row>
    <row r="53" spans="1:3">
      <c r="A53">
        <v>45</v>
      </c>
      <c r="B53">
        <v>4.56e-6</v>
      </c>
      <c r="C53">
        <v>9.4770987680258e-6</v>
      </c>
    </row>
    <row r="54" spans="1:3">
      <c r="A54">
        <v>25</v>
      </c>
      <c r="B54">
        <v>9.12e-6</v>
      </c>
      <c r="C54">
        <v>1.86291542382374e-5</v>
      </c>
    </row>
    <row r="55" spans="1:3">
      <c r="A55">
        <v>27</v>
      </c>
      <c r="B55">
        <v>5.7e-6</v>
      </c>
      <c r="C55">
        <v>1.16719709526336e-5</v>
      </c>
    </row>
    <row r="56" spans="1:3">
      <c r="A56">
        <v>32</v>
      </c>
      <c r="B56">
        <v>3.192e-9</v>
      </c>
      <c r="C56">
        <v>6.8863534239909e-9</v>
      </c>
    </row>
    <row r="57" spans="1:3">
      <c r="A57">
        <v>52</v>
      </c>
      <c r="B57">
        <v>4.56e-7</v>
      </c>
      <c r="C57">
        <v>4.56e-7</v>
      </c>
    </row>
    <row r="58" spans="1:3">
      <c r="A58">
        <v>51</v>
      </c>
      <c r="B58">
        <v>1.14e-6</v>
      </c>
      <c r="C58">
        <v>2.42889096927719e-6</v>
      </c>
    </row>
    <row r="59" spans="1:3">
      <c r="A59">
        <v>15</v>
      </c>
      <c r="B59">
        <v>2.85e-6</v>
      </c>
      <c r="C59">
        <v>4.70451839121985e-6</v>
      </c>
    </row>
    <row r="60" spans="1:3">
      <c r="A60">
        <v>62</v>
      </c>
      <c r="B60">
        <v>1.71e-6</v>
      </c>
      <c r="C60">
        <v>2.68302995242593e-6</v>
      </c>
    </row>
    <row r="61" spans="1:3">
      <c r="A61">
        <v>69</v>
      </c>
      <c r="B61">
        <v>1.026e-5</v>
      </c>
      <c r="C61">
        <v>8.88137678204637e-6</v>
      </c>
    </row>
    <row r="62" spans="1:3">
      <c r="A62">
        <v>11</v>
      </c>
      <c r="B62">
        <v>1.026e-5</v>
      </c>
      <c r="C62">
        <v>1.03738428404515e-5</v>
      </c>
    </row>
    <row r="63" spans="1:3">
      <c r="A63">
        <v>64</v>
      </c>
      <c r="B63">
        <v>6.84e-6</v>
      </c>
      <c r="C63">
        <v>7.33423772363714e-6</v>
      </c>
    </row>
    <row r="64" spans="1:3">
      <c r="A64">
        <v>20</v>
      </c>
      <c r="B64">
        <v>1.938e-9</v>
      </c>
      <c r="C64">
        <v>3.0293107604893e-9</v>
      </c>
    </row>
    <row r="65" spans="1:3">
      <c r="A65">
        <v>48</v>
      </c>
      <c r="B65">
        <v>4.56e-7</v>
      </c>
      <c r="C65">
        <v>4.56e-7</v>
      </c>
    </row>
    <row r="66" spans="1:3">
      <c r="A66">
        <v>47</v>
      </c>
      <c r="B66">
        <v>9.12e-6</v>
      </c>
      <c r="C66">
        <v>7.22566470201192e-6</v>
      </c>
    </row>
    <row r="67" spans="1:3">
      <c r="A67">
        <v>22</v>
      </c>
      <c r="B67">
        <v>7.98e-6</v>
      </c>
      <c r="C67">
        <v>8.71906702689843e-6</v>
      </c>
    </row>
    <row r="68" spans="1:3">
      <c r="A68">
        <v>42</v>
      </c>
      <c r="B68">
        <v>1.938e-9</v>
      </c>
      <c r="C68">
        <v>2.13245724485625e-9</v>
      </c>
    </row>
    <row r="69" spans="1:3">
      <c r="A69">
        <v>54</v>
      </c>
      <c r="B69">
        <v>4.56e-7</v>
      </c>
      <c r="C69">
        <v>4.56e-7</v>
      </c>
    </row>
    <row r="70" spans="1:3">
      <c r="A70">
        <v>53</v>
      </c>
      <c r="B70">
        <v>2.28e-6</v>
      </c>
      <c r="C70">
        <v>2.02872912707926e-6</v>
      </c>
    </row>
    <row r="71" spans="1:3">
      <c r="A71">
        <v>39</v>
      </c>
      <c r="B71">
        <v>9.12e-6</v>
      </c>
      <c r="C71">
        <v>7.33169583581728e-6</v>
      </c>
    </row>
    <row r="72" spans="1:3">
      <c r="A72">
        <v>23</v>
      </c>
      <c r="B72">
        <v>7.25187992827453e-6</v>
      </c>
      <c r="C72">
        <v>3.8109287640632e-6</v>
      </c>
    </row>
    <row r="73" spans="1:3">
      <c r="A73">
        <v>34</v>
      </c>
      <c r="B73">
        <v>2.508e-9</v>
      </c>
      <c r="C73">
        <v>3.25838286104331e-9</v>
      </c>
    </row>
    <row r="74" spans="1:3">
      <c r="A74">
        <v>50</v>
      </c>
      <c r="B74">
        <v>4.56e-7</v>
      </c>
      <c r="C74">
        <v>4.56e-7</v>
      </c>
    </row>
    <row r="75" spans="1:3">
      <c r="A75">
        <v>49</v>
      </c>
      <c r="B75">
        <v>7.86445907032892e-6</v>
      </c>
      <c r="C75">
        <v>3.5374176064477e-6</v>
      </c>
    </row>
    <row r="76" spans="1:3">
      <c r="A76">
        <v>36</v>
      </c>
      <c r="B76">
        <v>9.03389119702835e-6</v>
      </c>
      <c r="C76">
        <v>2.85e-6</v>
      </c>
    </row>
    <row r="79" spans="1:3">
      <c r="A79" t="s">
        <v>196</v>
      </c>
      <c r="B79" t="s">
        <v>206</v>
      </c>
      <c r="C79" t="s">
        <v>207</v>
      </c>
    </row>
    <row r="80" spans="1:3">
      <c r="A80" t="s">
        <v>199</v>
      </c>
      <c r="B80" t="s">
        <v>208</v>
      </c>
      <c r="C80" t="s">
        <v>208</v>
      </c>
    </row>
    <row r="81" spans="1:3">
      <c r="A81">
        <v>3</v>
      </c>
      <c r="B81">
        <v>0.000179893341964021</v>
      </c>
      <c r="C81">
        <v>0.000641707657378512</v>
      </c>
    </row>
    <row r="82" spans="1:3">
      <c r="A82">
        <v>5</v>
      </c>
      <c r="B82">
        <v>2.21971438735741e-8</v>
      </c>
      <c r="C82">
        <v>4.20978001640425e-8</v>
      </c>
    </row>
    <row r="83" spans="1:3">
      <c r="A83">
        <v>44</v>
      </c>
      <c r="B83">
        <v>4.43942877471481e-6</v>
      </c>
      <c r="C83">
        <v>4.43318917093224e-6</v>
      </c>
    </row>
    <row r="84" spans="1:3">
      <c r="A84">
        <v>43</v>
      </c>
      <c r="B84">
        <v>0.000287829347142434</v>
      </c>
      <c r="C84">
        <v>0.000978305225973049</v>
      </c>
    </row>
    <row r="85" spans="1:3">
      <c r="A85">
        <v>38</v>
      </c>
      <c r="B85">
        <v>1.14442361984377e-8</v>
      </c>
      <c r="C85">
        <v>1.25748421881341e-8</v>
      </c>
    </row>
    <row r="86" spans="1:3">
      <c r="A86">
        <v>56</v>
      </c>
      <c r="B86">
        <v>2.54316359965281e-6</v>
      </c>
      <c r="C86">
        <v>2.53958919086706e-6</v>
      </c>
    </row>
    <row r="87" spans="1:3">
      <c r="A87">
        <v>55</v>
      </c>
      <c r="B87">
        <v>2.51696889159137e-5</v>
      </c>
      <c r="C87">
        <v>9.66053770733143e-5</v>
      </c>
    </row>
    <row r="88" spans="1:3">
      <c r="A88">
        <v>7</v>
      </c>
      <c r="B88">
        <v>0.00011206063900576</v>
      </c>
      <c r="C88">
        <v>0.000148242318622468</v>
      </c>
    </row>
    <row r="89" spans="1:3">
      <c r="A89">
        <v>13</v>
      </c>
      <c r="B89">
        <v>2.38365425170899e-8</v>
      </c>
      <c r="C89">
        <v>3.08409909139298e-8</v>
      </c>
    </row>
    <row r="90" spans="1:3">
      <c r="A90">
        <v>46</v>
      </c>
      <c r="B90">
        <v>3.40522035958426e-6</v>
      </c>
      <c r="C90">
        <v>3.40043433261675e-6</v>
      </c>
    </row>
    <row r="91" spans="1:3">
      <c r="A91">
        <v>45</v>
      </c>
      <c r="B91">
        <v>4.98047284470045e-5</v>
      </c>
      <c r="C91">
        <v>0.0001033642390221</v>
      </c>
    </row>
    <row r="92" spans="1:3">
      <c r="A92">
        <v>25</v>
      </c>
      <c r="B92">
        <v>9.96094568940089e-5</v>
      </c>
      <c r="C92">
        <v>0.00020318331575876</v>
      </c>
    </row>
    <row r="93" spans="1:3">
      <c r="A93">
        <v>27</v>
      </c>
      <c r="B93">
        <v>6.22559105587556e-5</v>
      </c>
      <c r="C93">
        <v>0.000127303136216903</v>
      </c>
    </row>
    <row r="94" spans="1:3">
      <c r="A94">
        <v>32</v>
      </c>
      <c r="B94">
        <v>1.78021451975697e-8</v>
      </c>
      <c r="C94">
        <v>3.83519928071439e-8</v>
      </c>
    </row>
    <row r="95" spans="1:3">
      <c r="A95">
        <v>52</v>
      </c>
      <c r="B95">
        <v>2.54316359965281e-6</v>
      </c>
      <c r="C95">
        <v>2.53958919086706e-6</v>
      </c>
    </row>
    <row r="96" spans="1:3">
      <c r="A96">
        <v>51</v>
      </c>
      <c r="B96">
        <v>6.35790899913204e-6</v>
      </c>
      <c r="C96">
        <v>1.35271606389714e-5</v>
      </c>
    </row>
    <row r="97" spans="1:3">
      <c r="A97">
        <v>15</v>
      </c>
      <c r="B97">
        <v>3.11279552793778e-5</v>
      </c>
      <c r="C97">
        <v>5.13109523680962e-5</v>
      </c>
    </row>
    <row r="98" spans="1:3">
      <c r="A98">
        <v>62</v>
      </c>
      <c r="B98">
        <v>1.86767731676267e-5</v>
      </c>
      <c r="C98">
        <v>2.92631063677074e-5</v>
      </c>
    </row>
    <row r="99" spans="1:3">
      <c r="A99">
        <v>69</v>
      </c>
      <c r="B99">
        <v>0.00011206063900576</v>
      </c>
      <c r="C99">
        <v>9.68668550381696e-5</v>
      </c>
    </row>
    <row r="100" spans="1:3">
      <c r="A100">
        <v>11</v>
      </c>
      <c r="B100">
        <v>6.56285764974376e-5</v>
      </c>
      <c r="C100">
        <v>6.62635133732078e-5</v>
      </c>
    </row>
    <row r="101" spans="1:3">
      <c r="A101">
        <v>64</v>
      </c>
      <c r="B101">
        <v>3.81474539947922e-5</v>
      </c>
      <c r="C101">
        <v>4.08463834346454e-5</v>
      </c>
    </row>
    <row r="102" spans="1:3">
      <c r="A102">
        <v>20</v>
      </c>
      <c r="B102">
        <v>1.08084452985245e-8</v>
      </c>
      <c r="C102">
        <v>1.68710632963068e-8</v>
      </c>
    </row>
    <row r="103" spans="1:3">
      <c r="A103">
        <v>48</v>
      </c>
      <c r="B103">
        <v>2.54316359965281e-6</v>
      </c>
      <c r="C103">
        <v>2.53958919086706e-6</v>
      </c>
    </row>
    <row r="104" spans="1:3">
      <c r="A104">
        <v>47</v>
      </c>
      <c r="B104">
        <v>5.83365124421667e-5</v>
      </c>
      <c r="C104">
        <v>4.61543457883388e-5</v>
      </c>
    </row>
    <row r="105" spans="1:3">
      <c r="A105">
        <v>22</v>
      </c>
      <c r="B105">
        <v>5.10444483868959e-5</v>
      </c>
      <c r="C105">
        <v>5.56935383950383e-5</v>
      </c>
    </row>
    <row r="106" spans="1:3">
      <c r="A106">
        <v>42</v>
      </c>
      <c r="B106">
        <v>1.08084452985245e-8</v>
      </c>
      <c r="C106">
        <v>1.18762398443488e-8</v>
      </c>
    </row>
    <row r="107" spans="1:3">
      <c r="A107">
        <v>54</v>
      </c>
      <c r="B107">
        <v>2.54316359965281e-6</v>
      </c>
      <c r="C107">
        <v>2.53958919086706e-6</v>
      </c>
    </row>
    <row r="108" spans="1:3">
      <c r="A108">
        <v>53</v>
      </c>
      <c r="B108">
        <v>1.27158179982641e-5</v>
      </c>
      <c r="C108">
        <v>1.12985494787887e-5</v>
      </c>
    </row>
    <row r="109" spans="1:3">
      <c r="A109">
        <v>39</v>
      </c>
      <c r="B109">
        <v>5.83365124421667e-5</v>
      </c>
      <c r="C109">
        <v>4.68316257087065e-5</v>
      </c>
    </row>
    <row r="110" spans="1:3">
      <c r="A110">
        <v>23</v>
      </c>
      <c r="B110">
        <v>4.63869938229042e-5</v>
      </c>
      <c r="C110">
        <v>2.43425250416511e-5</v>
      </c>
    </row>
    <row r="111" spans="1:3">
      <c r="A111">
        <v>34</v>
      </c>
      <c r="B111">
        <v>1.39873997980905e-8</v>
      </c>
      <c r="C111">
        <v>1.81468287140615e-8</v>
      </c>
    </row>
    <row r="112" spans="1:3">
      <c r="A112">
        <v>50</v>
      </c>
      <c r="B112">
        <v>2.54316359965281e-6</v>
      </c>
      <c r="C112">
        <v>2.53958919086706e-6</v>
      </c>
    </row>
    <row r="113" spans="1:3">
      <c r="A113">
        <v>49</v>
      </c>
      <c r="B113">
        <v>5.03053853516617e-5</v>
      </c>
      <c r="C113">
        <v>2.25954569079693e-5</v>
      </c>
    </row>
    <row r="114" spans="1:3">
      <c r="A114">
        <v>36</v>
      </c>
      <c r="B114">
        <v>5.03830334550581e-5</v>
      </c>
      <c r="C114">
        <v>1.58724324429191e-5</v>
      </c>
    </row>
    <row r="117" spans="2:3">
      <c r="B117" t="s">
        <v>209</v>
      </c>
      <c r="C117" t="s">
        <v>210</v>
      </c>
    </row>
    <row r="118" spans="1:3">
      <c r="A118">
        <v>31</v>
      </c>
      <c r="B118">
        <v>0.999191737018423</v>
      </c>
      <c r="C118">
        <v>0.997773882442911</v>
      </c>
    </row>
    <row r="119" spans="1:3">
      <c r="A119">
        <v>35</v>
      </c>
      <c r="B119">
        <v>0.998983801206463</v>
      </c>
      <c r="C119">
        <v>0.997913810411698</v>
      </c>
    </row>
    <row r="120" spans="1:3">
      <c r="A120">
        <v>37</v>
      </c>
      <c r="B120">
        <v>0.999500091388223</v>
      </c>
      <c r="C120">
        <v>0.998276354288571</v>
      </c>
    </row>
    <row r="121" spans="1:3">
      <c r="A121">
        <v>41</v>
      </c>
      <c r="B121">
        <v>0.999176489684046</v>
      </c>
      <c r="C121">
        <v>0.99801214829667</v>
      </c>
    </row>
    <row r="122" spans="1:3">
      <c r="A122">
        <v>61</v>
      </c>
      <c r="B122">
        <v>0.999312716532173</v>
      </c>
      <c r="C122">
        <v>0.998039899937974</v>
      </c>
    </row>
    <row r="123" spans="1:3">
      <c r="A123">
        <v>63</v>
      </c>
      <c r="B123">
        <v>0.999199918376471</v>
      </c>
      <c r="C123">
        <v>0.998023292759209</v>
      </c>
    </row>
    <row r="127" spans="2:3">
      <c r="B127" t="s">
        <v>211</v>
      </c>
      <c r="C127" t="s">
        <v>212</v>
      </c>
    </row>
    <row r="128" spans="1:3">
      <c r="A128">
        <v>31</v>
      </c>
      <c r="B128">
        <v>0.973375142118385</v>
      </c>
      <c r="C128">
        <v>0.911429203760936</v>
      </c>
    </row>
    <row r="129" spans="1:3">
      <c r="A129">
        <v>35</v>
      </c>
      <c r="B129">
        <v>0.973505858400163</v>
      </c>
      <c r="C129">
        <v>0.911843346797347</v>
      </c>
    </row>
    <row r="130" spans="1:3">
      <c r="A130">
        <v>37</v>
      </c>
      <c r="B130">
        <v>0.973800034220014</v>
      </c>
      <c r="C130">
        <v>0.912144696839461</v>
      </c>
    </row>
    <row r="131" spans="1:3">
      <c r="A131">
        <v>41</v>
      </c>
      <c r="B131">
        <v>0.973505858400163</v>
      </c>
      <c r="C131">
        <v>0.911843346797347</v>
      </c>
    </row>
    <row r="132" spans="1:3">
      <c r="A132">
        <v>61</v>
      </c>
      <c r="B132">
        <v>0.973522199169611</v>
      </c>
      <c r="C132">
        <v>0.911736320576949</v>
      </c>
    </row>
    <row r="133" spans="1:3">
      <c r="A133">
        <v>63</v>
      </c>
      <c r="B133">
        <v>0.973505858400163</v>
      </c>
      <c r="C133">
        <v>0.911843346797347</v>
      </c>
    </row>
    <row r="139" spans="2:3">
      <c r="B139" t="s">
        <v>213</v>
      </c>
      <c r="C139" t="s">
        <v>214</v>
      </c>
    </row>
    <row r="140" spans="1:3">
      <c r="A140">
        <v>31</v>
      </c>
      <c r="B140">
        <v>1.66454564672331</v>
      </c>
      <c r="C140">
        <v>4.59694102172361</v>
      </c>
    </row>
    <row r="141" spans="1:3">
      <c r="A141">
        <v>35</v>
      </c>
      <c r="B141">
        <v>2.09485347904436</v>
      </c>
      <c r="C141">
        <v>4.30499025355227</v>
      </c>
    </row>
    <row r="142" spans="1:3">
      <c r="A142">
        <v>37</v>
      </c>
      <c r="B142">
        <v>1.03164067176734</v>
      </c>
      <c r="C142">
        <v>3.56154092948155</v>
      </c>
    </row>
    <row r="143" spans="1:3">
      <c r="A143">
        <v>41</v>
      </c>
      <c r="B143">
        <v>1.66326832448928</v>
      </c>
      <c r="C143">
        <v>4.08462422927545</v>
      </c>
    </row>
    <row r="144" spans="1:3">
      <c r="A144">
        <v>61</v>
      </c>
      <c r="B144">
        <v>1.41326554592068</v>
      </c>
      <c r="C144">
        <v>4.04444127853505</v>
      </c>
    </row>
    <row r="145" spans="1:3">
      <c r="A145">
        <v>63</v>
      </c>
      <c r="B145">
        <v>1.64705305995419</v>
      </c>
      <c r="C145">
        <v>4.07868916436351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RePack by SPecialiST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таблица параметров</vt:lpstr>
      <vt:lpstr>коэф. альфа</vt:lpstr>
      <vt:lpstr>функции</vt:lpstr>
      <vt:lpstr>диаграммы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Ахметов</dc:creator>
  <cp:lastModifiedBy>Professional</cp:lastModifiedBy>
  <dcterms:created xsi:type="dcterms:W3CDTF">2017-01-10T09:22:00Z</dcterms:created>
  <dcterms:modified xsi:type="dcterms:W3CDTF">2024-04-23T19:25:19Z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100EE5EA1D8C473C834FFF416EEEA38A_13</vt:lpwstr>
  </property>
  <property fmtid="{D5CDD505-2E9C-101B-9397-08002B2CF9AE}" pid="3" name="KSOProductBuildVer">
    <vt:lpwstr>1049-12.2.0.16731</vt:lpwstr>
  </property>
</Properties>
</file>