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ataAnalisys\Failure_rate\Porivi_in_2_cities-main\"/>
    </mc:Choice>
  </mc:AlternateContent>
  <bookViews>
    <workbookView xWindow="0" yWindow="0" windowWidth="23040" windowHeight="8820"/>
  </bookViews>
  <sheets>
    <sheet name="таблица параметров" sheetId="1" r:id="rId1"/>
    <sheet name="функции" sheetId="2" r:id="rId2"/>
  </sheets>
  <definedNames>
    <definedName name="_xlnm._FilterDatabase" localSheetId="0" hidden="1">'таблица параметров'!$U$1:$U$57</definedName>
  </definedNames>
  <calcPr calcId="162913"/>
</workbook>
</file>

<file path=xl/calcChain.xml><?xml version="1.0" encoding="utf-8"?>
<calcChain xmlns="http://schemas.openxmlformats.org/spreadsheetml/2006/main">
  <c r="BE57" i="1" l="1"/>
  <c r="BJ57" i="1" s="1"/>
  <c r="O57" i="1"/>
  <c r="BA57" i="1" s="1"/>
  <c r="BB57" i="1" s="1"/>
  <c r="N57" i="1"/>
  <c r="V57" i="1" s="1"/>
  <c r="BJ56" i="1"/>
  <c r="BE56" i="1"/>
  <c r="BA56" i="1"/>
  <c r="BB56" i="1" s="1"/>
  <c r="BC56" i="1" s="1"/>
  <c r="BD56" i="1" s="1"/>
  <c r="O56" i="1"/>
  <c r="N56" i="1"/>
  <c r="V56" i="1" s="1"/>
  <c r="BJ55" i="1"/>
  <c r="BE55" i="1"/>
  <c r="BA55" i="1"/>
  <c r="BB55" i="1" s="1"/>
  <c r="BC55" i="1" s="1"/>
  <c r="BD55" i="1" s="1"/>
  <c r="V55" i="1"/>
  <c r="O55" i="1"/>
  <c r="N55" i="1"/>
  <c r="BE54" i="1"/>
  <c r="BJ54" i="1" s="1"/>
  <c r="V54" i="1"/>
  <c r="O54" i="1"/>
  <c r="BA54" i="1" s="1"/>
  <c r="BB54" i="1" s="1"/>
  <c r="N54" i="1"/>
  <c r="BC54" i="1" s="1"/>
  <c r="BD54" i="1" s="1"/>
  <c r="O53" i="1"/>
  <c r="BA53" i="1" s="1"/>
  <c r="BB53" i="1" s="1"/>
  <c r="N53" i="1"/>
  <c r="V53" i="1" s="1"/>
  <c r="M53" i="1"/>
  <c r="BE53" i="1" s="1"/>
  <c r="BJ53" i="1" s="1"/>
  <c r="C53" i="1"/>
  <c r="BE52" i="1"/>
  <c r="BJ52" i="1" s="1"/>
  <c r="O52" i="1"/>
  <c r="BA52" i="1" s="1"/>
  <c r="BB52" i="1" s="1"/>
  <c r="N52" i="1"/>
  <c r="V52" i="1" s="1"/>
  <c r="BJ51" i="1"/>
  <c r="BE51" i="1"/>
  <c r="BA51" i="1"/>
  <c r="BB51" i="1" s="1"/>
  <c r="BC51" i="1" s="1"/>
  <c r="BD51" i="1" s="1"/>
  <c r="O51" i="1"/>
  <c r="N51" i="1"/>
  <c r="V51" i="1" s="1"/>
  <c r="BJ50" i="1"/>
  <c r="BE50" i="1"/>
  <c r="BA50" i="1"/>
  <c r="BB50" i="1" s="1"/>
  <c r="BC50" i="1" s="1"/>
  <c r="BD50" i="1" s="1"/>
  <c r="V50" i="1"/>
  <c r="O50" i="1"/>
  <c r="N50" i="1"/>
  <c r="BE49" i="1"/>
  <c r="BJ49" i="1" s="1"/>
  <c r="V49" i="1"/>
  <c r="O49" i="1"/>
  <c r="BA49" i="1" s="1"/>
  <c r="BB49" i="1" s="1"/>
  <c r="N49" i="1"/>
  <c r="BE48" i="1"/>
  <c r="BJ48" i="1" s="1"/>
  <c r="O48" i="1"/>
  <c r="BA48" i="1" s="1"/>
  <c r="BB48" i="1" s="1"/>
  <c r="N48" i="1"/>
  <c r="V48" i="1" s="1"/>
  <c r="BJ47" i="1"/>
  <c r="BE47" i="1"/>
  <c r="BB47" i="1"/>
  <c r="BC47" i="1" s="1"/>
  <c r="BD47" i="1" s="1"/>
  <c r="BA47" i="1"/>
  <c r="O47" i="1"/>
  <c r="N47" i="1"/>
  <c r="V47" i="1" s="1"/>
  <c r="BJ46" i="1"/>
  <c r="BE46" i="1"/>
  <c r="BA46" i="1"/>
  <c r="BB46" i="1" s="1"/>
  <c r="V46" i="1"/>
  <c r="O46" i="1"/>
  <c r="N46" i="1"/>
  <c r="BE45" i="1"/>
  <c r="BJ45" i="1" s="1"/>
  <c r="V45" i="1"/>
  <c r="O45" i="1"/>
  <c r="BA45" i="1" s="1"/>
  <c r="BB45" i="1" s="1"/>
  <c r="N45" i="1"/>
  <c r="BE44" i="1"/>
  <c r="BJ44" i="1" s="1"/>
  <c r="O44" i="1"/>
  <c r="BA44" i="1" s="1"/>
  <c r="BB44" i="1" s="1"/>
  <c r="N44" i="1"/>
  <c r="V44" i="1" s="1"/>
  <c r="BJ43" i="1"/>
  <c r="BE43" i="1"/>
  <c r="BA43" i="1"/>
  <c r="BB43" i="1" s="1"/>
  <c r="BC43" i="1" s="1"/>
  <c r="BD43" i="1" s="1"/>
  <c r="O43" i="1"/>
  <c r="N43" i="1"/>
  <c r="V43" i="1" s="1"/>
  <c r="BJ42" i="1"/>
  <c r="BE42" i="1"/>
  <c r="BA42" i="1"/>
  <c r="BB42" i="1" s="1"/>
  <c r="V42" i="1"/>
  <c r="O42" i="1"/>
  <c r="N42" i="1"/>
  <c r="BC42" i="1" s="1"/>
  <c r="BD42" i="1" s="1"/>
  <c r="BE41" i="1"/>
  <c r="BJ41" i="1" s="1"/>
  <c r="O41" i="1"/>
  <c r="BA41" i="1" s="1"/>
  <c r="BB41" i="1" s="1"/>
  <c r="N41" i="1"/>
  <c r="BC41" i="1" s="1"/>
  <c r="BD41" i="1" s="1"/>
  <c r="BE40" i="1"/>
  <c r="BJ40" i="1" s="1"/>
  <c r="BB40" i="1"/>
  <c r="O40" i="1"/>
  <c r="BA40" i="1" s="1"/>
  <c r="N40" i="1"/>
  <c r="V40" i="1" s="1"/>
  <c r="BJ39" i="1"/>
  <c r="BE39" i="1"/>
  <c r="BB39" i="1"/>
  <c r="BC39" i="1" s="1"/>
  <c r="BD39" i="1" s="1"/>
  <c r="BA39" i="1"/>
  <c r="O39" i="1"/>
  <c r="N39" i="1"/>
  <c r="V39" i="1" s="1"/>
  <c r="BJ38" i="1"/>
  <c r="BE38" i="1"/>
  <c r="BA38" i="1"/>
  <c r="BB38" i="1" s="1"/>
  <c r="V38" i="1"/>
  <c r="O38" i="1"/>
  <c r="N38" i="1"/>
  <c r="BE37" i="1"/>
  <c r="BJ37" i="1" s="1"/>
  <c r="O37" i="1"/>
  <c r="BA37" i="1" s="1"/>
  <c r="BB37" i="1" s="1"/>
  <c r="N37" i="1"/>
  <c r="BC37" i="1" s="1"/>
  <c r="BD37" i="1" s="1"/>
  <c r="BE36" i="1"/>
  <c r="BJ36" i="1" s="1"/>
  <c r="O36" i="1"/>
  <c r="BA36" i="1" s="1"/>
  <c r="BB36" i="1" s="1"/>
  <c r="BC36" i="1" s="1"/>
  <c r="BD36" i="1" s="1"/>
  <c r="N36" i="1"/>
  <c r="V36" i="1" s="1"/>
  <c r="BJ35" i="1"/>
  <c r="BE35" i="1"/>
  <c r="BA35" i="1"/>
  <c r="BB35" i="1" s="1"/>
  <c r="BC35" i="1" s="1"/>
  <c r="BD35" i="1" s="1"/>
  <c r="O35" i="1"/>
  <c r="N35" i="1"/>
  <c r="V35" i="1" s="1"/>
  <c r="BJ34" i="1"/>
  <c r="BE34" i="1"/>
  <c r="BA34" i="1"/>
  <c r="BB34" i="1" s="1"/>
  <c r="V34" i="1"/>
  <c r="O34" i="1"/>
  <c r="N34" i="1"/>
  <c r="BC34" i="1" s="1"/>
  <c r="BD34" i="1" s="1"/>
  <c r="BE33" i="1"/>
  <c r="BJ33" i="1" s="1"/>
  <c r="V33" i="1"/>
  <c r="O33" i="1"/>
  <c r="BA33" i="1" s="1"/>
  <c r="BB33" i="1" s="1"/>
  <c r="N33" i="1"/>
  <c r="BC33" i="1" s="1"/>
  <c r="BD33" i="1" s="1"/>
  <c r="BE32" i="1"/>
  <c r="BJ32" i="1" s="1"/>
  <c r="BB32" i="1"/>
  <c r="BC32" i="1" s="1"/>
  <c r="BD32" i="1" s="1"/>
  <c r="N32" i="1"/>
  <c r="V32" i="1" s="1"/>
  <c r="H32" i="1"/>
  <c r="O32" i="1" s="1"/>
  <c r="BA32" i="1" s="1"/>
  <c r="BJ31" i="1"/>
  <c r="BE31" i="1"/>
  <c r="BB31" i="1"/>
  <c r="BC31" i="1" s="1"/>
  <c r="BD31" i="1" s="1"/>
  <c r="BA31" i="1"/>
  <c r="O31" i="1"/>
  <c r="N31" i="1"/>
  <c r="V31" i="1" s="1"/>
  <c r="BJ30" i="1"/>
  <c r="BE30" i="1"/>
  <c r="BA30" i="1"/>
  <c r="BB30" i="1" s="1"/>
  <c r="BC30" i="1" s="1"/>
  <c r="BD30" i="1" s="1"/>
  <c r="V30" i="1"/>
  <c r="O30" i="1"/>
  <c r="N30" i="1"/>
  <c r="BE29" i="1"/>
  <c r="BJ29" i="1" s="1"/>
  <c r="V29" i="1"/>
  <c r="O29" i="1"/>
  <c r="BA29" i="1" s="1"/>
  <c r="BB29" i="1" s="1"/>
  <c r="N29" i="1"/>
  <c r="BC29" i="1" s="1"/>
  <c r="BD29" i="1" s="1"/>
  <c r="BE28" i="1"/>
  <c r="BJ28" i="1" s="1"/>
  <c r="O28" i="1"/>
  <c r="BA28" i="1" s="1"/>
  <c r="BB28" i="1" s="1"/>
  <c r="BC28" i="1" s="1"/>
  <c r="BD28" i="1" s="1"/>
  <c r="N28" i="1"/>
  <c r="V28" i="1" s="1"/>
  <c r="BJ27" i="1"/>
  <c r="BE27" i="1"/>
  <c r="N27" i="1"/>
  <c r="V27" i="1" s="1"/>
  <c r="H27" i="1"/>
  <c r="O27" i="1" s="1"/>
  <c r="BA27" i="1" s="1"/>
  <c r="BB27" i="1" s="1"/>
  <c r="BC27" i="1" s="1"/>
  <c r="BD27" i="1" s="1"/>
  <c r="BJ26" i="1"/>
  <c r="BE26" i="1"/>
  <c r="BB26" i="1"/>
  <c r="BC26" i="1" s="1"/>
  <c r="BD26" i="1" s="1"/>
  <c r="BA26" i="1"/>
  <c r="O26" i="1"/>
  <c r="N26" i="1"/>
  <c r="V26" i="1" s="1"/>
  <c r="BJ25" i="1"/>
  <c r="BE25" i="1"/>
  <c r="BA25" i="1"/>
  <c r="BB25" i="1" s="1"/>
  <c r="BC25" i="1" s="1"/>
  <c r="BD25" i="1" s="1"/>
  <c r="V25" i="1"/>
  <c r="O25" i="1"/>
  <c r="N25" i="1"/>
  <c r="BE24" i="1"/>
  <c r="BJ24" i="1" s="1"/>
  <c r="V24" i="1"/>
  <c r="O24" i="1"/>
  <c r="BA24" i="1" s="1"/>
  <c r="BB24" i="1" s="1"/>
  <c r="N24" i="1"/>
  <c r="BE23" i="1"/>
  <c r="BJ23" i="1" s="1"/>
  <c r="O23" i="1"/>
  <c r="BA23" i="1" s="1"/>
  <c r="BB23" i="1" s="1"/>
  <c r="N23" i="1"/>
  <c r="V23" i="1" s="1"/>
  <c r="BJ22" i="1"/>
  <c r="BE22" i="1"/>
  <c r="BA22" i="1"/>
  <c r="BB22" i="1" s="1"/>
  <c r="BC22" i="1" s="1"/>
  <c r="BD22" i="1" s="1"/>
  <c r="O22" i="1"/>
  <c r="N22" i="1"/>
  <c r="V22" i="1" s="1"/>
  <c r="BJ21" i="1"/>
  <c r="BE21" i="1"/>
  <c r="BA21" i="1"/>
  <c r="BB21" i="1" s="1"/>
  <c r="V21" i="1"/>
  <c r="O21" i="1"/>
  <c r="N21" i="1"/>
  <c r="BC21" i="1" s="1"/>
  <c r="BD21" i="1" s="1"/>
  <c r="BE20" i="1"/>
  <c r="BJ20" i="1" s="1"/>
  <c r="O20" i="1"/>
  <c r="BA20" i="1" s="1"/>
  <c r="BB20" i="1" s="1"/>
  <c r="N20" i="1"/>
  <c r="BC20" i="1" s="1"/>
  <c r="BD20" i="1" s="1"/>
  <c r="BE19" i="1"/>
  <c r="BJ19" i="1" s="1"/>
  <c r="BB19" i="1"/>
  <c r="O19" i="1"/>
  <c r="BA19" i="1" s="1"/>
  <c r="N19" i="1"/>
  <c r="V19" i="1" s="1"/>
  <c r="BJ18" i="1"/>
  <c r="BE18" i="1"/>
  <c r="BB18" i="1"/>
  <c r="BC18" i="1" s="1"/>
  <c r="BD18" i="1" s="1"/>
  <c r="BA18" i="1"/>
  <c r="O18" i="1"/>
  <c r="N18" i="1"/>
  <c r="V18" i="1" s="1"/>
  <c r="BJ17" i="1"/>
  <c r="BE17" i="1"/>
  <c r="BA17" i="1"/>
  <c r="BB17" i="1" s="1"/>
  <c r="BC17" i="1" s="1"/>
  <c r="BD17" i="1" s="1"/>
  <c r="V17" i="1"/>
  <c r="O17" i="1"/>
  <c r="N17" i="1"/>
  <c r="BE16" i="1"/>
  <c r="BJ16" i="1" s="1"/>
  <c r="O16" i="1"/>
  <c r="BA16" i="1" s="1"/>
  <c r="BB16" i="1" s="1"/>
  <c r="N16" i="1"/>
  <c r="BC16" i="1" s="1"/>
  <c r="BD16" i="1" s="1"/>
  <c r="BE15" i="1"/>
  <c r="BJ15" i="1" s="1"/>
  <c r="O15" i="1"/>
  <c r="BA15" i="1" s="1"/>
  <c r="BB15" i="1" s="1"/>
  <c r="BC15" i="1" s="1"/>
  <c r="BD15" i="1" s="1"/>
  <c r="N15" i="1"/>
  <c r="V15" i="1" s="1"/>
  <c r="BJ14" i="1"/>
  <c r="BE14" i="1"/>
  <c r="BA14" i="1"/>
  <c r="BB14" i="1" s="1"/>
  <c r="BC14" i="1" s="1"/>
  <c r="BD14" i="1" s="1"/>
  <c r="O14" i="1"/>
  <c r="N14" i="1"/>
  <c r="V14" i="1" s="1"/>
  <c r="BJ13" i="1"/>
  <c r="BE13" i="1"/>
  <c r="BA13" i="1"/>
  <c r="BB13" i="1" s="1"/>
  <c r="BC13" i="1" s="1"/>
  <c r="BD13" i="1" s="1"/>
  <c r="V13" i="1"/>
  <c r="O13" i="1"/>
  <c r="N13" i="1"/>
  <c r="BE12" i="1"/>
  <c r="BJ12" i="1" s="1"/>
  <c r="O12" i="1"/>
  <c r="BA12" i="1" s="1"/>
  <c r="BB12" i="1" s="1"/>
  <c r="N12" i="1"/>
  <c r="BC12" i="1" s="1"/>
  <c r="BD12" i="1" s="1"/>
  <c r="BE11" i="1"/>
  <c r="BJ11" i="1" s="1"/>
  <c r="BB11" i="1"/>
  <c r="O11" i="1"/>
  <c r="BA11" i="1" s="1"/>
  <c r="N11" i="1"/>
  <c r="V11" i="1" s="1"/>
  <c r="BJ10" i="1"/>
  <c r="BE10" i="1"/>
  <c r="BB10" i="1"/>
  <c r="BC10" i="1" s="1"/>
  <c r="BD10" i="1" s="1"/>
  <c r="BA10" i="1"/>
  <c r="O10" i="1"/>
  <c r="N10" i="1"/>
  <c r="V10" i="1" s="1"/>
  <c r="BJ9" i="1"/>
  <c r="BE9" i="1"/>
  <c r="BA9" i="1"/>
  <c r="BB9" i="1" s="1"/>
  <c r="BC9" i="1" s="1"/>
  <c r="BD9" i="1" s="1"/>
  <c r="V9" i="1"/>
  <c r="O9" i="1"/>
  <c r="N9" i="1"/>
  <c r="BE8" i="1"/>
  <c r="BJ8" i="1" s="1"/>
  <c r="O8" i="1"/>
  <c r="BA8" i="1" s="1"/>
  <c r="BB8" i="1" s="1"/>
  <c r="N8" i="1"/>
  <c r="BB7" i="1"/>
  <c r="BC7" i="1" s="1"/>
  <c r="BD7" i="1" s="1"/>
  <c r="O7" i="1"/>
  <c r="BA7" i="1" s="1"/>
  <c r="N7" i="1"/>
  <c r="V7" i="1" s="1"/>
  <c r="M7" i="1"/>
  <c r="BE7" i="1" s="1"/>
  <c r="BJ7" i="1" s="1"/>
  <c r="BJ6" i="1"/>
  <c r="BE6" i="1"/>
  <c r="BA6" i="1"/>
  <c r="BB6" i="1" s="1"/>
  <c r="BC6" i="1" s="1"/>
  <c r="BD6" i="1" s="1"/>
  <c r="O6" i="1"/>
  <c r="N6" i="1"/>
  <c r="V6" i="1" s="1"/>
  <c r="BJ5" i="1"/>
  <c r="BE5" i="1"/>
  <c r="BA5" i="1"/>
  <c r="BB5" i="1" s="1"/>
  <c r="BC5" i="1" s="1"/>
  <c r="BD5" i="1" s="1"/>
  <c r="V5" i="1"/>
  <c r="N5" i="1"/>
  <c r="BE4" i="1"/>
  <c r="BJ4" i="1" s="1"/>
  <c r="V4" i="1"/>
  <c r="O4" i="1"/>
  <c r="BA4" i="1" s="1"/>
  <c r="BB4" i="1" s="1"/>
  <c r="N4" i="1"/>
  <c r="BE3" i="1"/>
  <c r="BJ3" i="1" s="1"/>
  <c r="O3" i="1"/>
  <c r="BA3" i="1" s="1"/>
  <c r="BB3" i="1" s="1"/>
  <c r="N3" i="1"/>
  <c r="V3" i="1" s="1"/>
  <c r="BJ2" i="1"/>
  <c r="BE2" i="1"/>
  <c r="BA2" i="1"/>
  <c r="BB2" i="1" s="1"/>
  <c r="BC2" i="1" s="1"/>
  <c r="BD2" i="1" s="1"/>
  <c r="O2" i="1"/>
  <c r="N2" i="1"/>
  <c r="V2" i="1" s="1"/>
  <c r="BH51" i="1"/>
  <c r="BH35" i="1"/>
  <c r="BH6" i="1"/>
  <c r="BH57" i="1"/>
  <c r="BH44" i="1"/>
  <c r="BG31" i="1"/>
  <c r="BH11" i="1"/>
  <c r="BG32" i="1"/>
  <c r="BH8" i="1"/>
  <c r="BG13" i="1"/>
  <c r="BG21" i="1"/>
  <c r="BG4" i="1"/>
  <c r="BG49" i="1"/>
  <c r="BG47" i="1"/>
  <c r="BG52" i="1"/>
  <c r="BG28" i="1"/>
  <c r="BH50" i="1"/>
  <c r="BH4" i="1"/>
  <c r="BG9" i="1"/>
  <c r="BH14" i="1"/>
  <c r="BG56" i="1"/>
  <c r="BH27" i="1"/>
  <c r="BG27" i="1"/>
  <c r="BG57" i="1"/>
  <c r="BH28" i="1"/>
  <c r="BH49" i="1"/>
  <c r="BH33" i="1"/>
  <c r="BG12" i="1"/>
  <c r="BH21" i="1"/>
  <c r="BG20" i="1"/>
  <c r="BH9" i="1"/>
  <c r="BH30" i="1"/>
  <c r="BH10" i="1"/>
  <c r="BG7" i="1"/>
  <c r="BH45" i="1"/>
  <c r="BG17" i="1"/>
  <c r="BH37" i="1"/>
  <c r="BH47" i="1"/>
  <c r="BG30" i="1"/>
  <c r="BG51" i="1"/>
  <c r="BG2" i="1"/>
  <c r="BH53" i="1"/>
  <c r="BH40" i="1"/>
  <c r="BH23" i="1"/>
  <c r="BH7" i="1"/>
  <c r="BG53" i="1"/>
  <c r="BG16" i="1"/>
  <c r="BG55" i="1"/>
  <c r="BH29" i="1"/>
  <c r="BH26" i="1"/>
  <c r="BG26" i="1"/>
  <c r="BG23" i="1"/>
  <c r="BH38" i="1"/>
  <c r="BH5" i="1"/>
  <c r="BG37" i="1"/>
  <c r="BH43" i="1"/>
  <c r="BG43" i="1"/>
  <c r="BG22" i="1"/>
  <c r="BG3" i="1"/>
  <c r="BH52" i="1"/>
  <c r="BH36" i="1"/>
  <c r="BH19" i="1"/>
  <c r="BG6" i="1"/>
  <c r="BG48" i="1"/>
  <c r="BG19" i="1"/>
  <c r="BH24" i="1"/>
  <c r="BG34" i="1"/>
  <c r="BG8" i="1"/>
  <c r="BH46" i="1"/>
  <c r="BG46" i="1"/>
  <c r="BH34" i="1"/>
  <c r="BG54" i="1"/>
  <c r="BH55" i="1"/>
  <c r="BH39" i="1"/>
  <c r="BH2" i="1"/>
  <c r="BG14" i="1"/>
  <c r="BH48" i="1"/>
  <c r="BH15" i="1"/>
  <c r="BG40" i="1"/>
  <c r="BG41" i="1"/>
  <c r="BH13" i="1"/>
  <c r="BG10" i="1"/>
  <c r="BH16" i="1"/>
  <c r="BH54" i="1"/>
  <c r="BH25" i="1"/>
  <c r="BG50" i="1"/>
  <c r="BH22" i="1"/>
  <c r="BG5" i="1"/>
  <c r="BG39" i="1"/>
  <c r="BG18" i="1"/>
  <c r="BH3" i="1"/>
  <c r="BG44" i="1"/>
  <c r="BG15" i="1"/>
  <c r="BH41" i="1"/>
  <c r="BG33" i="1"/>
  <c r="BH42" i="1"/>
  <c r="BG42" i="1"/>
  <c r="BG45" i="1"/>
  <c r="BG29" i="1"/>
  <c r="BH56" i="1"/>
  <c r="BG35" i="1"/>
  <c r="BH12" i="1"/>
  <c r="BH32" i="1"/>
  <c r="BG11" i="1"/>
  <c r="BH20" i="1"/>
  <c r="BG38" i="1"/>
  <c r="BG25" i="1"/>
  <c r="BH18" i="1"/>
  <c r="BH31" i="1"/>
  <c r="BG36" i="1"/>
  <c r="BH17" i="1"/>
  <c r="BG24" i="1"/>
  <c r="BI55" i="1" l="1"/>
  <c r="BI29" i="1"/>
  <c r="BI30" i="1"/>
  <c r="BI5" i="1"/>
  <c r="BI13" i="1"/>
  <c r="BI34" i="1"/>
  <c r="BI9" i="1"/>
  <c r="BI50" i="1"/>
  <c r="BI25" i="1"/>
  <c r="BI46" i="1"/>
  <c r="BI21" i="1"/>
  <c r="BI42" i="1"/>
  <c r="BI17" i="1"/>
  <c r="BI38" i="1"/>
  <c r="BI8" i="1"/>
  <c r="BI20" i="1"/>
  <c r="BI24" i="1"/>
  <c r="BI33" i="1"/>
  <c r="BI37" i="1"/>
  <c r="BI41" i="1"/>
  <c r="BI45" i="1"/>
  <c r="BI49" i="1"/>
  <c r="BI54" i="1"/>
  <c r="BI28" i="1"/>
  <c r="BI16" i="1"/>
  <c r="BI3" i="1"/>
  <c r="BI7" i="1"/>
  <c r="BI11" i="1"/>
  <c r="BI15" i="1"/>
  <c r="BI19" i="1"/>
  <c r="BI23" i="1"/>
  <c r="BI32" i="1"/>
  <c r="BI36" i="1"/>
  <c r="BI40" i="1"/>
  <c r="BI44" i="1"/>
  <c r="BI48" i="1"/>
  <c r="BI52" i="1"/>
  <c r="BI53" i="1"/>
  <c r="BI57" i="1"/>
  <c r="BI4" i="1"/>
  <c r="BI12" i="1"/>
  <c r="BI6" i="1"/>
  <c r="BI27" i="1"/>
  <c r="BI31" i="1"/>
  <c r="BI2" i="1"/>
  <c r="BI10" i="1"/>
  <c r="BI14" i="1"/>
  <c r="BI18" i="1"/>
  <c r="BI22" i="1"/>
  <c r="BI26" i="1"/>
  <c r="BI35" i="1"/>
  <c r="BI39" i="1"/>
  <c r="BI43" i="1"/>
  <c r="BI47" i="1"/>
  <c r="BI51" i="1"/>
  <c r="BI56" i="1"/>
  <c r="V20" i="1"/>
  <c r="V41" i="1"/>
  <c r="BC52" i="1"/>
  <c r="BD52" i="1" s="1"/>
  <c r="BC53" i="1"/>
  <c r="BD53" i="1" s="1"/>
  <c r="BC8" i="1"/>
  <c r="BD8" i="1" s="1"/>
  <c r="V16" i="1"/>
  <c r="V37" i="1"/>
  <c r="BC48" i="1"/>
  <c r="BD48" i="1" s="1"/>
  <c r="V12" i="1"/>
  <c r="BC23" i="1"/>
  <c r="BD23" i="1" s="1"/>
  <c r="BC44" i="1"/>
  <c r="BD44" i="1" s="1"/>
  <c r="BC3" i="1"/>
  <c r="BD3" i="1" s="1"/>
  <c r="V8" i="1"/>
  <c r="BC19" i="1"/>
  <c r="BD19" i="1" s="1"/>
  <c r="BC40" i="1"/>
  <c r="BD40" i="1" s="1"/>
  <c r="BC46" i="1"/>
  <c r="BD46" i="1" s="1"/>
  <c r="BC49" i="1"/>
  <c r="BD49" i="1" s="1"/>
  <c r="BC57" i="1"/>
  <c r="BD57" i="1" s="1"/>
  <c r="BC4" i="1"/>
  <c r="BD4" i="1" s="1"/>
  <c r="BC11" i="1"/>
  <c r="BD11" i="1" s="1"/>
  <c r="BC24" i="1"/>
  <c r="BD24" i="1" s="1"/>
  <c r="BC38" i="1"/>
  <c r="BD38" i="1" s="1"/>
  <c r="BC45" i="1"/>
  <c r="BD45" i="1" s="1"/>
</calcChain>
</file>

<file path=xl/sharedStrings.xml><?xml version="1.0" encoding="utf-8"?>
<sst xmlns="http://schemas.openxmlformats.org/spreadsheetml/2006/main" count="461" uniqueCount="111">
  <si>
    <t>№ п/п</t>
  </si>
  <si>
    <t>Адрес порыва</t>
  </si>
  <si>
    <t>Протяженность заменямого участка, м</t>
  </si>
  <si>
    <t>Протяженность участка, м</t>
  </si>
  <si>
    <t>Диаметр участка, мм</t>
  </si>
  <si>
    <t>Год ввода в эксплуатацию</t>
  </si>
  <si>
    <t>Толщина стенки</t>
  </si>
  <si>
    <t>Остаточная толщина металла на участке, мм, К1</t>
  </si>
  <si>
    <t>Наличие других порывов на участке, К2</t>
  </si>
  <si>
    <t>Коррозионная активность грунта, К3</t>
  </si>
  <si>
    <t>Наличие пересечений с коммуникациями, К5</t>
  </si>
  <si>
    <t>Продолжительность устранения порыва, ч</t>
  </si>
  <si>
    <t>Срок эксплуатации, лет</t>
  </si>
  <si>
    <t>Утонение стенки, %</t>
  </si>
  <si>
    <t>K1</t>
  </si>
  <si>
    <t>K2</t>
  </si>
  <si>
    <t>K3</t>
  </si>
  <si>
    <t>K4</t>
  </si>
  <si>
    <t>K5</t>
  </si>
  <si>
    <t>Участвующие коэффициенты</t>
  </si>
  <si>
    <t>Интенсивность отказов, 1/км*ч</t>
  </si>
  <si>
    <t>коэф. А</t>
  </si>
  <si>
    <t>Ki (действ)</t>
  </si>
  <si>
    <t>Ki(теор) метод частных уравнений</t>
  </si>
  <si>
    <t>Δki</t>
  </si>
  <si>
    <r>
      <rPr>
        <sz val="12"/>
        <color theme="1"/>
        <rFont val="Symbol"/>
        <family val="1"/>
        <charset val="2"/>
      </rPr>
      <t>De</t>
    </r>
    <r>
      <rPr>
        <sz val="12"/>
        <color theme="1"/>
        <rFont val="Times New Roman"/>
        <family val="1"/>
        <charset val="204"/>
      </rPr>
      <t>, %</t>
    </r>
  </si>
  <si>
    <t>Коэф α (нов метод)</t>
  </si>
  <si>
    <t>Инт. Отказов λ (нов методика)</t>
  </si>
  <si>
    <t>Поток отказов ω (нов метод)</t>
  </si>
  <si>
    <r>
      <rPr>
        <sz val="12"/>
        <color theme="1"/>
        <rFont val="Times New Roman"/>
        <family val="1"/>
        <charset val="204"/>
      </rPr>
      <t xml:space="preserve">Интенсивность восстановления </t>
    </r>
    <r>
      <rPr>
        <sz val="12"/>
        <color theme="1"/>
        <rFont val="Calibri"/>
        <family val="2"/>
        <charset val="204"/>
      </rPr>
      <t>μ</t>
    </r>
    <r>
      <rPr>
        <sz val="12"/>
        <color theme="1"/>
        <rFont val="Times New Roman"/>
        <family val="1"/>
        <charset val="204"/>
      </rPr>
      <t xml:space="preserve"> (нов метод)</t>
    </r>
  </si>
  <si>
    <t>Коэф α (стар метод)</t>
  </si>
  <si>
    <t>Инт. Отказов λ (стар методика)</t>
  </si>
  <si>
    <t>Поток отказов ω (стар метод)</t>
  </si>
  <si>
    <r>
      <rPr>
        <sz val="12"/>
        <color theme="1"/>
        <rFont val="Times New Roman"/>
        <family val="1"/>
        <charset val="204"/>
      </rPr>
      <t xml:space="preserve">Интенсивность восстановления </t>
    </r>
    <r>
      <rPr>
        <sz val="12"/>
        <color theme="1"/>
        <rFont val="Calibri"/>
        <family val="2"/>
        <charset val="204"/>
      </rPr>
      <t>μ</t>
    </r>
    <r>
      <rPr>
        <sz val="12"/>
        <color theme="1"/>
        <rFont val="Times New Roman"/>
        <family val="1"/>
        <charset val="204"/>
      </rPr>
      <t xml:space="preserve"> (стар метод)</t>
    </r>
  </si>
  <si>
    <t>п. Октябрьский, ул. Ульяновская, д. 7</t>
  </si>
  <si>
    <t>да</t>
  </si>
  <si>
    <t>низкая</t>
  </si>
  <si>
    <t>нет</t>
  </si>
  <si>
    <t>K1, K2</t>
  </si>
  <si>
    <t>п. Первомайский, пер. Садовый, д. 1</t>
  </si>
  <si>
    <t>п. Пятисотенный, ул. Гагарина</t>
  </si>
  <si>
    <t>высокая</t>
  </si>
  <si>
    <t>K1, K2, K3, K5</t>
  </si>
  <si>
    <t>ул. Калинина 29, около ПУ-32</t>
  </si>
  <si>
    <t>-</t>
  </si>
  <si>
    <t>пр. Сурова, 4, Авиастроительный р-н</t>
  </si>
  <si>
    <t>р.п. Новая Майна центральная теплотрасса на жил.поселок ф273</t>
  </si>
  <si>
    <t>K1, K2, K4</t>
  </si>
  <si>
    <t>р.п. Новая Майна ул Маширина</t>
  </si>
  <si>
    <t>K1, K2, K5</t>
  </si>
  <si>
    <t>р.п. Новая Майна ул. Микрорайон, д.4</t>
  </si>
  <si>
    <t>р.п. Новая Майна ул. Микрорайон,10 до Микрорайон,9</t>
  </si>
  <si>
    <t>р.п. Новая Майна центральная теплотрасса до ул. Микрорайон,д.10</t>
  </si>
  <si>
    <t>р.п. Новая Майна до Микрорайон, 28</t>
  </si>
  <si>
    <t>р.п. Новая Майна Микрорайон, 10 до Микрорайон,8</t>
  </si>
  <si>
    <t>р.п. Новая Майна ул. Микрорайон,22</t>
  </si>
  <si>
    <t>с.Русский Мелекесс, ул. Совхозная,13</t>
  </si>
  <si>
    <t>с.Русский Мелекесс, ул. Совхозная,1</t>
  </si>
  <si>
    <t>с.Русский Мелекесс, Школа</t>
  </si>
  <si>
    <t>р.п. Мулловка ,ул. Некрасова 01.10.2016г.</t>
  </si>
  <si>
    <t>K1, K4</t>
  </si>
  <si>
    <t>р.п.п Мулловка, ул. Клубная 02.10.2016г.</t>
  </si>
  <si>
    <t>р.п.п Мулловка, ул. Клубная 03.10.2016г.</t>
  </si>
  <si>
    <t>р.п. Мулловка, ул .Физкультурная С/К Текстильщик 07.10.2016г</t>
  </si>
  <si>
    <t>р.п. мулловка, ул. Физкультурная 13.10.2016г</t>
  </si>
  <si>
    <t>р.п. Мулловка, ул. Мичурина 3 22.11.2016г.</t>
  </si>
  <si>
    <t>ул.Кузоватовская 29а</t>
  </si>
  <si>
    <t>ул.Кузоватовская 40 а</t>
  </si>
  <si>
    <t>ул.Федерации 5</t>
  </si>
  <si>
    <t>б.Пластова 6</t>
  </si>
  <si>
    <t>ул.Рябикова 31</t>
  </si>
  <si>
    <t>ул.Промышленная 38</t>
  </si>
  <si>
    <t>ул.Кирова 40</t>
  </si>
  <si>
    <t>ул.Набережная реки Свияга 106</t>
  </si>
  <si>
    <t>ул.Гончарова 1 в</t>
  </si>
  <si>
    <t>ул.Камышинская 17</t>
  </si>
  <si>
    <t>ул.Кирова 36</t>
  </si>
  <si>
    <t>Ввод первый переулок Полтавский,5 ТК-8а кв.12.</t>
  </si>
  <si>
    <t>Ул.Герасимова кв.10 п.УЗТС  от ТК-6 до Т-9</t>
  </si>
  <si>
    <t>Ввод Западный бульвар,13 ТК-15</t>
  </si>
  <si>
    <t>Повреждение подающего трубопровода между ТК-17 и ТК-18  М-12 по ул. Матросова</t>
  </si>
  <si>
    <t>Ул.Октябрьская,53-55</t>
  </si>
  <si>
    <t>Московское шоссе,39 ТК-19 кв.12</t>
  </si>
  <si>
    <t xml:space="preserve">Повреждение подающего трубопровода в ТК-115 А между НС №5 и  Т-122  М-13 по ул. Карла Маркса </t>
  </si>
  <si>
    <t>Повреждение подающего трубопровода в корпусе компенсатора  в ТК-25 М-12 по ул. Бебеля</t>
  </si>
  <si>
    <t xml:space="preserve">Повреждение подающего трубопровода между  Т-2 и ТК-7  Кв-18  по ул.  Пушкарева,20  </t>
  </si>
  <si>
    <t>Ул.Гончарова от ТК-24 до ТК-73 подача</t>
  </si>
  <si>
    <t>Повреждение подающего  трубопровода  между ТК-128А и ТК-128 М-13 по ул. Лесная</t>
  </si>
  <si>
    <t>Повреждение подающего  трубопровода  в Т-4 на отпайке от М-10 к ЦТП «Университет», ул Минаева</t>
  </si>
  <si>
    <t>г.Инза, ул.Парковая,7</t>
  </si>
  <si>
    <t>г.Инза, ул.Красных бойцов,24</t>
  </si>
  <si>
    <t>K1, K4, K5</t>
  </si>
  <si>
    <t>г.Инза, ул.Шоссейная, 74</t>
  </si>
  <si>
    <t>г.Инза, ул.Труда, 27</t>
  </si>
  <si>
    <t>K1, K2, K4, K5</t>
  </si>
  <si>
    <t>р.п.Кузоватово, котельная №1, участок теплотрассы от ТК№17 до ТК№18</t>
  </si>
  <si>
    <t>ул.Зеленая д.7 до ул.Зеленая д.11</t>
  </si>
  <si>
    <t>ул.Зеленая д.5</t>
  </si>
  <si>
    <t>пл.Ленина, 1 - пл. Ленина, 3</t>
  </si>
  <si>
    <t>K1, K2, K3, K4, K5</t>
  </si>
  <si>
    <t>ул.Калинина, 67 - ул. Калинина, 71</t>
  </si>
  <si>
    <t>ул. Калинина,79  - ул. Л.Толстого, 99а</t>
  </si>
  <si>
    <t>K1, K2, K3</t>
  </si>
  <si>
    <t>р.п. Майна ул. Ленинская д.8</t>
  </si>
  <si>
    <t>эмпирический</t>
  </si>
  <si>
    <t>утонение стенки</t>
  </si>
  <si>
    <t>Ki</t>
  </si>
  <si>
    <t>участвующий коэффициент</t>
  </si>
  <si>
    <t>К1, К2</t>
  </si>
  <si>
    <t>К1, К4</t>
  </si>
  <si>
    <t>Наличие/отсутствие затопления (следов затопления) канала, К4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</si>
</sst>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charset val="204"/>
      <scheme val="minor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2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функции!$A$3:$A$26</c:f>
              <c:numCache>
                <c:formatCode>0.00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</c:v>
                </c:pt>
                <c:pt idx="5">
                  <c:v>14.285714285714301</c:v>
                </c:pt>
                <c:pt idx="6">
                  <c:v>14.285714285714301</c:v>
                </c:pt>
                <c:pt idx="7">
                  <c:v>14.285714285714301</c:v>
                </c:pt>
                <c:pt idx="8">
                  <c:v>14.285714285714301</c:v>
                </c:pt>
                <c:pt idx="9">
                  <c:v>14.285714285714301</c:v>
                </c:pt>
                <c:pt idx="10">
                  <c:v>16.470588235294102</c:v>
                </c:pt>
                <c:pt idx="11">
                  <c:v>18.75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27.7777777777778</c:v>
                </c:pt>
                <c:pt idx="17">
                  <c:v>27.7777777777778</c:v>
                </c:pt>
                <c:pt idx="18">
                  <c:v>29.411764705882302</c:v>
                </c:pt>
                <c:pt idx="19">
                  <c:v>43.75</c:v>
                </c:pt>
                <c:pt idx="20">
                  <c:v>43.75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xVal>
          <c:yVal>
            <c:numRef>
              <c:f>функции!$B$3:$B$26</c:f>
              <c:numCache>
                <c:formatCode>General</c:formatCode>
                <c:ptCount val="24"/>
                <c:pt idx="1">
                  <c:v>1.2873599460596501</c:v>
                </c:pt>
                <c:pt idx="2">
                  <c:v>1.30229397546804</c:v>
                </c:pt>
                <c:pt idx="3">
                  <c:v>1.29363571173486</c:v>
                </c:pt>
                <c:pt idx="4">
                  <c:v>1.32084779754183</c:v>
                </c:pt>
                <c:pt idx="5">
                  <c:v>1.12428114220237</c:v>
                </c:pt>
                <c:pt idx="6">
                  <c:v>1.2682204817978</c:v>
                </c:pt>
                <c:pt idx="7">
                  <c:v>1.0468705934332301</c:v>
                </c:pt>
                <c:pt idx="8">
                  <c:v>1.4368898720004399</c:v>
                </c:pt>
                <c:pt idx="9">
                  <c:v>1.3307652806236401</c:v>
                </c:pt>
                <c:pt idx="10">
                  <c:v>1.2770109878618101</c:v>
                </c:pt>
                <c:pt idx="11">
                  <c:v>1.0535912590659999</c:v>
                </c:pt>
                <c:pt idx="12">
                  <c:v>1.25195851441946</c:v>
                </c:pt>
                <c:pt idx="13">
                  <c:v>0.92846943448965302</c:v>
                </c:pt>
                <c:pt idx="14">
                  <c:v>1.1306541248926001</c:v>
                </c:pt>
                <c:pt idx="15">
                  <c:v>1.0936479111623401</c:v>
                </c:pt>
                <c:pt idx="16">
                  <c:v>1.0126818140171201</c:v>
                </c:pt>
                <c:pt idx="17">
                  <c:v>0.76640688149981895</c:v>
                </c:pt>
                <c:pt idx="18">
                  <c:v>1.25858159134508</c:v>
                </c:pt>
                <c:pt idx="19">
                  <c:v>1.0482286614429399</c:v>
                </c:pt>
                <c:pt idx="20">
                  <c:v>1.24077320560644</c:v>
                </c:pt>
                <c:pt idx="21">
                  <c:v>1.1417697875326001</c:v>
                </c:pt>
                <c:pt idx="22">
                  <c:v>1.0487990650700401</c:v>
                </c:pt>
                <c:pt idx="23">
                  <c:v>0.99673866679999401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F-45F1-AE7F-77C3209B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7488"/>
        <c:axId val="118445952"/>
      </c:scatterChart>
      <c:valAx>
        <c:axId val="118447488"/>
        <c:scaling>
          <c:orientation val="minMax"/>
          <c:max val="55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45952"/>
        <c:crosses val="autoZero"/>
        <c:crossBetween val="midCat"/>
      </c:valAx>
      <c:valAx>
        <c:axId val="118445952"/>
        <c:scaling>
          <c:orientation val="minMax"/>
          <c:max val="1.5"/>
          <c:min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4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функции!$A$31:$A$40</c:f>
              <c:numCache>
                <c:formatCode>0.00</c:formatCode>
                <c:ptCount val="10"/>
                <c:pt idx="0">
                  <c:v>14.285714285714301</c:v>
                </c:pt>
                <c:pt idx="1">
                  <c:v>30</c:v>
                </c:pt>
                <c:pt idx="2">
                  <c:v>38.8888888888889</c:v>
                </c:pt>
                <c:pt idx="3">
                  <c:v>44.4444444444444</c:v>
                </c:pt>
                <c:pt idx="4">
                  <c:v>52.941176470588204</c:v>
                </c:pt>
                <c:pt idx="5">
                  <c:v>58.3333333333333</c:v>
                </c:pt>
                <c:pt idx="6">
                  <c:v>60</c:v>
                </c:pt>
                <c:pt idx="7">
                  <c:v>60</c:v>
                </c:pt>
                <c:pt idx="8">
                  <c:v>66.6666666666667</c:v>
                </c:pt>
                <c:pt idx="9">
                  <c:v>70</c:v>
                </c:pt>
              </c:numCache>
            </c:numRef>
          </c:xVal>
          <c:yVal>
            <c:numRef>
              <c:f>функции!$B$31:$B$40</c:f>
              <c:numCache>
                <c:formatCode>General</c:formatCode>
                <c:ptCount val="10"/>
                <c:pt idx="0">
                  <c:v>1.21194610928654</c:v>
                </c:pt>
                <c:pt idx="1">
                  <c:v>1.4230801099888399</c:v>
                </c:pt>
                <c:pt idx="2">
                  <c:v>1.1688524707304799</c:v>
                </c:pt>
                <c:pt idx="3">
                  <c:v>1.0487990650700401</c:v>
                </c:pt>
                <c:pt idx="4">
                  <c:v>0.62543539671441795</c:v>
                </c:pt>
                <c:pt idx="5">
                  <c:v>1.0487990650700401</c:v>
                </c:pt>
                <c:pt idx="6">
                  <c:v>1.3618768068943501</c:v>
                </c:pt>
                <c:pt idx="7">
                  <c:v>1.7591264331590399</c:v>
                </c:pt>
                <c:pt idx="8">
                  <c:v>1.1717159451426</c:v>
                </c:pt>
                <c:pt idx="9">
                  <c:v>1.1335831477073099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B-49CE-84ED-46C4B109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3088"/>
        <c:axId val="118852992"/>
      </c:scatterChart>
      <c:valAx>
        <c:axId val="118873088"/>
        <c:scaling>
          <c:orientation val="minMax"/>
          <c:max val="70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852992"/>
        <c:crosses val="autoZero"/>
        <c:crossBetween val="midCat"/>
      </c:valAx>
      <c:valAx>
        <c:axId val="118852992"/>
        <c:scaling>
          <c:orientation val="minMax"/>
          <c:max val="1.8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873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функции!$A$46:$A$54</c:f>
              <c:numCache>
                <c:formatCode>0.00</c:formatCode>
                <c:ptCount val="9"/>
                <c:pt idx="0">
                  <c:v>64.285714285714306</c:v>
                </c:pt>
                <c:pt idx="1">
                  <c:v>64.285714285714306</c:v>
                </c:pt>
                <c:pt idx="2">
                  <c:v>64.285714285714306</c:v>
                </c:pt>
                <c:pt idx="3">
                  <c:v>50</c:v>
                </c:pt>
                <c:pt idx="4">
                  <c:v>64.285714285714306</c:v>
                </c:pt>
                <c:pt idx="5">
                  <c:v>50</c:v>
                </c:pt>
                <c:pt idx="6">
                  <c:v>22.2222222222222</c:v>
                </c:pt>
                <c:pt idx="7">
                  <c:v>27.7777777777778</c:v>
                </c:pt>
                <c:pt idx="8">
                  <c:v>11.1111111111111</c:v>
                </c:pt>
              </c:numCache>
            </c:numRef>
          </c:xVal>
          <c:yVal>
            <c:numRef>
              <c:f>функции!$B$46:$B$54</c:f>
              <c:numCache>
                <c:formatCode>General</c:formatCode>
                <c:ptCount val="9"/>
                <c:pt idx="0">
                  <c:v>1.5248875890917399</c:v>
                </c:pt>
                <c:pt idx="1">
                  <c:v>1.6296597271818001</c:v>
                </c:pt>
                <c:pt idx="2">
                  <c:v>1.38282141448667</c:v>
                </c:pt>
                <c:pt idx="3">
                  <c:v>1.38282141448667</c:v>
                </c:pt>
                <c:pt idx="4">
                  <c:v>1.41335638841421</c:v>
                </c:pt>
                <c:pt idx="5">
                  <c:v>1.07683129023411</c:v>
                </c:pt>
                <c:pt idx="6">
                  <c:v>1.2050157090335401</c:v>
                </c:pt>
                <c:pt idx="7">
                  <c:v>0.76707080261118499</c:v>
                </c:pt>
                <c:pt idx="8">
                  <c:v>1.0489581698342501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4-49F4-A5F6-D52F4200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8256"/>
        <c:axId val="122605952"/>
      </c:scatterChart>
      <c:valAx>
        <c:axId val="122608256"/>
        <c:scaling>
          <c:orientation val="minMax"/>
          <c:max val="70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05952"/>
        <c:crosses val="autoZero"/>
        <c:crossBetween val="midCat"/>
      </c:valAx>
      <c:valAx>
        <c:axId val="122605952"/>
        <c:scaling>
          <c:orientation val="minMax"/>
          <c:max val="1.65"/>
          <c:min val="0.6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08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функции!$A$60:$A$63</c:f>
              <c:numCache>
                <c:formatCode>0.00</c:formatCode>
                <c:ptCount val="4"/>
                <c:pt idx="0">
                  <c:v>37.5</c:v>
                </c:pt>
                <c:pt idx="1">
                  <c:v>37.5</c:v>
                </c:pt>
                <c:pt idx="2">
                  <c:v>14.285714285714301</c:v>
                </c:pt>
                <c:pt idx="3">
                  <c:v>14.285714285714301</c:v>
                </c:pt>
              </c:numCache>
            </c:numRef>
          </c:xVal>
          <c:yVal>
            <c:numRef>
              <c:f>функции!$B$60:$B$63</c:f>
              <c:numCache>
                <c:formatCode>General</c:formatCode>
                <c:ptCount val="4"/>
                <c:pt idx="0">
                  <c:v>0.96920647030737805</c:v>
                </c:pt>
                <c:pt idx="1">
                  <c:v>0.96920647030737805</c:v>
                </c:pt>
                <c:pt idx="2">
                  <c:v>1.0072285020559699</c:v>
                </c:pt>
                <c:pt idx="3">
                  <c:v>1.16670401272132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3-41CA-AB8D-026546EE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2528"/>
        <c:axId val="109653376"/>
      </c:scatterChart>
      <c:valAx>
        <c:axId val="117942528"/>
        <c:scaling>
          <c:orientation val="minMax"/>
          <c:max val="40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53376"/>
        <c:crosses val="autoZero"/>
        <c:crossBetween val="midCat"/>
      </c:valAx>
      <c:valAx>
        <c:axId val="109653376"/>
        <c:scaling>
          <c:orientation val="minMax"/>
          <c:max val="1.2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42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функции!$A$76:$A$79</c:f>
              <c:numCache>
                <c:formatCode>0.00</c:formatCode>
                <c:ptCount val="4"/>
                <c:pt idx="0">
                  <c:v>55.5555555555556</c:v>
                </c:pt>
                <c:pt idx="1">
                  <c:v>37.5</c:v>
                </c:pt>
                <c:pt idx="2">
                  <c:v>68.75</c:v>
                </c:pt>
                <c:pt idx="3">
                  <c:v>64.285714285714306</c:v>
                </c:pt>
              </c:numCache>
            </c:numRef>
          </c:xVal>
          <c:yVal>
            <c:numRef>
              <c:f>функции!$B$76:$B$79</c:f>
              <c:numCache>
                <c:formatCode>General</c:formatCode>
                <c:ptCount val="4"/>
                <c:pt idx="0">
                  <c:v>0.85897478699480301</c:v>
                </c:pt>
                <c:pt idx="1">
                  <c:v>1.2082745757353901</c:v>
                </c:pt>
                <c:pt idx="2">
                  <c:v>0.87251079828645195</c:v>
                </c:pt>
                <c:pt idx="3">
                  <c:v>0.98320486003399898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F-4DE8-9C8D-0BDACF1B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248"/>
        <c:axId val="10799360"/>
      </c:scatterChart>
      <c:valAx>
        <c:axId val="11749248"/>
        <c:scaling>
          <c:orientation val="minMax"/>
          <c:max val="70"/>
          <c:min val="35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9360"/>
        <c:crosses val="autoZero"/>
        <c:crossBetween val="midCat"/>
      </c:valAx>
      <c:valAx>
        <c:axId val="10799360"/>
        <c:scaling>
          <c:orientation val="minMax"/>
          <c:max val="1.3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функции!$B$90</c:f>
              <c:strCache>
                <c:ptCount val="1"/>
                <c:pt idx="0">
                  <c:v>Ki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125206346312355"/>
                  <c:y val="-0.17594779819189299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функции!$A$91:$A$146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14.285714285714301</c:v>
                </c:pt>
                <c:pt idx="7">
                  <c:v>14.285714285714301</c:v>
                </c:pt>
                <c:pt idx="8">
                  <c:v>14.285714285714301</c:v>
                </c:pt>
                <c:pt idx="9">
                  <c:v>14.285714285714301</c:v>
                </c:pt>
                <c:pt idx="10">
                  <c:v>14.285714285714301</c:v>
                </c:pt>
                <c:pt idx="11">
                  <c:v>14.285714285714301</c:v>
                </c:pt>
                <c:pt idx="12">
                  <c:v>14.285714285714301</c:v>
                </c:pt>
                <c:pt idx="13">
                  <c:v>14.285714285714301</c:v>
                </c:pt>
                <c:pt idx="14">
                  <c:v>16.470588235294102</c:v>
                </c:pt>
                <c:pt idx="15">
                  <c:v>18.75</c:v>
                </c:pt>
                <c:pt idx="16">
                  <c:v>22.2222222222222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27.7777777777778</c:v>
                </c:pt>
                <c:pt idx="22">
                  <c:v>27.7777777777778</c:v>
                </c:pt>
                <c:pt idx="23">
                  <c:v>27.7777777777778</c:v>
                </c:pt>
                <c:pt idx="24">
                  <c:v>28.571428571428601</c:v>
                </c:pt>
                <c:pt idx="25">
                  <c:v>29.411764705882302</c:v>
                </c:pt>
                <c:pt idx="26">
                  <c:v>30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38.8888888888889</c:v>
                </c:pt>
                <c:pt idx="31">
                  <c:v>43.75</c:v>
                </c:pt>
                <c:pt idx="32">
                  <c:v>43.75</c:v>
                </c:pt>
                <c:pt idx="33">
                  <c:v>44.4444444444444</c:v>
                </c:pt>
                <c:pt idx="34">
                  <c:v>44.4444444444444</c:v>
                </c:pt>
                <c:pt idx="35">
                  <c:v>48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52.941176470588204</c:v>
                </c:pt>
                <c:pt idx="43">
                  <c:v>55.5555555555556</c:v>
                </c:pt>
                <c:pt idx="44">
                  <c:v>58.3333333333333</c:v>
                </c:pt>
                <c:pt idx="45">
                  <c:v>60</c:v>
                </c:pt>
                <c:pt idx="46">
                  <c:v>60</c:v>
                </c:pt>
                <c:pt idx="47">
                  <c:v>64.285714285714306</c:v>
                </c:pt>
                <c:pt idx="48">
                  <c:v>64.285714285714306</c:v>
                </c:pt>
                <c:pt idx="49">
                  <c:v>64.285714285714306</c:v>
                </c:pt>
                <c:pt idx="50">
                  <c:v>64.285714285714306</c:v>
                </c:pt>
                <c:pt idx="51">
                  <c:v>64.285714285714306</c:v>
                </c:pt>
                <c:pt idx="52">
                  <c:v>65</c:v>
                </c:pt>
                <c:pt idx="53">
                  <c:v>66.6666666666667</c:v>
                </c:pt>
                <c:pt idx="54">
                  <c:v>68.75</c:v>
                </c:pt>
                <c:pt idx="55">
                  <c:v>70</c:v>
                </c:pt>
              </c:numCache>
            </c:numRef>
          </c:xVal>
          <c:yVal>
            <c:numRef>
              <c:f>функции!$B$91:$B$146</c:f>
              <c:numCache>
                <c:formatCode>General</c:formatCode>
                <c:ptCount val="56"/>
                <c:pt idx="0">
                  <c:v>1.02734942209383</c:v>
                </c:pt>
                <c:pt idx="1">
                  <c:v>1.2873599460596501</c:v>
                </c:pt>
                <c:pt idx="2">
                  <c:v>1.30229397546804</c:v>
                </c:pt>
                <c:pt idx="3">
                  <c:v>1.29363571173486</c:v>
                </c:pt>
                <c:pt idx="4">
                  <c:v>1.32084779754183</c:v>
                </c:pt>
                <c:pt idx="5">
                  <c:v>1.0489581698342501</c:v>
                </c:pt>
                <c:pt idx="6">
                  <c:v>1.0072285020559699</c:v>
                </c:pt>
                <c:pt idx="7">
                  <c:v>1.16670401272132</c:v>
                </c:pt>
                <c:pt idx="8">
                  <c:v>1.21194610928654</c:v>
                </c:pt>
                <c:pt idx="9">
                  <c:v>1.12428114220237</c:v>
                </c:pt>
                <c:pt idx="10">
                  <c:v>1.2682204817978</c:v>
                </c:pt>
                <c:pt idx="11">
                  <c:v>1.0468705934332301</c:v>
                </c:pt>
                <c:pt idx="12">
                  <c:v>1.4368898720004399</c:v>
                </c:pt>
                <c:pt idx="13">
                  <c:v>1.3307652806236401</c:v>
                </c:pt>
                <c:pt idx="14">
                  <c:v>1.2770109878618101</c:v>
                </c:pt>
                <c:pt idx="15">
                  <c:v>1.0535912590659999</c:v>
                </c:pt>
                <c:pt idx="16">
                  <c:v>1.2050157090335401</c:v>
                </c:pt>
                <c:pt idx="17">
                  <c:v>1.25195851441946</c:v>
                </c:pt>
                <c:pt idx="18">
                  <c:v>0.92846943448965302</c:v>
                </c:pt>
                <c:pt idx="19">
                  <c:v>1.1306541248926001</c:v>
                </c:pt>
                <c:pt idx="20">
                  <c:v>1.0936479111623401</c:v>
                </c:pt>
                <c:pt idx="21">
                  <c:v>1.0126818140171201</c:v>
                </c:pt>
                <c:pt idx="22">
                  <c:v>0.76640688149981895</c:v>
                </c:pt>
                <c:pt idx="23">
                  <c:v>0.76707080261118499</c:v>
                </c:pt>
                <c:pt idx="24">
                  <c:v>1.01236932097027</c:v>
                </c:pt>
                <c:pt idx="25">
                  <c:v>1.25858159134508</c:v>
                </c:pt>
                <c:pt idx="26">
                  <c:v>1.4230801099888399</c:v>
                </c:pt>
                <c:pt idx="27">
                  <c:v>0.96920647030737805</c:v>
                </c:pt>
                <c:pt idx="28">
                  <c:v>1.2082745757353901</c:v>
                </c:pt>
                <c:pt idx="29">
                  <c:v>0.96920647030737805</c:v>
                </c:pt>
                <c:pt idx="30">
                  <c:v>1.1688524707304799</c:v>
                </c:pt>
                <c:pt idx="31">
                  <c:v>1.0482286614429399</c:v>
                </c:pt>
                <c:pt idx="32">
                  <c:v>1.24077320560644</c:v>
                </c:pt>
                <c:pt idx="33">
                  <c:v>1.0487990650700401</c:v>
                </c:pt>
                <c:pt idx="34">
                  <c:v>0.88756487699961795</c:v>
                </c:pt>
                <c:pt idx="35">
                  <c:v>1.33141037162483</c:v>
                </c:pt>
                <c:pt idx="36">
                  <c:v>1.1417697875326001</c:v>
                </c:pt>
                <c:pt idx="37">
                  <c:v>1.0487990650700401</c:v>
                </c:pt>
                <c:pt idx="38">
                  <c:v>1.38282141448667</c:v>
                </c:pt>
                <c:pt idx="39">
                  <c:v>1.07683129023411</c:v>
                </c:pt>
                <c:pt idx="40">
                  <c:v>0.99673866679999401</c:v>
                </c:pt>
                <c:pt idx="41">
                  <c:v>1.1589720935804699</c:v>
                </c:pt>
                <c:pt idx="42">
                  <c:v>0.62543539671441795</c:v>
                </c:pt>
                <c:pt idx="43">
                  <c:v>0.85897478699480301</c:v>
                </c:pt>
                <c:pt idx="44">
                  <c:v>1.0487990650700401</c:v>
                </c:pt>
                <c:pt idx="45">
                  <c:v>1.3618768068943501</c:v>
                </c:pt>
                <c:pt idx="46">
                  <c:v>1.7591264331590399</c:v>
                </c:pt>
                <c:pt idx="47">
                  <c:v>1.5248875890917399</c:v>
                </c:pt>
                <c:pt idx="48">
                  <c:v>1.6296597271818001</c:v>
                </c:pt>
                <c:pt idx="49">
                  <c:v>1.38282141448667</c:v>
                </c:pt>
                <c:pt idx="50">
                  <c:v>1.41335638841421</c:v>
                </c:pt>
                <c:pt idx="51">
                  <c:v>0.98320486003399898</c:v>
                </c:pt>
                <c:pt idx="52">
                  <c:v>2.0896259115919098</c:v>
                </c:pt>
                <c:pt idx="53">
                  <c:v>1.1717159451426</c:v>
                </c:pt>
                <c:pt idx="54">
                  <c:v>0.87251079828645195</c:v>
                </c:pt>
                <c:pt idx="55">
                  <c:v>1.1335831477073099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6-4EBC-9A75-367147C35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7984"/>
        <c:axId val="124762752"/>
      </c:scatterChart>
      <c:valAx>
        <c:axId val="124777984"/>
        <c:scaling>
          <c:orientation val="minMax"/>
          <c:max val="8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62752"/>
        <c:crosses val="autoZero"/>
        <c:crossBetween val="midCat"/>
      </c:valAx>
      <c:valAx>
        <c:axId val="124762752"/>
        <c:scaling>
          <c:orientation val="minMax"/>
          <c:max val="2.2999999999999998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77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0</xdr:rowOff>
    </xdr:from>
    <xdr:to>
      <xdr:col>13</xdr:col>
      <xdr:colOff>333375</xdr:colOff>
      <xdr:row>16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26</xdr:row>
      <xdr:rowOff>95250</xdr:rowOff>
    </xdr:from>
    <xdr:to>
      <xdr:col>13</xdr:col>
      <xdr:colOff>323850</xdr:colOff>
      <xdr:row>40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41</xdr:row>
      <xdr:rowOff>133350</xdr:rowOff>
    </xdr:from>
    <xdr:to>
      <xdr:col>13</xdr:col>
      <xdr:colOff>333375</xdr:colOff>
      <xdr:row>55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56</xdr:row>
      <xdr:rowOff>66675</xdr:rowOff>
    </xdr:from>
    <xdr:to>
      <xdr:col>13</xdr:col>
      <xdr:colOff>342900</xdr:colOff>
      <xdr:row>70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72</xdr:row>
      <xdr:rowOff>0</xdr:rowOff>
    </xdr:from>
    <xdr:to>
      <xdr:col>13</xdr:col>
      <xdr:colOff>333375</xdr:colOff>
      <xdr:row>85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819149</xdr:colOff>
      <xdr:row>93</xdr:row>
      <xdr:rowOff>85725</xdr:rowOff>
    </xdr:from>
    <xdr:to>
      <xdr:col>15</xdr:col>
      <xdr:colOff>428625</xdr:colOff>
      <xdr:row>107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J57"/>
  <sheetViews>
    <sheetView tabSelected="1" topLeftCell="K1" zoomScale="70" zoomScaleNormal="70" workbookViewId="0">
      <pane ySplit="1" topLeftCell="A44" activePane="bottomLeft" state="frozen"/>
      <selection pane="bottomLeft" activeCell="W2" sqref="W2:X57"/>
    </sheetView>
  </sheetViews>
  <sheetFormatPr defaultColWidth="9.109375" defaultRowHeight="15.6" x14ac:dyDescent="0.3"/>
  <cols>
    <col min="1" max="1" width="5.33203125" style="1" customWidth="1"/>
    <col min="2" max="2" width="68" style="1" customWidth="1"/>
    <col min="3" max="3" width="22.5546875" style="1" customWidth="1"/>
    <col min="4" max="4" width="16.44140625" style="1" customWidth="1"/>
    <col min="5" max="5" width="14.109375" style="1" customWidth="1"/>
    <col min="6" max="6" width="15.109375" style="1" customWidth="1"/>
    <col min="7" max="7" width="11.44140625" style="1" customWidth="1"/>
    <col min="8" max="8" width="12.88671875" style="1" customWidth="1"/>
    <col min="9" max="9" width="15" style="1" customWidth="1"/>
    <col min="10" max="10" width="15.33203125" style="1" customWidth="1"/>
    <col min="11" max="11" width="19.88671875" style="1" customWidth="1"/>
    <col min="12" max="12" width="18.6640625" style="1" customWidth="1"/>
    <col min="13" max="13" width="21.44140625" style="1" customWidth="1"/>
    <col min="14" max="14" width="15" style="1" customWidth="1"/>
    <col min="15" max="15" width="11.44140625" style="1" customWidth="1"/>
    <col min="16" max="20" width="9.109375" style="1"/>
    <col min="21" max="21" width="20.44140625" style="1" customWidth="1"/>
    <col min="22" max="22" width="17.6640625" style="1" customWidth="1"/>
    <col min="23" max="23" width="13.44140625" customWidth="1"/>
    <col min="24" max="24" width="13.88671875" customWidth="1"/>
    <col min="25" max="25" width="14.44140625" customWidth="1"/>
    <col min="26" max="26" width="14.33203125" customWidth="1"/>
    <col min="27" max="27" width="15.44140625" customWidth="1"/>
    <col min="28" max="32" width="8.88671875"/>
    <col min="33" max="52" width="9.109375" style="1"/>
    <col min="53" max="53" width="11.88671875" style="5" customWidth="1"/>
    <col min="54" max="54" width="12.33203125" style="5" customWidth="1"/>
    <col min="55" max="55" width="16" style="5" customWidth="1"/>
    <col min="56" max="56" width="12" style="5" customWidth="1"/>
    <col min="57" max="57" width="17" style="5" customWidth="1"/>
    <col min="58" max="59" width="9.109375" style="1"/>
    <col min="60" max="60" width="16.6640625" style="1" customWidth="1"/>
    <col min="61" max="61" width="16.44140625" style="1" customWidth="1"/>
    <col min="62" max="62" width="17.109375" style="1" customWidth="1"/>
    <col min="63" max="16384" width="9.109375" style="1"/>
  </cols>
  <sheetData>
    <row r="1" spans="1:62" ht="78" x14ac:dyDescent="0.3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110</v>
      </c>
      <c r="L1" s="6" t="s">
        <v>10</v>
      </c>
      <c r="M1" s="6" t="s">
        <v>11</v>
      </c>
      <c r="N1" s="6" t="s">
        <v>12</v>
      </c>
      <c r="O1" s="21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27" t="s">
        <v>20</v>
      </c>
      <c r="W1" s="27" t="s">
        <v>21</v>
      </c>
      <c r="X1" s="27" t="s">
        <v>22</v>
      </c>
      <c r="Y1" s="27" t="s">
        <v>23</v>
      </c>
      <c r="Z1" s="17" t="s">
        <v>24</v>
      </c>
      <c r="AA1" s="27" t="s">
        <v>25</v>
      </c>
      <c r="BA1" s="33" t="s">
        <v>23</v>
      </c>
      <c r="BB1" s="34" t="s">
        <v>26</v>
      </c>
      <c r="BC1" s="35" t="s">
        <v>27</v>
      </c>
      <c r="BD1" s="34" t="s">
        <v>28</v>
      </c>
      <c r="BE1" s="33" t="s">
        <v>29</v>
      </c>
      <c r="BF1" s="27"/>
      <c r="BG1" s="17" t="s">
        <v>30</v>
      </c>
      <c r="BH1" s="13" t="s">
        <v>31</v>
      </c>
      <c r="BI1" s="17" t="s">
        <v>32</v>
      </c>
      <c r="BJ1" s="27" t="s">
        <v>33</v>
      </c>
    </row>
    <row r="2" spans="1:62" x14ac:dyDescent="0.3">
      <c r="A2" s="8">
        <v>1</v>
      </c>
      <c r="B2" s="8" t="s">
        <v>34</v>
      </c>
      <c r="C2" s="9">
        <v>3</v>
      </c>
      <c r="D2" s="9">
        <v>60</v>
      </c>
      <c r="E2" s="9">
        <v>150</v>
      </c>
      <c r="F2" s="9">
        <v>1980</v>
      </c>
      <c r="G2" s="9">
        <v>4.5</v>
      </c>
      <c r="H2" s="9">
        <v>2.75</v>
      </c>
      <c r="I2" s="9" t="s">
        <v>35</v>
      </c>
      <c r="J2" s="9" t="s">
        <v>36</v>
      </c>
      <c r="K2" s="9" t="s">
        <v>37</v>
      </c>
      <c r="L2" s="9" t="s">
        <v>37</v>
      </c>
      <c r="M2" s="22">
        <v>7</v>
      </c>
      <c r="N2" s="9">
        <f>2017-F2</f>
        <v>37</v>
      </c>
      <c r="O2" s="23">
        <f>100-H2*100/G2</f>
        <v>38.888888888888886</v>
      </c>
      <c r="P2" s="9"/>
      <c r="Q2" s="28"/>
      <c r="R2" s="28">
        <v>1</v>
      </c>
      <c r="S2" s="28">
        <v>1</v>
      </c>
      <c r="T2" s="28">
        <v>1</v>
      </c>
      <c r="U2" s="9" t="s">
        <v>38</v>
      </c>
      <c r="V2" s="8">
        <f>1000/(D2*N2*8760)</f>
        <v>5.1421284297996624E-5</v>
      </c>
      <c r="W2" s="8">
        <v>1.6091487141280425</v>
      </c>
      <c r="X2" s="8">
        <v>1.1688524707304822</v>
      </c>
      <c r="Y2" s="8"/>
      <c r="Z2" s="8"/>
      <c r="AA2" s="8"/>
      <c r="AB2" s="1"/>
      <c r="AC2" s="1"/>
      <c r="AD2" s="1"/>
      <c r="AE2" s="1"/>
      <c r="AF2" s="1"/>
      <c r="BA2" s="36">
        <f>0.007037131*O2+0.918138063</f>
        <v>1.1918042685555554</v>
      </c>
      <c r="BB2" s="36">
        <f>0.5*EXP(BA2)</f>
        <v>1.646508669110949</v>
      </c>
      <c r="BC2" s="36">
        <f t="shared" ref="BC2:BC33" si="0">5.7*10^(-6)*N2^(BB2-1)</f>
        <v>5.8847885858005983E-5</v>
      </c>
      <c r="BD2" s="36">
        <f t="shared" ref="BD2:BD22" si="1">BC2*D2/1000</f>
        <v>3.5308731514803588E-6</v>
      </c>
      <c r="BE2" s="37">
        <f>1/M2</f>
        <v>0.14285714285714285</v>
      </c>
      <c r="BF2" s="8"/>
      <c r="BG2" s="8" t="e">
        <f t="shared" ref="BG2:BG33" ca="1" si="2">alfa(N2)</f>
        <v>#NAME?</v>
      </c>
      <c r="BH2" s="8" t="e">
        <f t="shared" ref="BH2:BH33" ca="1" si="3">Intens(N2,BG2)</f>
        <v>#NAME?</v>
      </c>
      <c r="BI2" s="8" t="e">
        <f t="shared" ref="BI2:BI22" ca="1" si="4">BH2*D2/1000</f>
        <v>#NAME?</v>
      </c>
      <c r="BJ2" s="8">
        <f>BE2</f>
        <v>0.14285714285714285</v>
      </c>
    </row>
    <row r="3" spans="1:62" x14ac:dyDescent="0.3">
      <c r="A3" s="8">
        <v>2</v>
      </c>
      <c r="B3" s="8" t="s">
        <v>39</v>
      </c>
      <c r="C3" s="9">
        <v>2</v>
      </c>
      <c r="D3" s="9">
        <v>80</v>
      </c>
      <c r="E3" s="9">
        <v>100</v>
      </c>
      <c r="F3" s="9">
        <v>1983</v>
      </c>
      <c r="G3" s="9">
        <v>3.5</v>
      </c>
      <c r="H3" s="9">
        <v>1.75</v>
      </c>
      <c r="I3" s="9" t="s">
        <v>37</v>
      </c>
      <c r="J3" s="9" t="s">
        <v>36</v>
      </c>
      <c r="K3" s="9" t="s">
        <v>37</v>
      </c>
      <c r="L3" s="9" t="s">
        <v>37</v>
      </c>
      <c r="M3" s="22">
        <v>4</v>
      </c>
      <c r="N3" s="9">
        <f t="shared" ref="N3:N57" si="5">2017-F3</f>
        <v>34</v>
      </c>
      <c r="O3" s="23">
        <f>100-H3*100/G3</f>
        <v>50</v>
      </c>
      <c r="P3" s="9"/>
      <c r="Q3" s="29">
        <v>1</v>
      </c>
      <c r="R3" s="29">
        <v>1</v>
      </c>
      <c r="S3" s="29">
        <v>1</v>
      </c>
      <c r="T3" s="29">
        <v>1</v>
      </c>
      <c r="U3" s="9" t="s">
        <v>14</v>
      </c>
      <c r="V3" s="8">
        <f t="shared" ref="V3:V57" si="6">1000/(D3*N3*8760)</f>
        <v>4.1968842331453132E-5</v>
      </c>
      <c r="W3" s="8">
        <v>1.5661534902483456</v>
      </c>
      <c r="X3" s="8">
        <v>1.1417697875325954</v>
      </c>
      <c r="Y3" s="8"/>
      <c r="Z3" s="8"/>
      <c r="AA3" s="8"/>
      <c r="AB3" s="1"/>
      <c r="AC3" s="1"/>
      <c r="AD3" s="1"/>
      <c r="AE3" s="1"/>
      <c r="AF3" s="1"/>
      <c r="BA3" s="36">
        <f>0.006732324*O3+0.95415593</f>
        <v>1.2907721299999999</v>
      </c>
      <c r="BB3" s="36">
        <f t="shared" ref="BB3:BB57" si="7">0.5*EXP(BA3)</f>
        <v>1.8177963112104096</v>
      </c>
      <c r="BC3" s="36">
        <f t="shared" si="0"/>
        <v>1.0193249738585254E-4</v>
      </c>
      <c r="BD3" s="36">
        <f t="shared" si="1"/>
        <v>8.1545997908682021E-6</v>
      </c>
      <c r="BE3" s="37">
        <f>1/M3</f>
        <v>0.25</v>
      </c>
      <c r="BF3" s="8"/>
      <c r="BG3" s="8" t="e">
        <f t="shared" ca="1" si="2"/>
        <v>#NAME?</v>
      </c>
      <c r="BH3" s="8" t="e">
        <f t="shared" ca="1" si="3"/>
        <v>#NAME?</v>
      </c>
      <c r="BI3" s="8" t="e">
        <f t="shared" ca="1" si="4"/>
        <v>#NAME?</v>
      </c>
      <c r="BJ3" s="8">
        <f t="shared" ref="BJ3:BJ57" si="8">BE3</f>
        <v>0.25</v>
      </c>
    </row>
    <row r="4" spans="1:62" x14ac:dyDescent="0.3">
      <c r="A4" s="8">
        <v>3</v>
      </c>
      <c r="B4" s="8" t="s">
        <v>40</v>
      </c>
      <c r="C4" s="9">
        <v>6</v>
      </c>
      <c r="D4" s="9">
        <v>170</v>
      </c>
      <c r="E4" s="9">
        <v>100</v>
      </c>
      <c r="F4" s="9">
        <v>1985</v>
      </c>
      <c r="G4" s="9">
        <v>3.5</v>
      </c>
      <c r="H4" s="9">
        <v>2.5</v>
      </c>
      <c r="I4" s="9" t="s">
        <v>35</v>
      </c>
      <c r="J4" s="9" t="s">
        <v>41</v>
      </c>
      <c r="K4" s="9" t="s">
        <v>37</v>
      </c>
      <c r="L4" s="9" t="s">
        <v>35</v>
      </c>
      <c r="M4" s="22">
        <v>10</v>
      </c>
      <c r="N4" s="9">
        <f t="shared" si="5"/>
        <v>32</v>
      </c>
      <c r="O4" s="23">
        <f>100-H4*100/G4</f>
        <v>28.571428571428569</v>
      </c>
      <c r="P4" s="9"/>
      <c r="Q4" s="9"/>
      <c r="R4" s="9"/>
      <c r="S4" s="9">
        <v>1</v>
      </c>
      <c r="T4" s="9"/>
      <c r="U4" s="9" t="s">
        <v>42</v>
      </c>
      <c r="V4" s="8">
        <f t="shared" si="6"/>
        <v>2.0984421165726566E-5</v>
      </c>
      <c r="W4" s="8">
        <v>1.3760569688165289</v>
      </c>
      <c r="X4" s="8">
        <v>1.0123693209702664</v>
      </c>
      <c r="Y4" s="8"/>
      <c r="Z4" s="8"/>
      <c r="AA4" s="8"/>
      <c r="AB4" s="1"/>
      <c r="AC4" s="1"/>
      <c r="AD4" s="1"/>
      <c r="AE4" s="1"/>
      <c r="AF4" s="1"/>
      <c r="BA4" s="36">
        <f>0.007037131*O4+0.918138063</f>
        <v>1.1191989487142857</v>
      </c>
      <c r="BB4" s="36">
        <f t="shared" si="7"/>
        <v>1.5312000404815409</v>
      </c>
      <c r="BC4" s="36">
        <f t="shared" si="0"/>
        <v>3.5926142244227581E-5</v>
      </c>
      <c r="BD4" s="36">
        <f t="shared" si="1"/>
        <v>6.1074441815186893E-6</v>
      </c>
      <c r="BE4" s="37">
        <f>1/M4</f>
        <v>0.1</v>
      </c>
      <c r="BF4" s="8"/>
      <c r="BG4" s="8" t="e">
        <f t="shared" ca="1" si="2"/>
        <v>#NAME?</v>
      </c>
      <c r="BH4" s="8" t="e">
        <f t="shared" ca="1" si="3"/>
        <v>#NAME?</v>
      </c>
      <c r="BI4" s="8" t="e">
        <f t="shared" ca="1" si="4"/>
        <v>#NAME?</v>
      </c>
      <c r="BJ4" s="8">
        <f t="shared" si="8"/>
        <v>0.1</v>
      </c>
    </row>
    <row r="5" spans="1:62" x14ac:dyDescent="0.3">
      <c r="A5" s="8">
        <v>4</v>
      </c>
      <c r="B5" s="10" t="s">
        <v>43</v>
      </c>
      <c r="C5" s="11">
        <v>20</v>
      </c>
      <c r="D5" s="11">
        <v>120</v>
      </c>
      <c r="E5" s="11">
        <v>89</v>
      </c>
      <c r="F5" s="11">
        <v>1978</v>
      </c>
      <c r="G5" s="11" t="s">
        <v>44</v>
      </c>
      <c r="H5" s="11" t="s">
        <v>44</v>
      </c>
      <c r="I5" s="9" t="s">
        <v>37</v>
      </c>
      <c r="J5" s="9" t="s">
        <v>36</v>
      </c>
      <c r="K5" s="9" t="s">
        <v>37</v>
      </c>
      <c r="L5" s="9" t="s">
        <v>37</v>
      </c>
      <c r="M5" s="22" t="s">
        <v>44</v>
      </c>
      <c r="N5" s="9">
        <f t="shared" si="5"/>
        <v>39</v>
      </c>
      <c r="O5" s="23">
        <v>0</v>
      </c>
      <c r="P5" s="11"/>
      <c r="Q5" s="29">
        <v>1</v>
      </c>
      <c r="R5" s="29">
        <v>1</v>
      </c>
      <c r="S5" s="29">
        <v>1</v>
      </c>
      <c r="T5" s="29">
        <v>1</v>
      </c>
      <c r="U5" s="9" t="s">
        <v>14</v>
      </c>
      <c r="V5" s="8">
        <f t="shared" si="6"/>
        <v>2.4392147679818911E-5</v>
      </c>
      <c r="W5" s="8">
        <v>1.3968256111643795</v>
      </c>
      <c r="X5" s="8">
        <v>1.0273494220938335</v>
      </c>
      <c r="Y5" s="8"/>
      <c r="Z5" s="8"/>
      <c r="AA5" s="8"/>
      <c r="AB5" s="1"/>
      <c r="AC5" s="1"/>
      <c r="AD5" s="1"/>
      <c r="AE5" s="1"/>
      <c r="AF5" s="1"/>
      <c r="BA5" s="36">
        <f>0.006732324*O5+0.95415593</f>
        <v>0.95415592999999999</v>
      </c>
      <c r="BB5" s="36">
        <f t="shared" si="7"/>
        <v>1.2982390242485176</v>
      </c>
      <c r="BC5" s="36">
        <f t="shared" si="0"/>
        <v>1.699778812771086E-5</v>
      </c>
      <c r="BD5" s="36">
        <f t="shared" si="1"/>
        <v>2.0397345753253033E-6</v>
      </c>
      <c r="BE5" s="37">
        <f>1/(0.91256074780734*(1+(20.8877641154199-1.87928919400643*1)*(E5/1000)^1.2))</f>
        <v>0.53642015478779592</v>
      </c>
      <c r="BF5" s="8"/>
      <c r="BG5" s="8" t="e">
        <f t="shared" ca="1" si="2"/>
        <v>#NAME?</v>
      </c>
      <c r="BH5" s="8" t="e">
        <f t="shared" ca="1" si="3"/>
        <v>#NAME?</v>
      </c>
      <c r="BI5" s="8" t="e">
        <f t="shared" ca="1" si="4"/>
        <v>#NAME?</v>
      </c>
      <c r="BJ5" s="8">
        <f t="shared" si="8"/>
        <v>0.53642015478779592</v>
      </c>
    </row>
    <row r="6" spans="1:62" x14ac:dyDescent="0.3">
      <c r="A6" s="8">
        <v>5</v>
      </c>
      <c r="B6" s="10" t="s">
        <v>45</v>
      </c>
      <c r="C6" s="11">
        <v>1</v>
      </c>
      <c r="D6" s="11">
        <v>45</v>
      </c>
      <c r="E6" s="11">
        <v>219</v>
      </c>
      <c r="F6" s="11">
        <v>1987</v>
      </c>
      <c r="G6" s="11">
        <v>8.5</v>
      </c>
      <c r="H6" s="11">
        <v>7.1</v>
      </c>
      <c r="I6" s="9" t="s">
        <v>37</v>
      </c>
      <c r="J6" s="9" t="s">
        <v>36</v>
      </c>
      <c r="K6" s="9" t="s">
        <v>37</v>
      </c>
      <c r="L6" s="9" t="s">
        <v>37</v>
      </c>
      <c r="M6" s="22" t="s">
        <v>44</v>
      </c>
      <c r="N6" s="9">
        <f t="shared" si="5"/>
        <v>30</v>
      </c>
      <c r="O6" s="23">
        <f t="shared" ref="O6:O37" si="9">100-H6*100/G6</f>
        <v>16.470588235294116</v>
      </c>
      <c r="P6" s="11"/>
      <c r="Q6" s="29">
        <v>1</v>
      </c>
      <c r="R6" s="29">
        <v>1</v>
      </c>
      <c r="S6" s="29">
        <v>1</v>
      </c>
      <c r="T6" s="29">
        <v>1</v>
      </c>
      <c r="U6" s="9" t="s">
        <v>14</v>
      </c>
      <c r="V6" s="8">
        <f t="shared" si="6"/>
        <v>8.4559445290038893E-5</v>
      </c>
      <c r="W6" s="8">
        <v>1.7929526881574229</v>
      </c>
      <c r="X6" s="8">
        <v>1.2770109878618054</v>
      </c>
      <c r="Y6" s="8"/>
      <c r="Z6" s="8"/>
      <c r="AA6" s="8"/>
      <c r="AB6" s="1"/>
      <c r="AC6" s="1"/>
      <c r="AD6" s="1"/>
      <c r="AE6" s="1"/>
      <c r="AF6" s="1"/>
      <c r="BA6" s="36">
        <f>0.006732324*O6+0.95415593</f>
        <v>1.0650412664705882</v>
      </c>
      <c r="BB6" s="36">
        <f t="shared" si="7"/>
        <v>1.4504793469581176</v>
      </c>
      <c r="BC6" s="36">
        <f t="shared" si="0"/>
        <v>2.6380770384229826E-5</v>
      </c>
      <c r="BD6" s="36">
        <f t="shared" si="1"/>
        <v>1.1871346672903423E-6</v>
      </c>
      <c r="BE6" s="37">
        <f>1/(0.91256074780734*(1+(20.8877641154199-1.87928919400643*1)*(E6/1000)^1.2))</f>
        <v>0.26908279755585035</v>
      </c>
      <c r="BF6" s="8"/>
      <c r="BG6" s="8" t="e">
        <f t="shared" ca="1" si="2"/>
        <v>#NAME?</v>
      </c>
      <c r="BH6" s="8" t="e">
        <f t="shared" ca="1" si="3"/>
        <v>#NAME?</v>
      </c>
      <c r="BI6" s="8" t="e">
        <f t="shared" ca="1" si="4"/>
        <v>#NAME?</v>
      </c>
      <c r="BJ6" s="8">
        <f t="shared" si="8"/>
        <v>0.26908279755585035</v>
      </c>
    </row>
    <row r="7" spans="1:62" ht="15" customHeight="1" x14ac:dyDescent="0.3">
      <c r="A7" s="8">
        <v>6</v>
      </c>
      <c r="B7" s="12" t="s">
        <v>46</v>
      </c>
      <c r="C7" s="9">
        <v>72</v>
      </c>
      <c r="D7" s="9">
        <v>250</v>
      </c>
      <c r="E7" s="9">
        <v>273</v>
      </c>
      <c r="F7" s="9">
        <v>1976</v>
      </c>
      <c r="G7" s="9">
        <v>9</v>
      </c>
      <c r="H7" s="9">
        <v>4</v>
      </c>
      <c r="I7" s="9" t="s">
        <v>35</v>
      </c>
      <c r="J7" s="9" t="s">
        <v>36</v>
      </c>
      <c r="K7" s="9" t="s">
        <v>35</v>
      </c>
      <c r="L7" s="9" t="s">
        <v>37</v>
      </c>
      <c r="M7" s="22">
        <f>40/60</f>
        <v>0.66666666666666663</v>
      </c>
      <c r="N7" s="9">
        <f t="shared" si="5"/>
        <v>41</v>
      </c>
      <c r="O7" s="23">
        <f t="shared" si="9"/>
        <v>55.555555555555557</v>
      </c>
      <c r="P7" s="11"/>
      <c r="Q7" s="30"/>
      <c r="R7" s="30">
        <v>1</v>
      </c>
      <c r="S7" s="30"/>
      <c r="T7" s="30">
        <v>1</v>
      </c>
      <c r="U7" s="9" t="s">
        <v>47</v>
      </c>
      <c r="V7" s="8">
        <f t="shared" si="6"/>
        <v>1.1137097672346587E-5</v>
      </c>
      <c r="W7" s="8">
        <v>1.1803695960593967</v>
      </c>
      <c r="X7" s="8">
        <v>0.85897478699480334</v>
      </c>
      <c r="Y7" s="8"/>
      <c r="Z7" s="8"/>
      <c r="AA7" s="8"/>
      <c r="AB7" s="1"/>
      <c r="AC7" s="1"/>
      <c r="AD7" s="1"/>
      <c r="AE7" s="1"/>
      <c r="AF7" s="1"/>
      <c r="BA7" s="36">
        <f>0.007037131*O7+0.918138063</f>
        <v>1.3090897852222223</v>
      </c>
      <c r="BB7" s="36">
        <f t="shared" si="7"/>
        <v>1.8514009164641534</v>
      </c>
      <c r="BC7" s="36">
        <f t="shared" si="0"/>
        <v>1.3458619324871582E-4</v>
      </c>
      <c r="BD7" s="36">
        <f t="shared" si="1"/>
        <v>3.3646548312178955E-5</v>
      </c>
      <c r="BE7" s="37">
        <f>1/M7</f>
        <v>1.5</v>
      </c>
      <c r="BF7" s="8"/>
      <c r="BG7" s="8" t="e">
        <f t="shared" ca="1" si="2"/>
        <v>#NAME?</v>
      </c>
      <c r="BH7" s="8" t="e">
        <f t="shared" ca="1" si="3"/>
        <v>#NAME?</v>
      </c>
      <c r="BI7" s="8" t="e">
        <f t="shared" ca="1" si="4"/>
        <v>#NAME?</v>
      </c>
      <c r="BJ7" s="8">
        <f t="shared" si="8"/>
        <v>1.5</v>
      </c>
    </row>
    <row r="8" spans="1:62" x14ac:dyDescent="0.3">
      <c r="A8" s="8">
        <v>7</v>
      </c>
      <c r="B8" s="12" t="s">
        <v>48</v>
      </c>
      <c r="C8" s="9">
        <v>1</v>
      </c>
      <c r="D8" s="9">
        <v>150</v>
      </c>
      <c r="E8" s="9">
        <v>108</v>
      </c>
      <c r="F8" s="9">
        <v>1976</v>
      </c>
      <c r="G8" s="9">
        <v>4</v>
      </c>
      <c r="H8" s="9">
        <v>2.5</v>
      </c>
      <c r="I8" s="9" t="s">
        <v>35</v>
      </c>
      <c r="J8" s="9" t="s">
        <v>36</v>
      </c>
      <c r="K8" s="9" t="s">
        <v>37</v>
      </c>
      <c r="L8" s="9" t="s">
        <v>35</v>
      </c>
      <c r="M8" s="22">
        <v>75</v>
      </c>
      <c r="N8" s="9">
        <f t="shared" si="5"/>
        <v>41</v>
      </c>
      <c r="O8" s="23">
        <f t="shared" si="9"/>
        <v>37.5</v>
      </c>
      <c r="P8" s="11"/>
      <c r="Q8" s="31"/>
      <c r="R8" s="31">
        <v>1</v>
      </c>
      <c r="S8" s="31">
        <v>1</v>
      </c>
      <c r="T8" s="31"/>
      <c r="U8" s="9" t="s">
        <v>49</v>
      </c>
      <c r="V8" s="8">
        <f t="shared" si="6"/>
        <v>1.8561829453910979E-5</v>
      </c>
      <c r="W8" s="8">
        <v>1.3179260012106597</v>
      </c>
      <c r="X8" s="8">
        <v>0.96920647030737761</v>
      </c>
      <c r="Y8" s="8"/>
      <c r="Z8" s="8"/>
      <c r="AA8" s="8"/>
      <c r="AB8" s="1"/>
      <c r="AC8" s="1"/>
      <c r="AD8" s="1"/>
      <c r="AE8" s="1"/>
      <c r="AF8" s="1"/>
      <c r="BA8" s="36">
        <f>0.006413391*O8+0.973</f>
        <v>1.2135021625</v>
      </c>
      <c r="BB8" s="36">
        <f t="shared" si="7"/>
        <v>1.6826248451277268</v>
      </c>
      <c r="BC8" s="36">
        <f t="shared" si="0"/>
        <v>7.19119699748828E-5</v>
      </c>
      <c r="BD8" s="36">
        <f t="shared" si="1"/>
        <v>1.078679549623242E-5</v>
      </c>
      <c r="BE8" s="37">
        <f>1/M8</f>
        <v>1.3333333333333334E-2</v>
      </c>
      <c r="BF8" s="8"/>
      <c r="BG8" s="8" t="e">
        <f t="shared" ca="1" si="2"/>
        <v>#NAME?</v>
      </c>
      <c r="BH8" s="8" t="e">
        <f t="shared" ca="1" si="3"/>
        <v>#NAME?</v>
      </c>
      <c r="BI8" s="8" t="e">
        <f t="shared" ca="1" si="4"/>
        <v>#NAME?</v>
      </c>
      <c r="BJ8" s="8">
        <f t="shared" si="8"/>
        <v>1.3333333333333334E-2</v>
      </c>
    </row>
    <row r="9" spans="1:62" ht="17.25" customHeight="1" x14ac:dyDescent="0.3">
      <c r="A9" s="8">
        <v>8</v>
      </c>
      <c r="B9" s="12" t="s">
        <v>50</v>
      </c>
      <c r="C9" s="9">
        <v>5</v>
      </c>
      <c r="D9" s="9">
        <v>40</v>
      </c>
      <c r="E9" s="9">
        <v>108</v>
      </c>
      <c r="F9" s="9">
        <v>1976</v>
      </c>
      <c r="G9" s="9">
        <v>4</v>
      </c>
      <c r="H9" s="9">
        <v>2.5</v>
      </c>
      <c r="I9" s="9" t="s">
        <v>35</v>
      </c>
      <c r="J9" s="9" t="s">
        <v>36</v>
      </c>
      <c r="K9" s="9" t="s">
        <v>35</v>
      </c>
      <c r="L9" s="9" t="s">
        <v>37</v>
      </c>
      <c r="M9" s="22">
        <v>8</v>
      </c>
      <c r="N9" s="9">
        <f t="shared" si="5"/>
        <v>41</v>
      </c>
      <c r="O9" s="23">
        <f t="shared" si="9"/>
        <v>37.5</v>
      </c>
      <c r="P9" s="11"/>
      <c r="Q9" s="30"/>
      <c r="R9" s="30">
        <v>1</v>
      </c>
      <c r="S9" s="30"/>
      <c r="T9" s="30">
        <v>1</v>
      </c>
      <c r="U9" s="9" t="s">
        <v>47</v>
      </c>
      <c r="V9" s="8">
        <f t="shared" si="6"/>
        <v>6.9606860452166167E-5</v>
      </c>
      <c r="W9" s="8">
        <v>1.6738517288498547</v>
      </c>
      <c r="X9" s="8">
        <v>1.2082745757353883</v>
      </c>
      <c r="Y9" s="8"/>
      <c r="Z9" s="8"/>
      <c r="AA9" s="8"/>
      <c r="AB9" s="1"/>
      <c r="AC9" s="1"/>
      <c r="AD9" s="1"/>
      <c r="AE9" s="1"/>
      <c r="AF9" s="1"/>
      <c r="BA9" s="36">
        <f>0.007037131*O9+0.918138063</f>
        <v>1.1820304755</v>
      </c>
      <c r="BB9" s="36">
        <f t="shared" si="7"/>
        <v>1.6304944215681823</v>
      </c>
      <c r="BC9" s="36">
        <f t="shared" si="0"/>
        <v>5.9255147091747929E-5</v>
      </c>
      <c r="BD9" s="36">
        <f t="shared" si="1"/>
        <v>2.3702058836699171E-6</v>
      </c>
      <c r="BE9" s="37">
        <f>1/M9</f>
        <v>0.125</v>
      </c>
      <c r="BF9" s="8"/>
      <c r="BG9" s="8" t="e">
        <f t="shared" ca="1" si="2"/>
        <v>#NAME?</v>
      </c>
      <c r="BH9" s="8" t="e">
        <f t="shared" ca="1" si="3"/>
        <v>#NAME?</v>
      </c>
      <c r="BI9" s="8" t="e">
        <f t="shared" ca="1" si="4"/>
        <v>#NAME?</v>
      </c>
      <c r="BJ9" s="8">
        <f t="shared" si="8"/>
        <v>0.125</v>
      </c>
    </row>
    <row r="10" spans="1:62" ht="16.5" customHeight="1" x14ac:dyDescent="0.3">
      <c r="A10" s="8">
        <v>9</v>
      </c>
      <c r="B10" s="12" t="s">
        <v>51</v>
      </c>
      <c r="C10" s="9">
        <v>1</v>
      </c>
      <c r="D10" s="9">
        <v>100</v>
      </c>
      <c r="E10" s="9">
        <v>219</v>
      </c>
      <c r="F10" s="9">
        <v>1976</v>
      </c>
      <c r="G10" s="9">
        <v>6</v>
      </c>
      <c r="H10" s="9">
        <v>2.5</v>
      </c>
      <c r="I10" s="9" t="s">
        <v>35</v>
      </c>
      <c r="J10" s="9" t="s">
        <v>36</v>
      </c>
      <c r="K10" s="9" t="s">
        <v>37</v>
      </c>
      <c r="L10" s="9" t="s">
        <v>37</v>
      </c>
      <c r="M10" s="22" t="s">
        <v>44</v>
      </c>
      <c r="N10" s="9">
        <f t="shared" si="5"/>
        <v>41</v>
      </c>
      <c r="O10" s="23">
        <f t="shared" si="9"/>
        <v>58.333333333333336</v>
      </c>
      <c r="P10" s="11"/>
      <c r="Q10" s="28"/>
      <c r="R10" s="28">
        <v>1</v>
      </c>
      <c r="S10" s="28">
        <v>1</v>
      </c>
      <c r="T10" s="28">
        <v>1</v>
      </c>
      <c r="U10" s="9" t="s">
        <v>38</v>
      </c>
      <c r="V10" s="8">
        <f t="shared" si="6"/>
        <v>2.7842744180866465E-5</v>
      </c>
      <c r="W10" s="8">
        <v>1.4271106624546257</v>
      </c>
      <c r="X10" s="8">
        <v>1.0487990650700372</v>
      </c>
      <c r="Y10" s="8"/>
      <c r="Z10" s="8"/>
      <c r="AA10" s="8"/>
      <c r="AB10" s="1"/>
      <c r="AC10" s="1"/>
      <c r="AD10" s="1"/>
      <c r="AE10" s="1"/>
      <c r="AF10" s="1"/>
      <c r="BA10" s="36">
        <f>0.007037131*O10+0.918138063</f>
        <v>1.3286373713333335</v>
      </c>
      <c r="BB10" s="36">
        <f t="shared" si="7"/>
        <v>1.8879473690521482</v>
      </c>
      <c r="BC10" s="36">
        <f t="shared" si="0"/>
        <v>1.5414947079224055E-4</v>
      </c>
      <c r="BD10" s="36">
        <f t="shared" si="1"/>
        <v>1.5414947079224054E-5</v>
      </c>
      <c r="BE10" s="37">
        <f t="shared" ref="BE10:BE17" si="10">1/(0.91256074780734*(1+(20.8877641154199-1.87928919400643*1)*(E10/1000)^1.2))</f>
        <v>0.26908279755585035</v>
      </c>
      <c r="BF10" s="8"/>
      <c r="BG10" s="8" t="e">
        <f t="shared" ca="1" si="2"/>
        <v>#NAME?</v>
      </c>
      <c r="BH10" s="8" t="e">
        <f t="shared" ca="1" si="3"/>
        <v>#NAME?</v>
      </c>
      <c r="BI10" s="8" t="e">
        <f t="shared" ca="1" si="4"/>
        <v>#NAME?</v>
      </c>
      <c r="BJ10" s="8">
        <f t="shared" si="8"/>
        <v>0.26908279755585035</v>
      </c>
    </row>
    <row r="11" spans="1:62" ht="30.75" customHeight="1" x14ac:dyDescent="0.3">
      <c r="A11" s="8">
        <v>10</v>
      </c>
      <c r="B11" s="12" t="s">
        <v>52</v>
      </c>
      <c r="C11" s="9">
        <v>1</v>
      </c>
      <c r="D11" s="9">
        <v>50</v>
      </c>
      <c r="E11" s="9">
        <v>219</v>
      </c>
      <c r="F11" s="9">
        <v>1976</v>
      </c>
      <c r="G11" s="9">
        <v>6</v>
      </c>
      <c r="H11" s="9">
        <v>2</v>
      </c>
      <c r="I11" s="9" t="s">
        <v>35</v>
      </c>
      <c r="J11" s="9" t="s">
        <v>36</v>
      </c>
      <c r="K11" s="9" t="s">
        <v>37</v>
      </c>
      <c r="L11" s="9" t="s">
        <v>37</v>
      </c>
      <c r="M11" s="22" t="s">
        <v>44</v>
      </c>
      <c r="N11" s="9">
        <f t="shared" si="5"/>
        <v>41</v>
      </c>
      <c r="O11" s="23">
        <f t="shared" si="9"/>
        <v>66.666666666666657</v>
      </c>
      <c r="P11" s="11"/>
      <c r="Q11" s="28"/>
      <c r="R11" s="28">
        <v>1</v>
      </c>
      <c r="S11" s="28">
        <v>1</v>
      </c>
      <c r="T11" s="28">
        <v>1</v>
      </c>
      <c r="U11" s="9" t="s">
        <v>38</v>
      </c>
      <c r="V11" s="8">
        <f t="shared" si="6"/>
        <v>5.5685488361732929E-5</v>
      </c>
      <c r="W11" s="8">
        <v>1.6137630736935691</v>
      </c>
      <c r="X11" s="8">
        <v>1.1717159451426027</v>
      </c>
      <c r="Y11" s="8"/>
      <c r="Z11" s="8"/>
      <c r="AA11" s="8"/>
      <c r="AB11" s="1"/>
      <c r="AC11" s="1"/>
      <c r="AD11" s="1"/>
      <c r="AE11" s="1"/>
      <c r="AF11" s="1"/>
      <c r="BA11" s="36">
        <f>0.007037131*O11+0.918138063</f>
        <v>1.3872801296666666</v>
      </c>
      <c r="BB11" s="36">
        <f t="shared" si="7"/>
        <v>2.0019725091525618</v>
      </c>
      <c r="BC11" s="36">
        <f t="shared" si="0"/>
        <v>2.3541815041844112E-4</v>
      </c>
      <c r="BD11" s="36">
        <f t="shared" si="1"/>
        <v>1.1770907520922056E-5</v>
      </c>
      <c r="BE11" s="37">
        <f t="shared" si="10"/>
        <v>0.26908279755585035</v>
      </c>
      <c r="BF11" s="8"/>
      <c r="BG11" s="8" t="e">
        <f t="shared" ca="1" si="2"/>
        <v>#NAME?</v>
      </c>
      <c r="BH11" s="8" t="e">
        <f t="shared" ca="1" si="3"/>
        <v>#NAME?</v>
      </c>
      <c r="BI11" s="8" t="e">
        <f t="shared" ca="1" si="4"/>
        <v>#NAME?</v>
      </c>
      <c r="BJ11" s="8">
        <f t="shared" si="8"/>
        <v>0.26908279755585035</v>
      </c>
    </row>
    <row r="12" spans="1:62" ht="16.5" customHeight="1" x14ac:dyDescent="0.3">
      <c r="A12" s="8">
        <v>11</v>
      </c>
      <c r="B12" s="12" t="s">
        <v>53</v>
      </c>
      <c r="C12" s="9">
        <v>1</v>
      </c>
      <c r="D12" s="9">
        <v>100</v>
      </c>
      <c r="E12" s="9">
        <v>159</v>
      </c>
      <c r="F12" s="9">
        <v>1976</v>
      </c>
      <c r="G12" s="9">
        <v>4.5</v>
      </c>
      <c r="H12" s="9">
        <v>2.5</v>
      </c>
      <c r="I12" s="9" t="s">
        <v>35</v>
      </c>
      <c r="J12" s="9" t="s">
        <v>36</v>
      </c>
      <c r="K12" s="9" t="s">
        <v>37</v>
      </c>
      <c r="L12" s="9" t="s">
        <v>37</v>
      </c>
      <c r="M12" s="22" t="s">
        <v>44</v>
      </c>
      <c r="N12" s="9">
        <f t="shared" si="5"/>
        <v>41</v>
      </c>
      <c r="O12" s="23">
        <f t="shared" si="9"/>
        <v>44.444444444444443</v>
      </c>
      <c r="P12" s="11"/>
      <c r="Q12" s="28"/>
      <c r="R12" s="28">
        <v>1</v>
      </c>
      <c r="S12" s="28">
        <v>1</v>
      </c>
      <c r="T12" s="28">
        <v>1</v>
      </c>
      <c r="U12" s="9" t="s">
        <v>38</v>
      </c>
      <c r="V12" s="8">
        <f t="shared" si="6"/>
        <v>2.7842744180866465E-5</v>
      </c>
      <c r="W12" s="8">
        <v>1.4271106624546257</v>
      </c>
      <c r="X12" s="8">
        <v>1.0487990650700372</v>
      </c>
      <c r="Y12" s="8"/>
      <c r="Z12" s="8"/>
      <c r="AA12" s="8"/>
      <c r="AB12" s="1"/>
      <c r="AC12" s="1"/>
      <c r="AD12" s="1"/>
      <c r="AE12" s="1"/>
      <c r="AF12" s="1"/>
      <c r="BA12" s="36">
        <f>0.007037131*O12+0.918138063</f>
        <v>1.2308994407777778</v>
      </c>
      <c r="BB12" s="36">
        <f t="shared" si="7"/>
        <v>1.7121540569681706</v>
      </c>
      <c r="BC12" s="36">
        <f t="shared" si="0"/>
        <v>8.0246374866578009E-5</v>
      </c>
      <c r="BD12" s="36">
        <f t="shared" si="1"/>
        <v>8.0246374866577999E-6</v>
      </c>
      <c r="BE12" s="37">
        <f t="shared" si="10"/>
        <v>0.3543697843110275</v>
      </c>
      <c r="BF12" s="8"/>
      <c r="BG12" s="8" t="e">
        <f t="shared" ca="1" si="2"/>
        <v>#NAME?</v>
      </c>
      <c r="BH12" s="8" t="e">
        <f t="shared" ca="1" si="3"/>
        <v>#NAME?</v>
      </c>
      <c r="BI12" s="8" t="e">
        <f t="shared" ca="1" si="4"/>
        <v>#NAME?</v>
      </c>
      <c r="BJ12" s="8">
        <f t="shared" si="8"/>
        <v>0.3543697843110275</v>
      </c>
    </row>
    <row r="13" spans="1:62" ht="16.5" customHeight="1" x14ac:dyDescent="0.3">
      <c r="A13" s="8">
        <v>12</v>
      </c>
      <c r="B13" s="12" t="s">
        <v>54</v>
      </c>
      <c r="C13" s="9">
        <v>2</v>
      </c>
      <c r="D13" s="9">
        <v>150</v>
      </c>
      <c r="E13" s="9">
        <v>133</v>
      </c>
      <c r="F13" s="9">
        <v>1976</v>
      </c>
      <c r="G13" s="9">
        <v>4</v>
      </c>
      <c r="H13" s="9">
        <v>2.5</v>
      </c>
      <c r="I13" s="9" t="s">
        <v>35</v>
      </c>
      <c r="J13" s="9" t="s">
        <v>36</v>
      </c>
      <c r="K13" s="9" t="s">
        <v>37</v>
      </c>
      <c r="L13" s="9" t="s">
        <v>35</v>
      </c>
      <c r="M13" s="22" t="s">
        <v>44</v>
      </c>
      <c r="N13" s="9">
        <f t="shared" si="5"/>
        <v>41</v>
      </c>
      <c r="O13" s="23">
        <f t="shared" si="9"/>
        <v>37.5</v>
      </c>
      <c r="P13" s="11"/>
      <c r="Q13" s="31"/>
      <c r="R13" s="31">
        <v>1</v>
      </c>
      <c r="S13" s="31">
        <v>1</v>
      </c>
      <c r="T13" s="31"/>
      <c r="U13" s="9" t="s">
        <v>49</v>
      </c>
      <c r="V13" s="8">
        <f t="shared" si="6"/>
        <v>1.8561829453910979E-5</v>
      </c>
      <c r="W13" s="8">
        <v>1.3179260012106597</v>
      </c>
      <c r="X13" s="8">
        <v>0.96920647030737761</v>
      </c>
      <c r="Y13" s="8"/>
      <c r="Z13" s="8"/>
      <c r="AA13" s="8"/>
      <c r="AB13" s="1"/>
      <c r="AC13" s="1"/>
      <c r="AD13" s="1"/>
      <c r="AE13" s="1"/>
      <c r="AF13" s="1"/>
      <c r="BA13" s="36">
        <f>0.006413391*O13+0.973</f>
        <v>1.2135021625</v>
      </c>
      <c r="BB13" s="36">
        <f t="shared" si="7"/>
        <v>1.6826248451277268</v>
      </c>
      <c r="BC13" s="36">
        <f t="shared" si="0"/>
        <v>7.19119699748828E-5</v>
      </c>
      <c r="BD13" s="36">
        <f t="shared" si="1"/>
        <v>1.078679549623242E-5</v>
      </c>
      <c r="BE13" s="37">
        <f t="shared" si="10"/>
        <v>0.40755418249488945</v>
      </c>
      <c r="BF13" s="8"/>
      <c r="BG13" s="8" t="e">
        <f t="shared" ca="1" si="2"/>
        <v>#NAME?</v>
      </c>
      <c r="BH13" s="8" t="e">
        <f t="shared" ca="1" si="3"/>
        <v>#NAME?</v>
      </c>
      <c r="BI13" s="8" t="e">
        <f t="shared" ca="1" si="4"/>
        <v>#NAME?</v>
      </c>
      <c r="BJ13" s="8">
        <f t="shared" si="8"/>
        <v>0.40755418249488945</v>
      </c>
    </row>
    <row r="14" spans="1:62" ht="14.25" customHeight="1" x14ac:dyDescent="0.3">
      <c r="A14" s="8">
        <v>13</v>
      </c>
      <c r="B14" s="12" t="s">
        <v>55</v>
      </c>
      <c r="C14" s="9">
        <v>1</v>
      </c>
      <c r="D14" s="9">
        <v>100</v>
      </c>
      <c r="E14" s="9">
        <v>108</v>
      </c>
      <c r="F14" s="9">
        <v>1976</v>
      </c>
      <c r="G14" s="9">
        <v>4</v>
      </c>
      <c r="H14" s="9">
        <v>2</v>
      </c>
      <c r="I14" s="9" t="s">
        <v>37</v>
      </c>
      <c r="J14" s="9" t="s">
        <v>36</v>
      </c>
      <c r="K14" s="9" t="s">
        <v>37</v>
      </c>
      <c r="L14" s="9" t="s">
        <v>37</v>
      </c>
      <c r="M14" s="22" t="s">
        <v>44</v>
      </c>
      <c r="N14" s="9">
        <f t="shared" si="5"/>
        <v>41</v>
      </c>
      <c r="O14" s="23">
        <f t="shared" si="9"/>
        <v>50</v>
      </c>
      <c r="P14" s="11"/>
      <c r="Q14" s="29">
        <v>1</v>
      </c>
      <c r="R14" s="29">
        <v>1</v>
      </c>
      <c r="S14" s="29">
        <v>1</v>
      </c>
      <c r="T14" s="29">
        <v>1</v>
      </c>
      <c r="U14" s="9" t="s">
        <v>14</v>
      </c>
      <c r="V14" s="8">
        <f t="shared" si="6"/>
        <v>2.7842744180866465E-5</v>
      </c>
      <c r="W14" s="8">
        <v>1.4271106624546257</v>
      </c>
      <c r="X14" s="8">
        <v>1.0487990650700372</v>
      </c>
      <c r="Y14" s="8"/>
      <c r="Z14" s="8"/>
      <c r="AA14" s="8"/>
      <c r="AB14" s="1"/>
      <c r="AC14" s="1"/>
      <c r="AD14" s="1"/>
      <c r="AE14" s="1"/>
      <c r="AF14" s="1"/>
      <c r="BA14" s="36">
        <f>0.006732324*O14+0.95415593</f>
        <v>1.2907721299999999</v>
      </c>
      <c r="BB14" s="36">
        <f t="shared" si="7"/>
        <v>1.8177963112104096</v>
      </c>
      <c r="BC14" s="36">
        <f t="shared" si="0"/>
        <v>1.1879647234301543E-4</v>
      </c>
      <c r="BD14" s="36">
        <f t="shared" si="1"/>
        <v>1.1879647234301543E-5</v>
      </c>
      <c r="BE14" s="37">
        <f t="shared" si="10"/>
        <v>0.47327477216811936</v>
      </c>
      <c r="BF14" s="8"/>
      <c r="BG14" s="8" t="e">
        <f t="shared" ca="1" si="2"/>
        <v>#NAME?</v>
      </c>
      <c r="BH14" s="8" t="e">
        <f t="shared" ca="1" si="3"/>
        <v>#NAME?</v>
      </c>
      <c r="BI14" s="8" t="e">
        <f t="shared" ca="1" si="4"/>
        <v>#NAME?</v>
      </c>
      <c r="BJ14" s="8">
        <f t="shared" si="8"/>
        <v>0.47327477216811936</v>
      </c>
    </row>
    <row r="15" spans="1:62" ht="15.75" customHeight="1" x14ac:dyDescent="0.3">
      <c r="A15" s="8">
        <v>14</v>
      </c>
      <c r="B15" s="12" t="s">
        <v>56</v>
      </c>
      <c r="C15" s="9">
        <v>6</v>
      </c>
      <c r="D15" s="9">
        <v>100</v>
      </c>
      <c r="E15" s="9">
        <v>76</v>
      </c>
      <c r="F15" s="9">
        <v>1969</v>
      </c>
      <c r="G15" s="9">
        <v>3.5</v>
      </c>
      <c r="H15" s="9">
        <v>3</v>
      </c>
      <c r="I15" s="9" t="s">
        <v>35</v>
      </c>
      <c r="J15" s="9" t="s">
        <v>36</v>
      </c>
      <c r="K15" s="9" t="s">
        <v>37</v>
      </c>
      <c r="L15" s="9" t="s">
        <v>35</v>
      </c>
      <c r="M15" s="22" t="s">
        <v>44</v>
      </c>
      <c r="N15" s="9">
        <f t="shared" si="5"/>
        <v>48</v>
      </c>
      <c r="O15" s="23">
        <f t="shared" si="9"/>
        <v>14.285714285714292</v>
      </c>
      <c r="P15" s="11"/>
      <c r="Q15" s="31"/>
      <c r="R15" s="31">
        <v>1</v>
      </c>
      <c r="S15" s="31">
        <v>1</v>
      </c>
      <c r="T15" s="31"/>
      <c r="U15" s="9" t="s">
        <v>49</v>
      </c>
      <c r="V15" s="8">
        <f t="shared" si="6"/>
        <v>2.3782343987823439E-5</v>
      </c>
      <c r="W15" s="8">
        <v>1.3690010612351216</v>
      </c>
      <c r="X15" s="8">
        <v>1.007228502055965</v>
      </c>
      <c r="Y15" s="8"/>
      <c r="Z15" s="8"/>
      <c r="AA15" s="8"/>
      <c r="AB15" s="1"/>
      <c r="AC15" s="1"/>
      <c r="AD15" s="1"/>
      <c r="AE15" s="1"/>
      <c r="AF15" s="1"/>
      <c r="BA15" s="36">
        <f>0.006413391*O15+0.973</f>
        <v>1.0646198714285715</v>
      </c>
      <c r="BB15" s="36">
        <f t="shared" si="7"/>
        <v>1.4498682509182255</v>
      </c>
      <c r="BC15" s="36">
        <f t="shared" si="0"/>
        <v>3.2524595982551493E-5</v>
      </c>
      <c r="BD15" s="36">
        <f t="shared" si="1"/>
        <v>3.2524595982551496E-6</v>
      </c>
      <c r="BE15" s="37">
        <f t="shared" si="10"/>
        <v>0.58825517614090983</v>
      </c>
      <c r="BF15" s="8"/>
      <c r="BG15" s="8" t="e">
        <f t="shared" ca="1" si="2"/>
        <v>#NAME?</v>
      </c>
      <c r="BH15" s="8" t="e">
        <f t="shared" ca="1" si="3"/>
        <v>#NAME?</v>
      </c>
      <c r="BI15" s="8" t="e">
        <f t="shared" ca="1" si="4"/>
        <v>#NAME?</v>
      </c>
      <c r="BJ15" s="8">
        <f t="shared" si="8"/>
        <v>0.58825517614090983</v>
      </c>
    </row>
    <row r="16" spans="1:62" ht="14.25" customHeight="1" x14ac:dyDescent="0.3">
      <c r="A16" s="8">
        <v>15</v>
      </c>
      <c r="B16" s="12" t="s">
        <v>57</v>
      </c>
      <c r="C16" s="9">
        <v>5</v>
      </c>
      <c r="D16" s="9">
        <v>40</v>
      </c>
      <c r="E16" s="9">
        <v>76</v>
      </c>
      <c r="F16" s="9">
        <v>1969</v>
      </c>
      <c r="G16" s="9">
        <v>3.5</v>
      </c>
      <c r="H16" s="9">
        <v>3</v>
      </c>
      <c r="I16" s="9" t="s">
        <v>35</v>
      </c>
      <c r="J16" s="9" t="s">
        <v>36</v>
      </c>
      <c r="K16" s="9" t="s">
        <v>37</v>
      </c>
      <c r="L16" s="9" t="s">
        <v>35</v>
      </c>
      <c r="M16" s="22" t="s">
        <v>44</v>
      </c>
      <c r="N16" s="9">
        <f t="shared" si="5"/>
        <v>48</v>
      </c>
      <c r="O16" s="23">
        <f t="shared" si="9"/>
        <v>14.285714285714292</v>
      </c>
      <c r="P16" s="11"/>
      <c r="Q16" s="31"/>
      <c r="R16" s="31">
        <v>1</v>
      </c>
      <c r="S16" s="31">
        <v>1</v>
      </c>
      <c r="T16" s="31"/>
      <c r="U16" s="9" t="s">
        <v>49</v>
      </c>
      <c r="V16" s="8">
        <f t="shared" si="6"/>
        <v>5.9455859969558596E-5</v>
      </c>
      <c r="W16" s="8">
        <v>1.6056952368391062</v>
      </c>
      <c r="X16" s="8">
        <v>1.1667040127213164</v>
      </c>
      <c r="Y16" s="8"/>
      <c r="Z16" s="8"/>
      <c r="AA16" s="8"/>
      <c r="AB16" s="1"/>
      <c r="AC16" s="1"/>
      <c r="AD16" s="1"/>
      <c r="AE16" s="1"/>
      <c r="AF16" s="1"/>
      <c r="BA16" s="36">
        <f>0.006413391*O16+0.973</f>
        <v>1.0646198714285715</v>
      </c>
      <c r="BB16" s="36">
        <f t="shared" si="7"/>
        <v>1.4498682509182255</v>
      </c>
      <c r="BC16" s="36">
        <f t="shared" si="0"/>
        <v>3.2524595982551493E-5</v>
      </c>
      <c r="BD16" s="36">
        <f t="shared" si="1"/>
        <v>1.3009838393020596E-6</v>
      </c>
      <c r="BE16" s="37">
        <f t="shared" si="10"/>
        <v>0.58825517614090983</v>
      </c>
      <c r="BF16" s="8"/>
      <c r="BG16" s="8" t="e">
        <f t="shared" ca="1" si="2"/>
        <v>#NAME?</v>
      </c>
      <c r="BH16" s="8" t="e">
        <f t="shared" ca="1" si="3"/>
        <v>#NAME?</v>
      </c>
      <c r="BI16" s="8" t="e">
        <f t="shared" ca="1" si="4"/>
        <v>#NAME?</v>
      </c>
      <c r="BJ16" s="8">
        <f t="shared" si="8"/>
        <v>0.58825517614090983</v>
      </c>
    </row>
    <row r="17" spans="1:62" x14ac:dyDescent="0.3">
      <c r="A17" s="8">
        <v>16</v>
      </c>
      <c r="B17" s="12" t="s">
        <v>58</v>
      </c>
      <c r="C17" s="9">
        <v>5</v>
      </c>
      <c r="D17" s="9">
        <v>30</v>
      </c>
      <c r="E17" s="9">
        <v>76</v>
      </c>
      <c r="F17" s="9">
        <v>1969</v>
      </c>
      <c r="G17" s="9">
        <v>3.5</v>
      </c>
      <c r="H17" s="9">
        <v>3</v>
      </c>
      <c r="I17" s="9" t="s">
        <v>35</v>
      </c>
      <c r="J17" s="9" t="s">
        <v>36</v>
      </c>
      <c r="K17" s="9" t="s">
        <v>37</v>
      </c>
      <c r="L17" s="9" t="s">
        <v>37</v>
      </c>
      <c r="M17" s="22" t="s">
        <v>44</v>
      </c>
      <c r="N17" s="9">
        <f t="shared" si="5"/>
        <v>48</v>
      </c>
      <c r="O17" s="23">
        <f t="shared" si="9"/>
        <v>14.285714285714292</v>
      </c>
      <c r="P17" s="11"/>
      <c r="Q17" s="28"/>
      <c r="R17" s="28">
        <v>1</v>
      </c>
      <c r="S17" s="28">
        <v>1</v>
      </c>
      <c r="T17" s="28">
        <v>1</v>
      </c>
      <c r="U17" s="9" t="s">
        <v>38</v>
      </c>
      <c r="V17" s="8">
        <f t="shared" si="6"/>
        <v>7.9274479959411462E-5</v>
      </c>
      <c r="W17" s="8">
        <v>1.6800086273453543</v>
      </c>
      <c r="X17" s="8">
        <v>1.2119461092865427</v>
      </c>
      <c r="Y17" s="8"/>
      <c r="Z17" s="8"/>
      <c r="AA17" s="8"/>
      <c r="AB17" s="1"/>
      <c r="AC17" s="1"/>
      <c r="AD17" s="1"/>
      <c r="AE17" s="1"/>
      <c r="AF17" s="1"/>
      <c r="BA17" s="36">
        <f>0.007037131*O17+0.918138063</f>
        <v>1.018668505857143</v>
      </c>
      <c r="BB17" s="36">
        <f t="shared" si="7"/>
        <v>1.384752364277255</v>
      </c>
      <c r="BC17" s="36">
        <f t="shared" si="0"/>
        <v>2.5277632565577564E-5</v>
      </c>
      <c r="BD17" s="36">
        <f t="shared" si="1"/>
        <v>7.5832897696732685E-7</v>
      </c>
      <c r="BE17" s="37">
        <f t="shared" si="10"/>
        <v>0.58825517614090983</v>
      </c>
      <c r="BF17" s="8"/>
      <c r="BG17" s="8" t="e">
        <f t="shared" ca="1" si="2"/>
        <v>#NAME?</v>
      </c>
      <c r="BH17" s="8" t="e">
        <f t="shared" ca="1" si="3"/>
        <v>#NAME?</v>
      </c>
      <c r="BI17" s="8" t="e">
        <f t="shared" ca="1" si="4"/>
        <v>#NAME?</v>
      </c>
      <c r="BJ17" s="8">
        <f t="shared" si="8"/>
        <v>0.58825517614090983</v>
      </c>
    </row>
    <row r="18" spans="1:62" ht="14.25" customHeight="1" x14ac:dyDescent="0.3">
      <c r="A18" s="8">
        <v>17</v>
      </c>
      <c r="B18" s="12" t="s">
        <v>59</v>
      </c>
      <c r="C18" s="9">
        <v>5</v>
      </c>
      <c r="D18" s="9">
        <v>5</v>
      </c>
      <c r="E18" s="9">
        <v>57</v>
      </c>
      <c r="F18" s="9">
        <v>1980</v>
      </c>
      <c r="G18" s="9">
        <v>3.5</v>
      </c>
      <c r="H18" s="9">
        <v>1.25</v>
      </c>
      <c r="I18" s="9" t="s">
        <v>37</v>
      </c>
      <c r="J18" s="9" t="s">
        <v>36</v>
      </c>
      <c r="K18" s="9" t="s">
        <v>35</v>
      </c>
      <c r="L18" s="9" t="s">
        <v>37</v>
      </c>
      <c r="M18" s="22">
        <v>8</v>
      </c>
      <c r="N18" s="9">
        <f t="shared" si="5"/>
        <v>37</v>
      </c>
      <c r="O18" s="23">
        <f t="shared" si="9"/>
        <v>64.285714285714278</v>
      </c>
      <c r="P18" s="11"/>
      <c r="Q18" s="32">
        <v>1</v>
      </c>
      <c r="R18" s="32">
        <v>1</v>
      </c>
      <c r="S18" s="32"/>
      <c r="T18" s="32">
        <v>1</v>
      </c>
      <c r="U18" s="9" t="s">
        <v>60</v>
      </c>
      <c r="V18" s="8">
        <f t="shared" si="6"/>
        <v>6.1705541157595955E-4</v>
      </c>
      <c r="W18" s="8">
        <v>2.2973135270379927</v>
      </c>
      <c r="X18" s="8">
        <v>1.5248875890917379</v>
      </c>
      <c r="Y18" s="8"/>
      <c r="Z18" s="8"/>
      <c r="AA18" s="8"/>
      <c r="AB18" s="1"/>
      <c r="AC18" s="1"/>
      <c r="AD18" s="1"/>
      <c r="AE18" s="1"/>
      <c r="AF18" s="1"/>
      <c r="BA18" s="36">
        <f t="shared" ref="BA18:BA23" si="11">0.004939237*O18+0.949185949</f>
        <v>1.2667083275714286</v>
      </c>
      <c r="BB18" s="36">
        <f t="shared" si="7"/>
        <v>1.7745753360572378</v>
      </c>
      <c r="BC18" s="36">
        <f t="shared" si="0"/>
        <v>9.3446971951370217E-5</v>
      </c>
      <c r="BD18" s="36">
        <f t="shared" si="1"/>
        <v>4.6723485975685108E-7</v>
      </c>
      <c r="BE18" s="37">
        <f t="shared" ref="BE18:BE57" si="12">1/M18</f>
        <v>0.125</v>
      </c>
      <c r="BF18" s="8"/>
      <c r="BG18" s="8" t="e">
        <f t="shared" ca="1" si="2"/>
        <v>#NAME?</v>
      </c>
      <c r="BH18" s="8" t="e">
        <f t="shared" ca="1" si="3"/>
        <v>#NAME?</v>
      </c>
      <c r="BI18" s="8" t="e">
        <f t="shared" ca="1" si="4"/>
        <v>#NAME?</v>
      </c>
      <c r="BJ18" s="8">
        <f t="shared" si="8"/>
        <v>0.125</v>
      </c>
    </row>
    <row r="19" spans="1:62" ht="15" customHeight="1" x14ac:dyDescent="0.3">
      <c r="A19" s="8">
        <v>18</v>
      </c>
      <c r="B19" s="12" t="s">
        <v>61</v>
      </c>
      <c r="C19" s="9">
        <v>2</v>
      </c>
      <c r="D19" s="9">
        <v>2</v>
      </c>
      <c r="E19" s="9">
        <v>57</v>
      </c>
      <c r="F19" s="9">
        <v>1980</v>
      </c>
      <c r="G19" s="9">
        <v>3.5</v>
      </c>
      <c r="H19" s="9">
        <v>1.25</v>
      </c>
      <c r="I19" s="9" t="s">
        <v>37</v>
      </c>
      <c r="J19" s="9" t="s">
        <v>36</v>
      </c>
      <c r="K19" s="9" t="s">
        <v>35</v>
      </c>
      <c r="L19" s="9" t="s">
        <v>37</v>
      </c>
      <c r="M19" s="22">
        <v>8</v>
      </c>
      <c r="N19" s="9">
        <f t="shared" si="5"/>
        <v>37</v>
      </c>
      <c r="O19" s="23">
        <f t="shared" si="9"/>
        <v>64.285714285714278</v>
      </c>
      <c r="P19" s="11"/>
      <c r="Q19" s="32">
        <v>1</v>
      </c>
      <c r="R19" s="32">
        <v>1</v>
      </c>
      <c r="S19" s="32"/>
      <c r="T19" s="32">
        <v>1</v>
      </c>
      <c r="U19" s="9" t="s">
        <v>60</v>
      </c>
      <c r="V19" s="8">
        <f t="shared" si="6"/>
        <v>1.5426385289398989E-3</v>
      </c>
      <c r="W19" s="8">
        <v>2.5510691520732816</v>
      </c>
      <c r="X19" s="8">
        <v>1.6296597271817981</v>
      </c>
      <c r="Y19" s="8"/>
      <c r="Z19" s="8"/>
      <c r="AA19" s="8"/>
      <c r="AB19" s="1"/>
      <c r="AC19" s="1"/>
      <c r="AD19" s="1"/>
      <c r="AE19" s="1"/>
      <c r="AF19" s="1"/>
      <c r="BA19" s="36">
        <f t="shared" si="11"/>
        <v>1.2667083275714286</v>
      </c>
      <c r="BB19" s="36">
        <f t="shared" si="7"/>
        <v>1.7745753360572378</v>
      </c>
      <c r="BC19" s="36">
        <f t="shared" si="0"/>
        <v>9.3446971951370217E-5</v>
      </c>
      <c r="BD19" s="36">
        <f t="shared" si="1"/>
        <v>1.8689394390274044E-7</v>
      </c>
      <c r="BE19" s="37">
        <f t="shared" si="12"/>
        <v>0.125</v>
      </c>
      <c r="BF19" s="8"/>
      <c r="BG19" s="8" t="e">
        <f t="shared" ca="1" si="2"/>
        <v>#NAME?</v>
      </c>
      <c r="BH19" s="8" t="e">
        <f t="shared" ca="1" si="3"/>
        <v>#NAME?</v>
      </c>
      <c r="BI19" s="8" t="e">
        <f t="shared" ca="1" si="4"/>
        <v>#NAME?</v>
      </c>
      <c r="BJ19" s="8">
        <f t="shared" si="8"/>
        <v>0.125</v>
      </c>
    </row>
    <row r="20" spans="1:62" ht="14.25" customHeight="1" x14ac:dyDescent="0.3">
      <c r="A20" s="8">
        <v>19</v>
      </c>
      <c r="B20" s="12" t="s">
        <v>62</v>
      </c>
      <c r="C20" s="9">
        <v>15</v>
      </c>
      <c r="D20" s="9">
        <v>15</v>
      </c>
      <c r="E20" s="9">
        <v>57</v>
      </c>
      <c r="F20" s="9">
        <v>1980</v>
      </c>
      <c r="G20" s="9">
        <v>3.5</v>
      </c>
      <c r="H20" s="9">
        <v>1.25</v>
      </c>
      <c r="I20" s="9" t="s">
        <v>37</v>
      </c>
      <c r="J20" s="9" t="s">
        <v>36</v>
      </c>
      <c r="K20" s="9" t="s">
        <v>35</v>
      </c>
      <c r="L20" s="9" t="s">
        <v>37</v>
      </c>
      <c r="M20" s="22">
        <v>8</v>
      </c>
      <c r="N20" s="9">
        <f t="shared" si="5"/>
        <v>37</v>
      </c>
      <c r="O20" s="23">
        <f t="shared" si="9"/>
        <v>64.285714285714278</v>
      </c>
      <c r="P20" s="11"/>
      <c r="Q20" s="32">
        <v>1</v>
      </c>
      <c r="R20" s="32">
        <v>1</v>
      </c>
      <c r="S20" s="32"/>
      <c r="T20" s="32">
        <v>1</v>
      </c>
      <c r="U20" s="9" t="s">
        <v>60</v>
      </c>
      <c r="V20" s="8">
        <f t="shared" si="6"/>
        <v>2.056851371919865E-4</v>
      </c>
      <c r="W20" s="8">
        <v>1.9930661541411627</v>
      </c>
      <c r="X20" s="8">
        <v>1.3828214144866651</v>
      </c>
      <c r="Y20" s="8"/>
      <c r="Z20" s="8"/>
      <c r="AA20" s="8"/>
      <c r="AB20" s="1"/>
      <c r="AC20" s="1"/>
      <c r="AD20" s="1"/>
      <c r="AE20" s="1"/>
      <c r="AF20" s="1"/>
      <c r="BA20" s="36">
        <f t="shared" si="11"/>
        <v>1.2667083275714286</v>
      </c>
      <c r="BB20" s="36">
        <f t="shared" si="7"/>
        <v>1.7745753360572378</v>
      </c>
      <c r="BC20" s="36">
        <f t="shared" si="0"/>
        <v>9.3446971951370217E-5</v>
      </c>
      <c r="BD20" s="36">
        <f t="shared" si="1"/>
        <v>1.4017045792705534E-6</v>
      </c>
      <c r="BE20" s="37">
        <f t="shared" si="12"/>
        <v>0.125</v>
      </c>
      <c r="BF20" s="8"/>
      <c r="BG20" s="8" t="e">
        <f t="shared" ca="1" si="2"/>
        <v>#NAME?</v>
      </c>
      <c r="BH20" s="8" t="e">
        <f t="shared" ca="1" si="3"/>
        <v>#NAME?</v>
      </c>
      <c r="BI20" s="8" t="e">
        <f t="shared" ca="1" si="4"/>
        <v>#NAME?</v>
      </c>
      <c r="BJ20" s="8">
        <f t="shared" si="8"/>
        <v>0.125</v>
      </c>
    </row>
    <row r="21" spans="1:62" ht="17.25" customHeight="1" x14ac:dyDescent="0.3">
      <c r="A21" s="8">
        <v>20</v>
      </c>
      <c r="B21" s="12" t="s">
        <v>63</v>
      </c>
      <c r="C21" s="9">
        <v>15</v>
      </c>
      <c r="D21" s="9">
        <v>15</v>
      </c>
      <c r="E21" s="9">
        <v>40</v>
      </c>
      <c r="F21" s="9">
        <v>1980</v>
      </c>
      <c r="G21" s="9">
        <v>2.5</v>
      </c>
      <c r="H21" s="9">
        <v>1.25</v>
      </c>
      <c r="I21" s="9" t="s">
        <v>37</v>
      </c>
      <c r="J21" s="9" t="s">
        <v>36</v>
      </c>
      <c r="K21" s="9" t="s">
        <v>35</v>
      </c>
      <c r="L21" s="9" t="s">
        <v>37</v>
      </c>
      <c r="M21" s="22">
        <v>8</v>
      </c>
      <c r="N21" s="9">
        <f t="shared" si="5"/>
        <v>37</v>
      </c>
      <c r="O21" s="23">
        <f t="shared" si="9"/>
        <v>50</v>
      </c>
      <c r="P21" s="11"/>
      <c r="Q21" s="32">
        <v>1</v>
      </c>
      <c r="R21" s="32">
        <v>1</v>
      </c>
      <c r="S21" s="32"/>
      <c r="T21" s="32">
        <v>1</v>
      </c>
      <c r="U21" s="9" t="s">
        <v>60</v>
      </c>
      <c r="V21" s="8">
        <f t="shared" si="6"/>
        <v>2.056851371919865E-4</v>
      </c>
      <c r="W21" s="8">
        <v>1.9930661541411627</v>
      </c>
      <c r="X21" s="8">
        <v>1.3828214144866651</v>
      </c>
      <c r="Y21" s="8"/>
      <c r="Z21" s="8"/>
      <c r="AA21" s="8"/>
      <c r="AB21" s="1"/>
      <c r="AC21" s="1"/>
      <c r="AD21" s="1"/>
      <c r="AE21" s="1"/>
      <c r="AF21" s="1"/>
      <c r="BA21" s="36">
        <f t="shared" si="11"/>
        <v>1.196147799</v>
      </c>
      <c r="BB21" s="36">
        <f t="shared" si="7"/>
        <v>1.6536758838818479</v>
      </c>
      <c r="BC21" s="36">
        <f t="shared" si="0"/>
        <v>6.0390761202220013E-5</v>
      </c>
      <c r="BD21" s="36">
        <f t="shared" si="1"/>
        <v>9.0586141803330025E-7</v>
      </c>
      <c r="BE21" s="37">
        <f t="shared" si="12"/>
        <v>0.125</v>
      </c>
      <c r="BF21" s="8"/>
      <c r="BG21" s="8" t="e">
        <f t="shared" ca="1" si="2"/>
        <v>#NAME?</v>
      </c>
      <c r="BH21" s="8" t="e">
        <f t="shared" ca="1" si="3"/>
        <v>#NAME?</v>
      </c>
      <c r="BI21" s="8" t="e">
        <f t="shared" ca="1" si="4"/>
        <v>#NAME?</v>
      </c>
      <c r="BJ21" s="8">
        <f t="shared" si="8"/>
        <v>0.125</v>
      </c>
    </row>
    <row r="22" spans="1:62" ht="15.75" customHeight="1" x14ac:dyDescent="0.3">
      <c r="A22" s="8">
        <v>21</v>
      </c>
      <c r="B22" s="12" t="s">
        <v>64</v>
      </c>
      <c r="C22" s="9">
        <v>12</v>
      </c>
      <c r="D22" s="9">
        <v>12</v>
      </c>
      <c r="E22" s="9">
        <v>57</v>
      </c>
      <c r="F22" s="9">
        <v>1980</v>
      </c>
      <c r="G22" s="9">
        <v>3.5</v>
      </c>
      <c r="H22" s="9">
        <v>1.25</v>
      </c>
      <c r="I22" s="9" t="s">
        <v>37</v>
      </c>
      <c r="J22" s="9" t="s">
        <v>36</v>
      </c>
      <c r="K22" s="9" t="s">
        <v>35</v>
      </c>
      <c r="L22" s="9" t="s">
        <v>37</v>
      </c>
      <c r="M22" s="22">
        <v>8</v>
      </c>
      <c r="N22" s="9">
        <f t="shared" si="5"/>
        <v>37</v>
      </c>
      <c r="O22" s="23">
        <f t="shared" si="9"/>
        <v>64.285714285714278</v>
      </c>
      <c r="P22" s="11"/>
      <c r="Q22" s="32">
        <v>1</v>
      </c>
      <c r="R22" s="32">
        <v>1</v>
      </c>
      <c r="S22" s="32"/>
      <c r="T22" s="32">
        <v>1</v>
      </c>
      <c r="U22" s="9" t="s">
        <v>60</v>
      </c>
      <c r="V22" s="8">
        <f t="shared" si="6"/>
        <v>2.5710642148998311E-4</v>
      </c>
      <c r="W22" s="8">
        <v>2.0548630591698913</v>
      </c>
      <c r="X22" s="8">
        <v>1.4133563884142093</v>
      </c>
      <c r="Y22" s="8"/>
      <c r="Z22" s="8"/>
      <c r="AA22" s="8"/>
      <c r="AB22" s="1"/>
      <c r="AC22" s="1"/>
      <c r="AD22" s="1"/>
      <c r="AE22" s="1"/>
      <c r="AF22" s="1"/>
      <c r="BA22" s="36">
        <f t="shared" si="11"/>
        <v>1.2667083275714286</v>
      </c>
      <c r="BB22" s="36">
        <f t="shared" si="7"/>
        <v>1.7745753360572378</v>
      </c>
      <c r="BC22" s="36">
        <f t="shared" si="0"/>
        <v>9.3446971951370217E-5</v>
      </c>
      <c r="BD22" s="36">
        <f t="shared" si="1"/>
        <v>1.1213636634164427E-6</v>
      </c>
      <c r="BE22" s="37">
        <f t="shared" si="12"/>
        <v>0.125</v>
      </c>
      <c r="BF22" s="8"/>
      <c r="BG22" s="8" t="e">
        <f t="shared" ca="1" si="2"/>
        <v>#NAME?</v>
      </c>
      <c r="BH22" s="8" t="e">
        <f t="shared" ca="1" si="3"/>
        <v>#NAME?</v>
      </c>
      <c r="BI22" s="8" t="e">
        <f t="shared" ca="1" si="4"/>
        <v>#NAME?</v>
      </c>
      <c r="BJ22" s="8">
        <f t="shared" si="8"/>
        <v>0.125</v>
      </c>
    </row>
    <row r="23" spans="1:62" ht="17.25" customHeight="1" x14ac:dyDescent="0.3">
      <c r="A23" s="8">
        <v>22</v>
      </c>
      <c r="B23" s="12" t="s">
        <v>65</v>
      </c>
      <c r="C23" s="9" t="s">
        <v>44</v>
      </c>
      <c r="D23" s="9" t="s">
        <v>44</v>
      </c>
      <c r="E23" s="9">
        <v>40</v>
      </c>
      <c r="F23" s="9">
        <v>1980</v>
      </c>
      <c r="G23" s="9">
        <v>2.5</v>
      </c>
      <c r="H23" s="9">
        <v>1.25</v>
      </c>
      <c r="I23" s="9" t="s">
        <v>37</v>
      </c>
      <c r="J23" s="9" t="s">
        <v>36</v>
      </c>
      <c r="K23" s="9" t="s">
        <v>35</v>
      </c>
      <c r="L23" s="9" t="s">
        <v>37</v>
      </c>
      <c r="M23" s="22">
        <v>8</v>
      </c>
      <c r="N23" s="9">
        <f t="shared" si="5"/>
        <v>37</v>
      </c>
      <c r="O23" s="23">
        <f t="shared" si="9"/>
        <v>50</v>
      </c>
      <c r="P23" s="11"/>
      <c r="Q23" s="32">
        <v>1</v>
      </c>
      <c r="R23" s="32">
        <v>1</v>
      </c>
      <c r="S23" s="32"/>
      <c r="T23" s="32">
        <v>1</v>
      </c>
      <c r="U23" s="9" t="s">
        <v>60</v>
      </c>
      <c r="V23" s="8">
        <f>1000/(100*N23*8760)</f>
        <v>3.0852770578797977E-5</v>
      </c>
      <c r="W23" s="8">
        <v>1.4676817419830235</v>
      </c>
      <c r="X23" s="8">
        <v>1.0768312902341102</v>
      </c>
      <c r="Y23" s="8"/>
      <c r="Z23" s="8"/>
      <c r="AA23" s="8"/>
      <c r="AB23" s="1"/>
      <c r="AC23" s="1"/>
      <c r="AD23" s="1"/>
      <c r="AE23" s="1"/>
      <c r="AF23" s="1"/>
      <c r="BA23" s="36">
        <f t="shared" si="11"/>
        <v>1.196147799</v>
      </c>
      <c r="BB23" s="36">
        <f t="shared" si="7"/>
        <v>1.6536758838818479</v>
      </c>
      <c r="BC23" s="36">
        <f t="shared" si="0"/>
        <v>6.0390761202220013E-5</v>
      </c>
      <c r="BD23" s="36">
        <f>BC23*100/1000</f>
        <v>6.0390761202220015E-6</v>
      </c>
      <c r="BE23" s="37">
        <f t="shared" si="12"/>
        <v>0.125</v>
      </c>
      <c r="BF23" s="8"/>
      <c r="BG23" s="8" t="e">
        <f t="shared" ca="1" si="2"/>
        <v>#NAME?</v>
      </c>
      <c r="BH23" s="8" t="e">
        <f t="shared" ca="1" si="3"/>
        <v>#NAME?</v>
      </c>
      <c r="BI23" s="8" t="e">
        <f ca="1">BH23*100/1000</f>
        <v>#NAME?</v>
      </c>
      <c r="BJ23" s="8">
        <f t="shared" si="8"/>
        <v>0.125</v>
      </c>
    </row>
    <row r="24" spans="1:62" x14ac:dyDescent="0.3">
      <c r="A24" s="8">
        <v>23</v>
      </c>
      <c r="B24" s="13" t="s">
        <v>66</v>
      </c>
      <c r="C24" s="14">
        <v>3.4</v>
      </c>
      <c r="D24" s="14">
        <v>66</v>
      </c>
      <c r="E24" s="14">
        <v>57</v>
      </c>
      <c r="F24" s="14">
        <v>1976</v>
      </c>
      <c r="G24" s="14">
        <v>3.5</v>
      </c>
      <c r="H24" s="14">
        <v>3</v>
      </c>
      <c r="I24" s="9" t="s">
        <v>37</v>
      </c>
      <c r="J24" s="9" t="s">
        <v>36</v>
      </c>
      <c r="K24" s="9" t="s">
        <v>37</v>
      </c>
      <c r="L24" s="9" t="s">
        <v>37</v>
      </c>
      <c r="M24" s="22">
        <v>1</v>
      </c>
      <c r="N24" s="9">
        <f t="shared" si="5"/>
        <v>41</v>
      </c>
      <c r="O24" s="23">
        <f t="shared" si="9"/>
        <v>14.285714285714292</v>
      </c>
      <c r="P24" s="11"/>
      <c r="Q24" s="29">
        <v>1</v>
      </c>
      <c r="R24" s="29">
        <v>1</v>
      </c>
      <c r="S24" s="29">
        <v>1</v>
      </c>
      <c r="T24" s="29">
        <v>1</v>
      </c>
      <c r="U24" s="9" t="s">
        <v>14</v>
      </c>
      <c r="V24" s="8">
        <f t="shared" si="6"/>
        <v>4.2185976031615857E-5</v>
      </c>
      <c r="W24" s="8">
        <v>1.5390017033441119</v>
      </c>
      <c r="X24" s="8">
        <v>1.1242811422023726</v>
      </c>
      <c r="Y24" s="8"/>
      <c r="Z24" s="8"/>
      <c r="AA24" s="8"/>
      <c r="AB24" s="1"/>
      <c r="AC24" s="1"/>
      <c r="AD24" s="1"/>
      <c r="AE24" s="1"/>
      <c r="AF24" s="1"/>
      <c r="BA24" s="36">
        <f t="shared" ref="BA24:BA37" si="13">0.006732324*O24+0.95415593</f>
        <v>1.0503319871428571</v>
      </c>
      <c r="BB24" s="36">
        <f t="shared" si="7"/>
        <v>1.4292999894946155</v>
      </c>
      <c r="BC24" s="36">
        <f t="shared" si="0"/>
        <v>2.8070034629710046E-5</v>
      </c>
      <c r="BD24" s="36">
        <f t="shared" ref="BD24:BD41" si="14">BC24*D24/1000</f>
        <v>1.8526222855608632E-6</v>
      </c>
      <c r="BE24" s="37">
        <f t="shared" si="12"/>
        <v>1</v>
      </c>
      <c r="BF24" s="8"/>
      <c r="BG24" s="8" t="e">
        <f t="shared" ca="1" si="2"/>
        <v>#NAME?</v>
      </c>
      <c r="BH24" s="8" t="e">
        <f t="shared" ca="1" si="3"/>
        <v>#NAME?</v>
      </c>
      <c r="BI24" s="8" t="e">
        <f t="shared" ref="BI24:BI41" ca="1" si="15">BH24*D24/1000</f>
        <v>#NAME?</v>
      </c>
      <c r="BJ24" s="8">
        <f t="shared" si="8"/>
        <v>1</v>
      </c>
    </row>
    <row r="25" spans="1:62" x14ac:dyDescent="0.3">
      <c r="A25" s="8">
        <v>24</v>
      </c>
      <c r="B25" s="13" t="s">
        <v>67</v>
      </c>
      <c r="C25" s="14">
        <v>3.5</v>
      </c>
      <c r="D25" s="14">
        <v>22</v>
      </c>
      <c r="E25" s="14">
        <v>89</v>
      </c>
      <c r="F25" s="14">
        <v>1974</v>
      </c>
      <c r="G25" s="14">
        <v>4</v>
      </c>
      <c r="H25" s="14">
        <v>4</v>
      </c>
      <c r="I25" s="9" t="s">
        <v>37</v>
      </c>
      <c r="J25" s="9" t="s">
        <v>36</v>
      </c>
      <c r="K25" s="9" t="s">
        <v>37</v>
      </c>
      <c r="L25" s="9" t="s">
        <v>37</v>
      </c>
      <c r="M25" s="24">
        <v>1.08</v>
      </c>
      <c r="N25" s="9">
        <f t="shared" si="5"/>
        <v>43</v>
      </c>
      <c r="O25" s="23">
        <f t="shared" si="9"/>
        <v>0</v>
      </c>
      <c r="P25" s="11"/>
      <c r="Q25" s="29">
        <v>1</v>
      </c>
      <c r="R25" s="29">
        <v>1</v>
      </c>
      <c r="S25" s="29">
        <v>1</v>
      </c>
      <c r="T25" s="29">
        <v>1</v>
      </c>
      <c r="U25" s="9" t="s">
        <v>14</v>
      </c>
      <c r="V25" s="8">
        <f t="shared" si="6"/>
        <v>1.2067151283462211E-4</v>
      </c>
      <c r="W25" s="8">
        <v>1.8116042261050216</v>
      </c>
      <c r="X25" s="8">
        <v>1.287359946059653</v>
      </c>
      <c r="Y25" s="8"/>
      <c r="Z25" s="8"/>
      <c r="AA25" s="8"/>
      <c r="AB25" s="1"/>
      <c r="AC25" s="1"/>
      <c r="AD25" s="1"/>
      <c r="AE25" s="1"/>
      <c r="AF25" s="1"/>
      <c r="BA25" s="36">
        <f t="shared" si="13"/>
        <v>0.95415592999999999</v>
      </c>
      <c r="BB25" s="36">
        <f t="shared" si="7"/>
        <v>1.2982390242485176</v>
      </c>
      <c r="BC25" s="36">
        <f t="shared" si="0"/>
        <v>1.7500034062363819E-5</v>
      </c>
      <c r="BD25" s="36">
        <f t="shared" si="14"/>
        <v>3.8500074937200399E-7</v>
      </c>
      <c r="BE25" s="37">
        <f t="shared" si="12"/>
        <v>0.92592592592592582</v>
      </c>
      <c r="BF25" s="8"/>
      <c r="BG25" s="8" t="e">
        <f t="shared" ca="1" si="2"/>
        <v>#NAME?</v>
      </c>
      <c r="BH25" s="8" t="e">
        <f t="shared" ca="1" si="3"/>
        <v>#NAME?</v>
      </c>
      <c r="BI25" s="8" t="e">
        <f t="shared" ca="1" si="15"/>
        <v>#NAME?</v>
      </c>
      <c r="BJ25" s="8">
        <f t="shared" si="8"/>
        <v>0.92592592592592582</v>
      </c>
    </row>
    <row r="26" spans="1:62" x14ac:dyDescent="0.3">
      <c r="A26" s="8">
        <v>25</v>
      </c>
      <c r="B26" s="13" t="s">
        <v>68</v>
      </c>
      <c r="C26" s="14">
        <v>0.6</v>
      </c>
      <c r="D26" s="14">
        <v>74.5</v>
      </c>
      <c r="E26" s="14">
        <v>219</v>
      </c>
      <c r="F26" s="14">
        <v>1993</v>
      </c>
      <c r="G26" s="14">
        <v>8.5</v>
      </c>
      <c r="H26" s="14">
        <v>6</v>
      </c>
      <c r="I26" s="9" t="s">
        <v>37</v>
      </c>
      <c r="J26" s="9" t="s">
        <v>36</v>
      </c>
      <c r="K26" s="9" t="s">
        <v>37</v>
      </c>
      <c r="L26" s="9" t="s">
        <v>37</v>
      </c>
      <c r="M26" s="24">
        <v>5.58</v>
      </c>
      <c r="N26" s="9">
        <f t="shared" si="5"/>
        <v>24</v>
      </c>
      <c r="O26" s="23">
        <f t="shared" si="9"/>
        <v>29.411764705882348</v>
      </c>
      <c r="P26" s="11"/>
      <c r="Q26" s="29">
        <v>1</v>
      </c>
      <c r="R26" s="29">
        <v>1</v>
      </c>
      <c r="S26" s="29">
        <v>1</v>
      </c>
      <c r="T26" s="29">
        <v>1</v>
      </c>
      <c r="U26" s="9" t="s">
        <v>14</v>
      </c>
      <c r="V26" s="8">
        <f t="shared" si="6"/>
        <v>6.3845218759257558E-5</v>
      </c>
      <c r="W26" s="8">
        <v>1.7602122718536513</v>
      </c>
      <c r="X26" s="8">
        <v>1.2585815913450804</v>
      </c>
      <c r="Y26" s="8"/>
      <c r="Z26" s="8"/>
      <c r="AA26" s="8"/>
      <c r="AB26" s="1"/>
      <c r="AC26" s="1"/>
      <c r="AD26" s="1"/>
      <c r="AE26" s="1"/>
      <c r="AF26" s="1"/>
      <c r="BA26" s="36">
        <f t="shared" si="13"/>
        <v>1.1521654594117647</v>
      </c>
      <c r="BB26" s="36">
        <f t="shared" si="7"/>
        <v>1.5825196291599648</v>
      </c>
      <c r="BC26" s="36">
        <f t="shared" si="0"/>
        <v>3.6297356449823408E-5</v>
      </c>
      <c r="BD26" s="36">
        <f t="shared" si="14"/>
        <v>2.7041530555118437E-6</v>
      </c>
      <c r="BE26" s="37">
        <f t="shared" si="12"/>
        <v>0.17921146953405018</v>
      </c>
      <c r="BF26" s="8"/>
      <c r="BG26" s="8" t="e">
        <f t="shared" ca="1" si="2"/>
        <v>#NAME?</v>
      </c>
      <c r="BH26" s="8" t="e">
        <f t="shared" ca="1" si="3"/>
        <v>#NAME?</v>
      </c>
      <c r="BI26" s="8" t="e">
        <f t="shared" ca="1" si="15"/>
        <v>#NAME?</v>
      </c>
      <c r="BJ26" s="8">
        <f t="shared" si="8"/>
        <v>0.17921146953405018</v>
      </c>
    </row>
    <row r="27" spans="1:62" x14ac:dyDescent="0.3">
      <c r="A27" s="8">
        <v>26</v>
      </c>
      <c r="B27" s="13" t="s">
        <v>69</v>
      </c>
      <c r="C27" s="14">
        <v>40</v>
      </c>
      <c r="D27" s="14">
        <v>182</v>
      </c>
      <c r="E27" s="14">
        <v>108</v>
      </c>
      <c r="F27" s="14">
        <v>1990</v>
      </c>
      <c r="G27" s="14">
        <v>4</v>
      </c>
      <c r="H27" s="14">
        <f>4.5/2</f>
        <v>2.25</v>
      </c>
      <c r="I27" s="9" t="s">
        <v>37</v>
      </c>
      <c r="J27" s="9" t="s">
        <v>36</v>
      </c>
      <c r="K27" s="9" t="s">
        <v>37</v>
      </c>
      <c r="L27" s="9" t="s">
        <v>37</v>
      </c>
      <c r="M27" s="24">
        <v>21.58</v>
      </c>
      <c r="N27" s="9">
        <f t="shared" si="5"/>
        <v>27</v>
      </c>
      <c r="O27" s="23">
        <f t="shared" si="9"/>
        <v>43.75</v>
      </c>
      <c r="P27" s="11"/>
      <c r="Q27" s="29">
        <v>1</v>
      </c>
      <c r="R27" s="29">
        <v>1</v>
      </c>
      <c r="S27" s="29">
        <v>1</v>
      </c>
      <c r="T27" s="29">
        <v>1</v>
      </c>
      <c r="U27" s="9" t="s">
        <v>14</v>
      </c>
      <c r="V27" s="8">
        <f t="shared" si="6"/>
        <v>2.3230616837922774E-5</v>
      </c>
      <c r="W27" s="8">
        <v>1.4262968654749248</v>
      </c>
      <c r="X27" s="8">
        <v>1.048228661442935</v>
      </c>
      <c r="Y27" s="8"/>
      <c r="Z27" s="8"/>
      <c r="AA27" s="8"/>
      <c r="AB27" s="1"/>
      <c r="AC27" s="1"/>
      <c r="AD27" s="1"/>
      <c r="AE27" s="1"/>
      <c r="AF27" s="1"/>
      <c r="BA27" s="36">
        <f t="shared" si="13"/>
        <v>1.2486951049999999</v>
      </c>
      <c r="BB27" s="36">
        <f t="shared" si="7"/>
        <v>1.7428956983443296</v>
      </c>
      <c r="BC27" s="36">
        <f t="shared" si="0"/>
        <v>6.5952131926010109E-5</v>
      </c>
      <c r="BD27" s="36">
        <f t="shared" si="14"/>
        <v>1.200328801053384E-5</v>
      </c>
      <c r="BE27" s="37">
        <f t="shared" si="12"/>
        <v>4.6339202965708995E-2</v>
      </c>
      <c r="BF27" s="8"/>
      <c r="BG27" s="8" t="e">
        <f t="shared" ca="1" si="2"/>
        <v>#NAME?</v>
      </c>
      <c r="BH27" s="8" t="e">
        <f t="shared" ca="1" si="3"/>
        <v>#NAME?</v>
      </c>
      <c r="BI27" s="8" t="e">
        <f t="shared" ca="1" si="15"/>
        <v>#NAME?</v>
      </c>
      <c r="BJ27" s="8">
        <f t="shared" si="8"/>
        <v>4.6339202965708995E-2</v>
      </c>
    </row>
    <row r="28" spans="1:62" x14ac:dyDescent="0.3">
      <c r="A28" s="8">
        <v>27</v>
      </c>
      <c r="B28" s="13" t="s">
        <v>70</v>
      </c>
      <c r="C28" s="14">
        <v>30.57</v>
      </c>
      <c r="D28" s="14">
        <v>38</v>
      </c>
      <c r="E28" s="14">
        <v>57</v>
      </c>
      <c r="F28" s="14">
        <v>1983</v>
      </c>
      <c r="G28" s="14">
        <v>3.5</v>
      </c>
      <c r="H28" s="14">
        <v>3</v>
      </c>
      <c r="I28" s="9" t="s">
        <v>37</v>
      </c>
      <c r="J28" s="9" t="s">
        <v>36</v>
      </c>
      <c r="K28" s="9" t="s">
        <v>37</v>
      </c>
      <c r="L28" s="9" t="s">
        <v>37</v>
      </c>
      <c r="M28" s="24">
        <v>2.5</v>
      </c>
      <c r="N28" s="9">
        <f t="shared" si="5"/>
        <v>34</v>
      </c>
      <c r="O28" s="23">
        <f t="shared" si="9"/>
        <v>14.285714285714292</v>
      </c>
      <c r="P28" s="11"/>
      <c r="Q28" s="29">
        <v>1</v>
      </c>
      <c r="R28" s="29">
        <v>1</v>
      </c>
      <c r="S28" s="29">
        <v>1</v>
      </c>
      <c r="T28" s="29">
        <v>1</v>
      </c>
      <c r="U28" s="9" t="s">
        <v>14</v>
      </c>
      <c r="V28" s="8">
        <f t="shared" si="6"/>
        <v>8.8355457539901328E-5</v>
      </c>
      <c r="W28" s="8">
        <v>1.7772607975559349</v>
      </c>
      <c r="X28" s="8">
        <v>1.2682204817978018</v>
      </c>
      <c r="Y28" s="8"/>
      <c r="Z28" s="8"/>
      <c r="AA28" s="8"/>
      <c r="AB28" s="1"/>
      <c r="AC28" s="1"/>
      <c r="AD28" s="1"/>
      <c r="AE28" s="1"/>
      <c r="AF28" s="1"/>
      <c r="BA28" s="36">
        <f t="shared" si="13"/>
        <v>1.0503319871428571</v>
      </c>
      <c r="BB28" s="36">
        <f t="shared" si="7"/>
        <v>1.4292999894946155</v>
      </c>
      <c r="BC28" s="36">
        <f t="shared" si="0"/>
        <v>2.5902324430048487E-5</v>
      </c>
      <c r="BD28" s="36">
        <f t="shared" si="14"/>
        <v>9.8428832834184244E-7</v>
      </c>
      <c r="BE28" s="37">
        <f t="shared" si="12"/>
        <v>0.4</v>
      </c>
      <c r="BF28" s="8"/>
      <c r="BG28" s="8" t="e">
        <f t="shared" ca="1" si="2"/>
        <v>#NAME?</v>
      </c>
      <c r="BH28" s="8" t="e">
        <f t="shared" ca="1" si="3"/>
        <v>#NAME?</v>
      </c>
      <c r="BI28" s="8" t="e">
        <f t="shared" ca="1" si="15"/>
        <v>#NAME?</v>
      </c>
      <c r="BJ28" s="8">
        <f t="shared" si="8"/>
        <v>0.4</v>
      </c>
    </row>
    <row r="29" spans="1:62" x14ac:dyDescent="0.3">
      <c r="A29" s="8">
        <v>28</v>
      </c>
      <c r="B29" s="13" t="s">
        <v>71</v>
      </c>
      <c r="C29" s="14">
        <v>11.87</v>
      </c>
      <c r="D29" s="14">
        <v>94.4</v>
      </c>
      <c r="E29" s="14">
        <v>273</v>
      </c>
      <c r="F29" s="14">
        <v>1974</v>
      </c>
      <c r="G29" s="14">
        <v>7</v>
      </c>
      <c r="H29" s="14">
        <v>6</v>
      </c>
      <c r="I29" s="9" t="s">
        <v>37</v>
      </c>
      <c r="J29" s="9" t="s">
        <v>36</v>
      </c>
      <c r="K29" s="9" t="s">
        <v>37</v>
      </c>
      <c r="L29" s="9" t="s">
        <v>37</v>
      </c>
      <c r="M29" s="24">
        <v>4</v>
      </c>
      <c r="N29" s="9">
        <f t="shared" si="5"/>
        <v>43</v>
      </c>
      <c r="O29" s="23">
        <f t="shared" si="9"/>
        <v>14.285714285714292</v>
      </c>
      <c r="P29" s="11"/>
      <c r="Q29" s="29">
        <v>1</v>
      </c>
      <c r="R29" s="29">
        <v>1</v>
      </c>
      <c r="S29" s="29">
        <v>1</v>
      </c>
      <c r="T29" s="29">
        <v>1</v>
      </c>
      <c r="U29" s="9" t="s">
        <v>14</v>
      </c>
      <c r="V29" s="8">
        <f t="shared" si="6"/>
        <v>2.8122598330102609E-5</v>
      </c>
      <c r="W29" s="8">
        <v>1.4243611720287666</v>
      </c>
      <c r="X29" s="8">
        <v>1.0468705934332336</v>
      </c>
      <c r="Y29" s="8"/>
      <c r="Z29" s="8"/>
      <c r="AA29" s="8"/>
      <c r="AB29" s="1"/>
      <c r="AC29" s="1"/>
      <c r="AD29" s="1"/>
      <c r="AE29" s="1"/>
      <c r="AF29" s="1"/>
      <c r="BA29" s="36">
        <f t="shared" si="13"/>
        <v>1.0503319871428571</v>
      </c>
      <c r="BB29" s="36">
        <f t="shared" si="7"/>
        <v>1.4292999894946155</v>
      </c>
      <c r="BC29" s="36">
        <f t="shared" si="0"/>
        <v>2.8649882587788941E-5</v>
      </c>
      <c r="BD29" s="36">
        <f t="shared" si="14"/>
        <v>2.7045489162872764E-6</v>
      </c>
      <c r="BE29" s="37">
        <f t="shared" si="12"/>
        <v>0.25</v>
      </c>
      <c r="BF29" s="8"/>
      <c r="BG29" s="8" t="e">
        <f t="shared" ca="1" si="2"/>
        <v>#NAME?</v>
      </c>
      <c r="BH29" s="8" t="e">
        <f t="shared" ca="1" si="3"/>
        <v>#NAME?</v>
      </c>
      <c r="BI29" s="8" t="e">
        <f t="shared" ca="1" si="15"/>
        <v>#NAME?</v>
      </c>
      <c r="BJ29" s="8">
        <f t="shared" si="8"/>
        <v>0.25</v>
      </c>
    </row>
    <row r="30" spans="1:62" x14ac:dyDescent="0.3">
      <c r="A30" s="8">
        <v>29</v>
      </c>
      <c r="B30" s="13" t="s">
        <v>72</v>
      </c>
      <c r="C30" s="14">
        <v>3</v>
      </c>
      <c r="D30" s="14">
        <v>14</v>
      </c>
      <c r="E30" s="14">
        <v>89</v>
      </c>
      <c r="F30" s="14">
        <v>1965</v>
      </c>
      <c r="G30" s="14">
        <v>4</v>
      </c>
      <c r="H30" s="14">
        <v>4</v>
      </c>
      <c r="I30" s="9" t="s">
        <v>37</v>
      </c>
      <c r="J30" s="9" t="s">
        <v>36</v>
      </c>
      <c r="K30" s="9" t="s">
        <v>37</v>
      </c>
      <c r="L30" s="9" t="s">
        <v>37</v>
      </c>
      <c r="M30" s="24">
        <v>3.25</v>
      </c>
      <c r="N30" s="9">
        <f t="shared" si="5"/>
        <v>52</v>
      </c>
      <c r="O30" s="23">
        <f t="shared" si="9"/>
        <v>0</v>
      </c>
      <c r="P30" s="11"/>
      <c r="Q30" s="29">
        <v>1</v>
      </c>
      <c r="R30" s="29">
        <v>1</v>
      </c>
      <c r="S30" s="29">
        <v>1</v>
      </c>
      <c r="T30" s="29">
        <v>1</v>
      </c>
      <c r="U30" s="9" t="s">
        <v>14</v>
      </c>
      <c r="V30" s="8">
        <f t="shared" si="6"/>
        <v>1.5680666365597873E-4</v>
      </c>
      <c r="W30" s="8">
        <v>1.8388618030296471</v>
      </c>
      <c r="X30" s="8">
        <v>1.3022939754680356</v>
      </c>
      <c r="Y30" s="8"/>
      <c r="Z30" s="8"/>
      <c r="AA30" s="8"/>
      <c r="AB30" s="1"/>
      <c r="AC30" s="1"/>
      <c r="AD30" s="1"/>
      <c r="AE30" s="1"/>
      <c r="AF30" s="1"/>
      <c r="BA30" s="36">
        <f t="shared" si="13"/>
        <v>0.95415592999999999</v>
      </c>
      <c r="BB30" s="36">
        <f t="shared" si="7"/>
        <v>1.2982390242485176</v>
      </c>
      <c r="BC30" s="36">
        <f t="shared" si="0"/>
        <v>1.8520555919855016E-5</v>
      </c>
      <c r="BD30" s="36">
        <f t="shared" si="14"/>
        <v>2.5928778287797023E-7</v>
      </c>
      <c r="BE30" s="37">
        <f t="shared" si="12"/>
        <v>0.30769230769230771</v>
      </c>
      <c r="BF30" s="8"/>
      <c r="BG30" s="8" t="e">
        <f t="shared" ca="1" si="2"/>
        <v>#NAME?</v>
      </c>
      <c r="BH30" s="8" t="e">
        <f t="shared" ca="1" si="3"/>
        <v>#NAME?</v>
      </c>
      <c r="BI30" s="8" t="e">
        <f t="shared" ca="1" si="15"/>
        <v>#NAME?</v>
      </c>
      <c r="BJ30" s="8">
        <f t="shared" si="8"/>
        <v>0.30769230769230771</v>
      </c>
    </row>
    <row r="31" spans="1:62" x14ac:dyDescent="0.3">
      <c r="A31" s="8">
        <v>30</v>
      </c>
      <c r="B31" s="13" t="s">
        <v>73</v>
      </c>
      <c r="C31" s="14">
        <v>5</v>
      </c>
      <c r="D31" s="14">
        <v>25</v>
      </c>
      <c r="E31" s="14">
        <v>57</v>
      </c>
      <c r="F31" s="14">
        <v>1993</v>
      </c>
      <c r="G31" s="14">
        <v>3.5</v>
      </c>
      <c r="H31" s="14">
        <v>3</v>
      </c>
      <c r="I31" s="9" t="s">
        <v>37</v>
      </c>
      <c r="J31" s="9" t="s">
        <v>36</v>
      </c>
      <c r="K31" s="9" t="s">
        <v>37</v>
      </c>
      <c r="L31" s="9" t="s">
        <v>37</v>
      </c>
      <c r="M31" s="24">
        <v>5.5</v>
      </c>
      <c r="N31" s="9">
        <f t="shared" si="5"/>
        <v>24</v>
      </c>
      <c r="O31" s="23">
        <f t="shared" si="9"/>
        <v>14.285714285714292</v>
      </c>
      <c r="P31" s="11"/>
      <c r="Q31" s="29">
        <v>1</v>
      </c>
      <c r="R31" s="29">
        <v>1</v>
      </c>
      <c r="S31" s="29">
        <v>1</v>
      </c>
      <c r="T31" s="29">
        <v>1</v>
      </c>
      <c r="U31" s="9" t="s">
        <v>14</v>
      </c>
      <c r="V31" s="8">
        <f t="shared" si="6"/>
        <v>1.9025875190258751E-4</v>
      </c>
      <c r="W31" s="8">
        <v>2.1037946523943121</v>
      </c>
      <c r="X31" s="8">
        <v>1.4368898720004435</v>
      </c>
      <c r="Y31" s="8"/>
      <c r="Z31" s="8"/>
      <c r="AA31" s="8"/>
      <c r="AB31" s="1"/>
      <c r="AC31" s="1"/>
      <c r="AD31" s="1"/>
      <c r="AE31" s="1"/>
      <c r="AF31" s="1"/>
      <c r="BA31" s="36">
        <f t="shared" si="13"/>
        <v>1.0503319871428571</v>
      </c>
      <c r="BB31" s="36">
        <f t="shared" si="7"/>
        <v>1.4292999894946155</v>
      </c>
      <c r="BC31" s="36">
        <f t="shared" si="0"/>
        <v>2.2304861313338342E-5</v>
      </c>
      <c r="BD31" s="36">
        <f t="shared" si="14"/>
        <v>5.5762153283345854E-7</v>
      </c>
      <c r="BE31" s="37">
        <f t="shared" si="12"/>
        <v>0.18181818181818182</v>
      </c>
      <c r="BF31" s="8"/>
      <c r="BG31" s="8" t="e">
        <f t="shared" ca="1" si="2"/>
        <v>#NAME?</v>
      </c>
      <c r="BH31" s="8" t="e">
        <f t="shared" ca="1" si="3"/>
        <v>#NAME?</v>
      </c>
      <c r="BI31" s="8" t="e">
        <f t="shared" ca="1" si="15"/>
        <v>#NAME?</v>
      </c>
      <c r="BJ31" s="8">
        <f t="shared" si="8"/>
        <v>0.18181818181818182</v>
      </c>
    </row>
    <row r="32" spans="1:62" x14ac:dyDescent="0.3">
      <c r="A32" s="8">
        <v>31</v>
      </c>
      <c r="B32" s="13" t="s">
        <v>74</v>
      </c>
      <c r="C32" s="14">
        <v>1</v>
      </c>
      <c r="D32" s="14">
        <v>19</v>
      </c>
      <c r="E32" s="14">
        <v>108</v>
      </c>
      <c r="F32" s="14">
        <v>1961</v>
      </c>
      <c r="G32" s="14">
        <v>4</v>
      </c>
      <c r="H32" s="14">
        <f>4.5/2</f>
        <v>2.25</v>
      </c>
      <c r="I32" s="9" t="s">
        <v>37</v>
      </c>
      <c r="J32" s="9" t="s">
        <v>36</v>
      </c>
      <c r="K32" s="9" t="s">
        <v>37</v>
      </c>
      <c r="L32" s="9" t="s">
        <v>37</v>
      </c>
      <c r="M32" s="24">
        <v>3.08</v>
      </c>
      <c r="N32" s="9">
        <f t="shared" si="5"/>
        <v>56</v>
      </c>
      <c r="O32" s="23">
        <f t="shared" si="9"/>
        <v>43.75</v>
      </c>
      <c r="P32" s="11"/>
      <c r="Q32" s="29">
        <v>1</v>
      </c>
      <c r="R32" s="29">
        <v>1</v>
      </c>
      <c r="S32" s="29">
        <v>1</v>
      </c>
      <c r="T32" s="29">
        <v>1</v>
      </c>
      <c r="U32" s="9" t="s">
        <v>14</v>
      </c>
      <c r="V32" s="8">
        <f t="shared" si="6"/>
        <v>1.0728876986988017E-4</v>
      </c>
      <c r="W32" s="8">
        <v>1.7291431988487571</v>
      </c>
      <c r="X32" s="8">
        <v>1.2407732056064389</v>
      </c>
      <c r="Y32" s="8"/>
      <c r="Z32" s="8"/>
      <c r="AA32" s="8"/>
      <c r="AB32" s="1"/>
      <c r="AC32" s="1"/>
      <c r="AD32" s="1"/>
      <c r="AE32" s="1"/>
      <c r="AF32" s="1"/>
      <c r="BA32" s="36">
        <f t="shared" si="13"/>
        <v>1.2486951049999999</v>
      </c>
      <c r="BB32" s="36">
        <f t="shared" si="7"/>
        <v>1.7428956983443296</v>
      </c>
      <c r="BC32" s="36">
        <f t="shared" si="0"/>
        <v>1.1339560457838187E-4</v>
      </c>
      <c r="BD32" s="36">
        <f t="shared" si="14"/>
        <v>2.1545164869892559E-6</v>
      </c>
      <c r="BE32" s="37">
        <f t="shared" si="12"/>
        <v>0.32467532467532467</v>
      </c>
      <c r="BF32" s="8"/>
      <c r="BG32" s="8" t="e">
        <f t="shared" ca="1" si="2"/>
        <v>#NAME?</v>
      </c>
      <c r="BH32" s="8" t="e">
        <f t="shared" ca="1" si="3"/>
        <v>#NAME?</v>
      </c>
      <c r="BI32" s="8" t="e">
        <f t="shared" ca="1" si="15"/>
        <v>#NAME?</v>
      </c>
      <c r="BJ32" s="8">
        <f t="shared" si="8"/>
        <v>0.32467532467532467</v>
      </c>
    </row>
    <row r="33" spans="1:62" x14ac:dyDescent="0.3">
      <c r="A33" s="8">
        <v>32</v>
      </c>
      <c r="B33" s="15" t="s">
        <v>75</v>
      </c>
      <c r="C33" s="14">
        <v>2</v>
      </c>
      <c r="D33" s="14">
        <v>32.200000000000003</v>
      </c>
      <c r="E33" s="14">
        <v>159</v>
      </c>
      <c r="F33" s="14">
        <v>1986</v>
      </c>
      <c r="G33" s="14">
        <v>4.5</v>
      </c>
      <c r="H33" s="14">
        <v>4</v>
      </c>
      <c r="I33" s="9" t="s">
        <v>37</v>
      </c>
      <c r="J33" s="9" t="s">
        <v>36</v>
      </c>
      <c r="K33" s="9" t="s">
        <v>37</v>
      </c>
      <c r="L33" s="9" t="s">
        <v>37</v>
      </c>
      <c r="M33" s="24">
        <v>5.58</v>
      </c>
      <c r="N33" s="9">
        <f t="shared" si="5"/>
        <v>31</v>
      </c>
      <c r="O33" s="23">
        <f t="shared" si="9"/>
        <v>11.111111111111114</v>
      </c>
      <c r="P33" s="11"/>
      <c r="Q33" s="29">
        <v>1</v>
      </c>
      <c r="R33" s="29">
        <v>1</v>
      </c>
      <c r="S33" s="29">
        <v>1</v>
      </c>
      <c r="T33" s="29">
        <v>1</v>
      </c>
      <c r="U33" s="9" t="s">
        <v>14</v>
      </c>
      <c r="V33" s="8">
        <f t="shared" si="6"/>
        <v>1.1436110112357495E-4</v>
      </c>
      <c r="W33" s="8">
        <v>1.8732981931974269</v>
      </c>
      <c r="X33" s="8">
        <v>1.3208477975418349</v>
      </c>
      <c r="Y33" s="8"/>
      <c r="Z33" s="8"/>
      <c r="AA33" s="8"/>
      <c r="AB33" s="1"/>
      <c r="AC33" s="1"/>
      <c r="AD33" s="1"/>
      <c r="AE33" s="1"/>
      <c r="AF33" s="1"/>
      <c r="BA33" s="36">
        <f t="shared" si="13"/>
        <v>1.0289595300000001</v>
      </c>
      <c r="BB33" s="36">
        <f t="shared" si="7"/>
        <v>1.399076462695106</v>
      </c>
      <c r="BC33" s="36">
        <f t="shared" si="0"/>
        <v>2.2440999964212276E-5</v>
      </c>
      <c r="BD33" s="36">
        <f t="shared" si="14"/>
        <v>7.2260019884763535E-7</v>
      </c>
      <c r="BE33" s="37">
        <f t="shared" si="12"/>
        <v>0.17921146953405018</v>
      </c>
      <c r="BF33" s="8"/>
      <c r="BG33" s="8" t="e">
        <f t="shared" ca="1" si="2"/>
        <v>#NAME?</v>
      </c>
      <c r="BH33" s="8" t="e">
        <f t="shared" ca="1" si="3"/>
        <v>#NAME?</v>
      </c>
      <c r="BI33" s="8" t="e">
        <f t="shared" ca="1" si="15"/>
        <v>#NAME?</v>
      </c>
      <c r="BJ33" s="8">
        <f t="shared" si="8"/>
        <v>0.17921146953405018</v>
      </c>
    </row>
    <row r="34" spans="1:62" x14ac:dyDescent="0.3">
      <c r="A34" s="8">
        <v>33</v>
      </c>
      <c r="B34" s="13" t="s">
        <v>76</v>
      </c>
      <c r="C34" s="14">
        <v>6</v>
      </c>
      <c r="D34" s="14">
        <v>11.35</v>
      </c>
      <c r="E34" s="14">
        <v>57</v>
      </c>
      <c r="F34" s="14">
        <v>1965</v>
      </c>
      <c r="G34" s="14">
        <v>3.5</v>
      </c>
      <c r="H34" s="14">
        <v>3</v>
      </c>
      <c r="I34" s="9" t="s">
        <v>37</v>
      </c>
      <c r="J34" s="9" t="s">
        <v>36</v>
      </c>
      <c r="K34" s="9" t="s">
        <v>37</v>
      </c>
      <c r="L34" s="9" t="s">
        <v>37</v>
      </c>
      <c r="M34" s="24">
        <v>4.29</v>
      </c>
      <c r="N34" s="9">
        <f t="shared" si="5"/>
        <v>52</v>
      </c>
      <c r="O34" s="23">
        <f t="shared" si="9"/>
        <v>14.285714285714292</v>
      </c>
      <c r="P34" s="11"/>
      <c r="Q34" s="29">
        <v>1</v>
      </c>
      <c r="R34" s="29">
        <v>1</v>
      </c>
      <c r="S34" s="29">
        <v>1</v>
      </c>
      <c r="T34" s="29">
        <v>1</v>
      </c>
      <c r="U34" s="9" t="s">
        <v>14</v>
      </c>
      <c r="V34" s="8">
        <f t="shared" si="6"/>
        <v>1.9341791111750683E-4</v>
      </c>
      <c r="W34" s="8">
        <v>1.8919690271426621</v>
      </c>
      <c r="X34" s="8">
        <v>1.3307652806236381</v>
      </c>
      <c r="Y34" s="8"/>
      <c r="Z34" s="8"/>
      <c r="AA34" s="8"/>
      <c r="AB34" s="1"/>
      <c r="AC34" s="1"/>
      <c r="AD34" s="1"/>
      <c r="AE34" s="1"/>
      <c r="AF34" s="1"/>
      <c r="BA34" s="36">
        <f t="shared" si="13"/>
        <v>1.0503319871428571</v>
      </c>
      <c r="BB34" s="36">
        <f t="shared" si="7"/>
        <v>1.4292999894946155</v>
      </c>
      <c r="BC34" s="36">
        <f t="shared" ref="BC34:BC57" si="16">5.7*10^(-6)*N34^(BB34-1)</f>
        <v>3.108530071764745E-5</v>
      </c>
      <c r="BD34" s="36">
        <f t="shared" si="14"/>
        <v>3.5281816314529856E-7</v>
      </c>
      <c r="BE34" s="37">
        <f t="shared" si="12"/>
        <v>0.23310023310023309</v>
      </c>
      <c r="BF34" s="8"/>
      <c r="BG34" s="8" t="e">
        <f t="shared" ref="BG34:BG57" ca="1" si="17">alfa(N34)</f>
        <v>#NAME?</v>
      </c>
      <c r="BH34" s="8" t="e">
        <f t="shared" ref="BH34:BH57" ca="1" si="18">Intens(N34,BG34)</f>
        <v>#NAME?</v>
      </c>
      <c r="BI34" s="8" t="e">
        <f t="shared" ca="1" si="15"/>
        <v>#NAME?</v>
      </c>
      <c r="BJ34" s="8">
        <f t="shared" si="8"/>
        <v>0.23310023310023309</v>
      </c>
    </row>
    <row r="35" spans="1:62" x14ac:dyDescent="0.3">
      <c r="A35" s="8">
        <v>34</v>
      </c>
      <c r="B35" s="16" t="s">
        <v>77</v>
      </c>
      <c r="C35" s="17">
        <v>3</v>
      </c>
      <c r="D35" s="17">
        <v>20</v>
      </c>
      <c r="E35" s="17">
        <v>80</v>
      </c>
      <c r="F35" s="17">
        <v>1965</v>
      </c>
      <c r="G35" s="9">
        <v>4</v>
      </c>
      <c r="H35" s="17">
        <v>3</v>
      </c>
      <c r="I35" s="9" t="s">
        <v>37</v>
      </c>
      <c r="J35" s="9" t="s">
        <v>36</v>
      </c>
      <c r="K35" s="17" t="s">
        <v>37</v>
      </c>
      <c r="L35" s="9" t="s">
        <v>37</v>
      </c>
      <c r="M35" s="24">
        <v>3</v>
      </c>
      <c r="N35" s="9">
        <f t="shared" si="5"/>
        <v>52</v>
      </c>
      <c r="O35" s="23">
        <f t="shared" si="9"/>
        <v>25</v>
      </c>
      <c r="P35" s="11"/>
      <c r="Q35" s="29">
        <v>1</v>
      </c>
      <c r="R35" s="29">
        <v>1</v>
      </c>
      <c r="S35" s="29">
        <v>1</v>
      </c>
      <c r="T35" s="29">
        <v>1</v>
      </c>
      <c r="U35" s="9" t="s">
        <v>14</v>
      </c>
      <c r="V35" s="8">
        <f t="shared" si="6"/>
        <v>1.0976466455918511E-4</v>
      </c>
      <c r="W35" s="8">
        <v>1.7485927714684186</v>
      </c>
      <c r="X35" s="8">
        <v>1.251958514419462</v>
      </c>
      <c r="Y35" s="8"/>
      <c r="Z35" s="8"/>
      <c r="AA35" s="8"/>
      <c r="AB35" s="1"/>
      <c r="AC35" s="1"/>
      <c r="AD35" s="1"/>
      <c r="AE35" s="1"/>
      <c r="AF35" s="1"/>
      <c r="BA35" s="36">
        <f t="shared" si="13"/>
        <v>1.1224640299999999</v>
      </c>
      <c r="BB35" s="36">
        <f t="shared" si="7"/>
        <v>1.5362077038435775</v>
      </c>
      <c r="BC35" s="36">
        <f t="shared" si="16"/>
        <v>4.7425188784425064E-5</v>
      </c>
      <c r="BD35" s="36">
        <f t="shared" si="14"/>
        <v>9.4850377568850135E-7</v>
      </c>
      <c r="BE35" s="37">
        <f t="shared" si="12"/>
        <v>0.33333333333333331</v>
      </c>
      <c r="BF35" s="8"/>
      <c r="BG35" s="8" t="e">
        <f t="shared" ca="1" si="17"/>
        <v>#NAME?</v>
      </c>
      <c r="BH35" s="8" t="e">
        <f t="shared" ca="1" si="18"/>
        <v>#NAME?</v>
      </c>
      <c r="BI35" s="8" t="e">
        <f t="shared" ca="1" si="15"/>
        <v>#NAME?</v>
      </c>
      <c r="BJ35" s="8">
        <f t="shared" si="8"/>
        <v>0.33333333333333331</v>
      </c>
    </row>
    <row r="36" spans="1:62" x14ac:dyDescent="0.3">
      <c r="A36" s="8">
        <v>35</v>
      </c>
      <c r="B36" s="16" t="s">
        <v>78</v>
      </c>
      <c r="C36" s="17">
        <v>17</v>
      </c>
      <c r="D36" s="17">
        <v>22</v>
      </c>
      <c r="E36" s="17">
        <v>150</v>
      </c>
      <c r="F36" s="17">
        <v>1975</v>
      </c>
      <c r="G36" s="18">
        <v>4.5</v>
      </c>
      <c r="H36" s="17">
        <v>4.5</v>
      </c>
      <c r="I36" s="9" t="s">
        <v>37</v>
      </c>
      <c r="J36" s="9" t="s">
        <v>36</v>
      </c>
      <c r="K36" s="17" t="s">
        <v>37</v>
      </c>
      <c r="L36" s="9" t="s">
        <v>37</v>
      </c>
      <c r="M36" s="24">
        <v>3.5</v>
      </c>
      <c r="N36" s="9">
        <f t="shared" si="5"/>
        <v>42</v>
      </c>
      <c r="O36" s="23">
        <f t="shared" si="9"/>
        <v>0</v>
      </c>
      <c r="P36" s="10"/>
      <c r="Q36" s="29">
        <v>1</v>
      </c>
      <c r="R36" s="29">
        <v>1</v>
      </c>
      <c r="S36" s="29">
        <v>1</v>
      </c>
      <c r="T36" s="29">
        <v>1</v>
      </c>
      <c r="U36" s="9" t="s">
        <v>14</v>
      </c>
      <c r="V36" s="8">
        <f t="shared" si="6"/>
        <v>1.235446440925893E-4</v>
      </c>
      <c r="W36" s="8">
        <v>1.8230091797002081</v>
      </c>
      <c r="X36" s="8">
        <v>1.2936357117348565</v>
      </c>
      <c r="Y36" s="8"/>
      <c r="Z36" s="8"/>
      <c r="AA36" s="8"/>
      <c r="AB36" s="1"/>
      <c r="AC36" s="1"/>
      <c r="AD36" s="1"/>
      <c r="AE36" s="1"/>
      <c r="AF36" s="1"/>
      <c r="BA36" s="36">
        <f t="shared" si="13"/>
        <v>0.95415592999999999</v>
      </c>
      <c r="BB36" s="36">
        <f t="shared" si="7"/>
        <v>1.2982390242485176</v>
      </c>
      <c r="BC36" s="36">
        <f t="shared" si="16"/>
        <v>1.7377653770149064E-5</v>
      </c>
      <c r="BD36" s="36">
        <f t="shared" si="14"/>
        <v>3.8230838294327939E-7</v>
      </c>
      <c r="BE36" s="37">
        <f t="shared" si="12"/>
        <v>0.2857142857142857</v>
      </c>
      <c r="BF36" s="8"/>
      <c r="BG36" s="8" t="e">
        <f t="shared" ca="1" si="17"/>
        <v>#NAME?</v>
      </c>
      <c r="BH36" s="8" t="e">
        <f t="shared" ca="1" si="18"/>
        <v>#NAME?</v>
      </c>
      <c r="BI36" s="8" t="e">
        <f t="shared" ca="1" si="15"/>
        <v>#NAME?</v>
      </c>
      <c r="BJ36" s="8">
        <f t="shared" si="8"/>
        <v>0.2857142857142857</v>
      </c>
    </row>
    <row r="37" spans="1:62" x14ac:dyDescent="0.3">
      <c r="A37" s="8">
        <v>36</v>
      </c>
      <c r="B37" s="16" t="s">
        <v>79</v>
      </c>
      <c r="C37" s="17">
        <v>4</v>
      </c>
      <c r="D37" s="17">
        <v>135</v>
      </c>
      <c r="E37" s="17">
        <v>100</v>
      </c>
      <c r="F37" s="17">
        <v>1965</v>
      </c>
      <c r="G37" s="18">
        <v>4</v>
      </c>
      <c r="H37" s="17">
        <v>3</v>
      </c>
      <c r="I37" s="9" t="s">
        <v>37</v>
      </c>
      <c r="J37" s="9" t="s">
        <v>36</v>
      </c>
      <c r="K37" s="17" t="s">
        <v>37</v>
      </c>
      <c r="L37" s="9" t="s">
        <v>37</v>
      </c>
      <c r="M37" s="24">
        <v>3</v>
      </c>
      <c r="N37" s="9">
        <f t="shared" si="5"/>
        <v>52</v>
      </c>
      <c r="O37" s="23">
        <f t="shared" si="9"/>
        <v>25</v>
      </c>
      <c r="P37" s="10"/>
      <c r="Q37" s="29">
        <v>1</v>
      </c>
      <c r="R37" s="29">
        <v>1</v>
      </c>
      <c r="S37" s="29">
        <v>1</v>
      </c>
      <c r="T37" s="29">
        <v>1</v>
      </c>
      <c r="U37" s="9" t="s">
        <v>14</v>
      </c>
      <c r="V37" s="8">
        <f t="shared" si="6"/>
        <v>1.6261431786545943E-5</v>
      </c>
      <c r="W37" s="8">
        <v>1.2653164562402603</v>
      </c>
      <c r="X37" s="8">
        <v>0.92846943448965313</v>
      </c>
      <c r="Y37" s="8"/>
      <c r="Z37" s="8"/>
      <c r="AA37" s="8"/>
      <c r="AB37" s="1"/>
      <c r="AC37" s="1"/>
      <c r="AD37" s="1"/>
      <c r="AE37" s="1"/>
      <c r="AF37" s="1"/>
      <c r="BA37" s="36">
        <f t="shared" si="13"/>
        <v>1.1224640299999999</v>
      </c>
      <c r="BB37" s="36">
        <f t="shared" si="7"/>
        <v>1.5362077038435775</v>
      </c>
      <c r="BC37" s="36">
        <f t="shared" si="16"/>
        <v>4.7425188784425064E-5</v>
      </c>
      <c r="BD37" s="36">
        <f t="shared" si="14"/>
        <v>6.4024004858973838E-6</v>
      </c>
      <c r="BE37" s="37">
        <f t="shared" si="12"/>
        <v>0.33333333333333331</v>
      </c>
      <c r="BF37" s="8"/>
      <c r="BG37" s="8" t="e">
        <f t="shared" ca="1" si="17"/>
        <v>#NAME?</v>
      </c>
      <c r="BH37" s="8" t="e">
        <f t="shared" ca="1" si="18"/>
        <v>#NAME?</v>
      </c>
      <c r="BI37" s="8" t="e">
        <f t="shared" ca="1" si="15"/>
        <v>#NAME?</v>
      </c>
      <c r="BJ37" s="8">
        <f t="shared" si="8"/>
        <v>0.33333333333333331</v>
      </c>
    </row>
    <row r="38" spans="1:62" ht="31.2" x14ac:dyDescent="0.3">
      <c r="A38" s="8">
        <v>37</v>
      </c>
      <c r="B38" s="16" t="s">
        <v>80</v>
      </c>
      <c r="C38" s="17">
        <v>3</v>
      </c>
      <c r="D38" s="17">
        <v>32.5</v>
      </c>
      <c r="E38" s="17">
        <v>700</v>
      </c>
      <c r="F38" s="17">
        <v>1970</v>
      </c>
      <c r="G38" s="9">
        <v>9</v>
      </c>
      <c r="H38" s="17">
        <v>7</v>
      </c>
      <c r="I38" s="9" t="s">
        <v>37</v>
      </c>
      <c r="J38" s="9" t="s">
        <v>36</v>
      </c>
      <c r="K38" s="17" t="s">
        <v>35</v>
      </c>
      <c r="L38" s="9" t="s">
        <v>37</v>
      </c>
      <c r="M38" s="24">
        <v>6</v>
      </c>
      <c r="N38" s="9">
        <f t="shared" si="5"/>
        <v>47</v>
      </c>
      <c r="O38" s="23">
        <f t="shared" ref="O38:O57" si="19">100-H38*100/G38</f>
        <v>22.222222222222229</v>
      </c>
      <c r="P38" s="10"/>
      <c r="Q38" s="32">
        <v>1</v>
      </c>
      <c r="R38" s="32">
        <v>1</v>
      </c>
      <c r="S38" s="32"/>
      <c r="T38" s="32">
        <v>1</v>
      </c>
      <c r="U38" s="9" t="s">
        <v>60</v>
      </c>
      <c r="V38" s="8">
        <f t="shared" si="6"/>
        <v>7.4733388636040929E-5</v>
      </c>
      <c r="W38" s="8">
        <v>1.6684057478696939</v>
      </c>
      <c r="X38" s="8">
        <v>1.2050157090335358</v>
      </c>
      <c r="Y38" s="8"/>
      <c r="Z38" s="8"/>
      <c r="AA38" s="8"/>
      <c r="AB38" s="1"/>
      <c r="AC38" s="1"/>
      <c r="AD38" s="1"/>
      <c r="AE38" s="1"/>
      <c r="AF38" s="1"/>
      <c r="BA38" s="36">
        <f>0.004939237*O38+0.949185949</f>
        <v>1.0589467712222222</v>
      </c>
      <c r="BB38" s="36">
        <f t="shared" si="7"/>
        <v>1.44166629031465</v>
      </c>
      <c r="BC38" s="36">
        <f t="shared" si="16"/>
        <v>3.1216493197057386E-5</v>
      </c>
      <c r="BD38" s="36">
        <f t="shared" si="14"/>
        <v>1.0145360289043652E-6</v>
      </c>
      <c r="BE38" s="37">
        <f t="shared" si="12"/>
        <v>0.16666666666666666</v>
      </c>
      <c r="BF38" s="8"/>
      <c r="BG38" s="8" t="e">
        <f t="shared" ca="1" si="17"/>
        <v>#NAME?</v>
      </c>
      <c r="BH38" s="8" t="e">
        <f t="shared" ca="1" si="18"/>
        <v>#NAME?</v>
      </c>
      <c r="BI38" s="8" t="e">
        <f t="shared" ca="1" si="15"/>
        <v>#NAME?</v>
      </c>
      <c r="BJ38" s="8">
        <f t="shared" si="8"/>
        <v>0.16666666666666666</v>
      </c>
    </row>
    <row r="39" spans="1:62" x14ac:dyDescent="0.3">
      <c r="A39" s="8">
        <v>38</v>
      </c>
      <c r="B39" s="16" t="s">
        <v>81</v>
      </c>
      <c r="C39" s="17">
        <v>2</v>
      </c>
      <c r="D39" s="17">
        <v>51.5</v>
      </c>
      <c r="E39" s="17">
        <v>100</v>
      </c>
      <c r="F39" s="17">
        <v>1970</v>
      </c>
      <c r="G39" s="18">
        <v>4</v>
      </c>
      <c r="H39" s="17">
        <v>3</v>
      </c>
      <c r="I39" s="9" t="s">
        <v>37</v>
      </c>
      <c r="J39" s="9" t="s">
        <v>36</v>
      </c>
      <c r="K39" s="17" t="s">
        <v>37</v>
      </c>
      <c r="L39" s="9" t="s">
        <v>37</v>
      </c>
      <c r="M39" s="24">
        <v>3.5</v>
      </c>
      <c r="N39" s="9">
        <f t="shared" si="5"/>
        <v>47</v>
      </c>
      <c r="O39" s="23">
        <f t="shared" si="19"/>
        <v>25</v>
      </c>
      <c r="P39" s="10"/>
      <c r="Q39" s="29">
        <v>1</v>
      </c>
      <c r="R39" s="29">
        <v>1</v>
      </c>
      <c r="S39" s="29">
        <v>1</v>
      </c>
      <c r="T39" s="29">
        <v>1</v>
      </c>
      <c r="U39" s="9" t="s">
        <v>14</v>
      </c>
      <c r="V39" s="8">
        <f t="shared" si="6"/>
        <v>4.7161847197501556E-5</v>
      </c>
      <c r="W39" s="8">
        <v>1.5488410542643014</v>
      </c>
      <c r="X39" s="8">
        <v>1.1306541248926023</v>
      </c>
      <c r="Y39" s="8"/>
      <c r="Z39" s="8"/>
      <c r="AA39" s="8"/>
      <c r="AB39" s="1"/>
      <c r="AC39" s="1"/>
      <c r="AD39" s="1"/>
      <c r="AE39" s="1"/>
      <c r="AF39" s="1"/>
      <c r="BA39" s="36">
        <f>0.006732324*O39+0.95415593</f>
        <v>1.1224640299999999</v>
      </c>
      <c r="BB39" s="36">
        <f t="shared" si="7"/>
        <v>1.5362077038435775</v>
      </c>
      <c r="BC39" s="36">
        <f t="shared" si="16"/>
        <v>4.4922778385318353E-5</v>
      </c>
      <c r="BD39" s="36">
        <f t="shared" si="14"/>
        <v>2.3135230868438956E-6</v>
      </c>
      <c r="BE39" s="37">
        <f t="shared" si="12"/>
        <v>0.2857142857142857</v>
      </c>
      <c r="BF39" s="8"/>
      <c r="BG39" s="8" t="e">
        <f t="shared" ca="1" si="17"/>
        <v>#NAME?</v>
      </c>
      <c r="BH39" s="8" t="e">
        <f t="shared" ca="1" si="18"/>
        <v>#NAME?</v>
      </c>
      <c r="BI39" s="8" t="e">
        <f t="shared" ca="1" si="15"/>
        <v>#NAME?</v>
      </c>
      <c r="BJ39" s="8">
        <f t="shared" si="8"/>
        <v>0.2857142857142857</v>
      </c>
    </row>
    <row r="40" spans="1:62" x14ac:dyDescent="0.3">
      <c r="A40" s="8">
        <v>39</v>
      </c>
      <c r="B40" s="16" t="s">
        <v>82</v>
      </c>
      <c r="C40" s="17">
        <v>3</v>
      </c>
      <c r="D40" s="17">
        <v>55</v>
      </c>
      <c r="E40" s="17">
        <v>80</v>
      </c>
      <c r="F40" s="17">
        <v>1965</v>
      </c>
      <c r="G40" s="9">
        <v>4</v>
      </c>
      <c r="H40" s="17">
        <v>3</v>
      </c>
      <c r="I40" s="9" t="s">
        <v>37</v>
      </c>
      <c r="J40" s="9" t="s">
        <v>36</v>
      </c>
      <c r="K40" s="17" t="s">
        <v>37</v>
      </c>
      <c r="L40" s="9" t="s">
        <v>37</v>
      </c>
      <c r="M40" s="24">
        <v>3</v>
      </c>
      <c r="N40" s="9">
        <f t="shared" si="5"/>
        <v>52</v>
      </c>
      <c r="O40" s="23">
        <f t="shared" si="19"/>
        <v>25</v>
      </c>
      <c r="P40" s="10"/>
      <c r="Q40" s="29">
        <v>1</v>
      </c>
      <c r="R40" s="29">
        <v>1</v>
      </c>
      <c r="S40" s="29">
        <v>1</v>
      </c>
      <c r="T40" s="29">
        <v>1</v>
      </c>
      <c r="U40" s="9" t="s">
        <v>14</v>
      </c>
      <c r="V40" s="8">
        <f t="shared" si="6"/>
        <v>3.9914423476067314E-5</v>
      </c>
      <c r="W40" s="8">
        <v>1.4925718869754561</v>
      </c>
      <c r="X40" s="8">
        <v>1.0936479111623385</v>
      </c>
      <c r="Y40" s="8"/>
      <c r="Z40" s="8"/>
      <c r="AA40" s="8"/>
      <c r="AB40" s="1"/>
      <c r="AC40" s="1"/>
      <c r="AD40" s="1"/>
      <c r="AE40" s="1"/>
      <c r="AF40" s="1"/>
      <c r="BA40" s="36">
        <f>0.006732324*O40+0.95415593</f>
        <v>1.1224640299999999</v>
      </c>
      <c r="BB40" s="36">
        <f t="shared" si="7"/>
        <v>1.5362077038435775</v>
      </c>
      <c r="BC40" s="36">
        <f t="shared" si="16"/>
        <v>4.7425188784425064E-5</v>
      </c>
      <c r="BD40" s="36">
        <f t="shared" si="14"/>
        <v>2.6083853831433784E-6</v>
      </c>
      <c r="BE40" s="37">
        <f t="shared" si="12"/>
        <v>0.33333333333333331</v>
      </c>
      <c r="BF40" s="8"/>
      <c r="BG40" s="8" t="e">
        <f t="shared" ca="1" si="17"/>
        <v>#NAME?</v>
      </c>
      <c r="BH40" s="8" t="e">
        <f t="shared" ca="1" si="18"/>
        <v>#NAME?</v>
      </c>
      <c r="BI40" s="8" t="e">
        <f t="shared" ca="1" si="15"/>
        <v>#NAME?</v>
      </c>
      <c r="BJ40" s="8">
        <f t="shared" si="8"/>
        <v>0.33333333333333331</v>
      </c>
    </row>
    <row r="41" spans="1:62" ht="31.2" x14ac:dyDescent="0.3">
      <c r="A41" s="8">
        <v>40</v>
      </c>
      <c r="B41" s="16" t="s">
        <v>83</v>
      </c>
      <c r="C41" s="17">
        <v>6</v>
      </c>
      <c r="D41" s="17">
        <v>101</v>
      </c>
      <c r="E41" s="17">
        <v>600</v>
      </c>
      <c r="F41" s="17">
        <v>1977</v>
      </c>
      <c r="G41" s="9">
        <v>8</v>
      </c>
      <c r="H41" s="17">
        <v>6.5</v>
      </c>
      <c r="I41" s="9" t="s">
        <v>37</v>
      </c>
      <c r="J41" s="9" t="s">
        <v>36</v>
      </c>
      <c r="K41" s="17" t="s">
        <v>37</v>
      </c>
      <c r="L41" s="9" t="s">
        <v>37</v>
      </c>
      <c r="M41" s="24">
        <v>5</v>
      </c>
      <c r="N41" s="9">
        <f t="shared" si="5"/>
        <v>40</v>
      </c>
      <c r="O41" s="23">
        <f t="shared" si="19"/>
        <v>18.75</v>
      </c>
      <c r="P41" s="10"/>
      <c r="Q41" s="29">
        <v>1</v>
      </c>
      <c r="R41" s="29">
        <v>1</v>
      </c>
      <c r="S41" s="29">
        <v>1</v>
      </c>
      <c r="T41" s="29">
        <v>1</v>
      </c>
      <c r="U41" s="9" t="s">
        <v>14</v>
      </c>
      <c r="V41" s="8">
        <f t="shared" si="6"/>
        <v>2.8256250282562503E-5</v>
      </c>
      <c r="W41" s="8">
        <v>1.4339660666967486</v>
      </c>
      <c r="X41" s="8">
        <v>1.0535912590660028</v>
      </c>
      <c r="Y41" s="8"/>
      <c r="Z41" s="8"/>
      <c r="AA41" s="8"/>
      <c r="AB41" s="1"/>
      <c r="AC41" s="1"/>
      <c r="AD41" s="1"/>
      <c r="AE41" s="1"/>
      <c r="AF41" s="1"/>
      <c r="BA41" s="36">
        <f>0.006732324*O41+0.95415593</f>
        <v>1.080387005</v>
      </c>
      <c r="BB41" s="36">
        <f t="shared" si="7"/>
        <v>1.4729096886600936</v>
      </c>
      <c r="BC41" s="36">
        <f t="shared" si="16"/>
        <v>3.2621546609490565E-5</v>
      </c>
      <c r="BD41" s="36">
        <f t="shared" si="14"/>
        <v>3.294776207558547E-6</v>
      </c>
      <c r="BE41" s="37">
        <f t="shared" si="12"/>
        <v>0.2</v>
      </c>
      <c r="BF41" s="8"/>
      <c r="BG41" s="8" t="e">
        <f t="shared" ca="1" si="17"/>
        <v>#NAME?</v>
      </c>
      <c r="BH41" s="8" t="e">
        <f t="shared" ca="1" si="18"/>
        <v>#NAME?</v>
      </c>
      <c r="BI41" s="8" t="e">
        <f t="shared" ca="1" si="15"/>
        <v>#NAME?</v>
      </c>
      <c r="BJ41" s="8">
        <f t="shared" si="8"/>
        <v>0.2</v>
      </c>
    </row>
    <row r="42" spans="1:62" ht="31.2" x14ac:dyDescent="0.3">
      <c r="A42" s="8">
        <v>41</v>
      </c>
      <c r="B42" s="16" t="s">
        <v>84</v>
      </c>
      <c r="C42" s="17">
        <v>1</v>
      </c>
      <c r="D42" s="17" t="s">
        <v>44</v>
      </c>
      <c r="E42" s="17">
        <v>400</v>
      </c>
      <c r="F42" s="17">
        <v>1970</v>
      </c>
      <c r="G42" s="9">
        <v>9</v>
      </c>
      <c r="H42" s="17">
        <v>6.5</v>
      </c>
      <c r="I42" s="9" t="s">
        <v>37</v>
      </c>
      <c r="J42" s="9" t="s">
        <v>36</v>
      </c>
      <c r="K42" s="17" t="s">
        <v>37</v>
      </c>
      <c r="L42" s="9" t="s">
        <v>37</v>
      </c>
      <c r="M42" s="24">
        <v>4</v>
      </c>
      <c r="N42" s="9">
        <f t="shared" si="5"/>
        <v>47</v>
      </c>
      <c r="O42" s="23">
        <f t="shared" si="19"/>
        <v>27.777777777777771</v>
      </c>
      <c r="P42" s="10"/>
      <c r="Q42" s="29">
        <v>1</v>
      </c>
      <c r="R42" s="29">
        <v>1</v>
      </c>
      <c r="S42" s="29">
        <v>1</v>
      </c>
      <c r="T42" s="29">
        <v>1</v>
      </c>
      <c r="U42" s="9" t="s">
        <v>14</v>
      </c>
      <c r="V42" s="8">
        <f>1000/(100*N42*8760)</f>
        <v>2.4288351306713299E-5</v>
      </c>
      <c r="W42" s="8">
        <v>1.3764870442456556</v>
      </c>
      <c r="X42" s="8">
        <v>1.0126818140171248</v>
      </c>
      <c r="Y42" s="8"/>
      <c r="Z42" s="8"/>
      <c r="AA42" s="8"/>
      <c r="AB42" s="1"/>
      <c r="AC42" s="1"/>
      <c r="AD42" s="1"/>
      <c r="AE42" s="1"/>
      <c r="AF42" s="1"/>
      <c r="BA42" s="36">
        <f>0.006732324*O42+0.95415593</f>
        <v>1.14116493</v>
      </c>
      <c r="BB42" s="36">
        <f t="shared" si="7"/>
        <v>1.5652064769455054</v>
      </c>
      <c r="BC42" s="36">
        <f t="shared" si="16"/>
        <v>5.0229099824245248E-5</v>
      </c>
      <c r="BD42" s="36">
        <f>BC42*100/1000</f>
        <v>5.0229099824245242E-6</v>
      </c>
      <c r="BE42" s="37">
        <f t="shared" si="12"/>
        <v>0.25</v>
      </c>
      <c r="BF42" s="8"/>
      <c r="BG42" s="8" t="e">
        <f t="shared" ca="1" si="17"/>
        <v>#NAME?</v>
      </c>
      <c r="BH42" s="8" t="e">
        <f t="shared" ca="1" si="18"/>
        <v>#NAME?</v>
      </c>
      <c r="BI42" s="8" t="e">
        <f ca="1">BH42*100/1000</f>
        <v>#NAME?</v>
      </c>
      <c r="BJ42" s="8">
        <f t="shared" si="8"/>
        <v>0.25</v>
      </c>
    </row>
    <row r="43" spans="1:62" ht="31.2" x14ac:dyDescent="0.3">
      <c r="A43" s="8">
        <v>42</v>
      </c>
      <c r="B43" s="16" t="s">
        <v>85</v>
      </c>
      <c r="C43" s="17">
        <v>8</v>
      </c>
      <c r="D43" s="17">
        <v>318</v>
      </c>
      <c r="E43" s="17">
        <v>300</v>
      </c>
      <c r="F43" s="17">
        <v>1970</v>
      </c>
      <c r="G43" s="9">
        <v>9</v>
      </c>
      <c r="H43" s="17">
        <v>6.5</v>
      </c>
      <c r="I43" s="9" t="s">
        <v>37</v>
      </c>
      <c r="J43" s="9" t="s">
        <v>36</v>
      </c>
      <c r="K43" s="17" t="s">
        <v>37</v>
      </c>
      <c r="L43" s="9" t="s">
        <v>37</v>
      </c>
      <c r="M43" s="24">
        <v>3.5</v>
      </c>
      <c r="N43" s="9">
        <f t="shared" si="5"/>
        <v>47</v>
      </c>
      <c r="O43" s="23">
        <f t="shared" si="19"/>
        <v>27.777777777777771</v>
      </c>
      <c r="P43" s="10"/>
      <c r="Q43" s="29">
        <v>1</v>
      </c>
      <c r="R43" s="29">
        <v>1</v>
      </c>
      <c r="S43" s="29">
        <v>1</v>
      </c>
      <c r="T43" s="29">
        <v>1</v>
      </c>
      <c r="U43" s="9" t="s">
        <v>14</v>
      </c>
      <c r="V43" s="8">
        <f t="shared" si="6"/>
        <v>7.6378463228658177E-6</v>
      </c>
      <c r="W43" s="8">
        <v>1.0760099414254281</v>
      </c>
      <c r="X43" s="8">
        <v>0.76640688149981928</v>
      </c>
      <c r="Y43" s="8"/>
      <c r="Z43" s="8"/>
      <c r="AA43" s="8"/>
      <c r="AB43" s="1"/>
      <c r="AC43" s="1"/>
      <c r="AD43" s="1"/>
      <c r="AE43" s="1"/>
      <c r="AF43" s="1"/>
      <c r="BA43" s="36">
        <f>0.006732324*O43+0.95415593</f>
        <v>1.14116493</v>
      </c>
      <c r="BB43" s="36">
        <f t="shared" si="7"/>
        <v>1.5652064769455054</v>
      </c>
      <c r="BC43" s="36">
        <f t="shared" si="16"/>
        <v>5.0229099824245248E-5</v>
      </c>
      <c r="BD43" s="36">
        <f>BC43*D43/1000</f>
        <v>1.5972853744109986E-5</v>
      </c>
      <c r="BE43" s="37">
        <f t="shared" si="12"/>
        <v>0.2857142857142857</v>
      </c>
      <c r="BF43" s="8"/>
      <c r="BG43" s="8" t="e">
        <f t="shared" ca="1" si="17"/>
        <v>#NAME?</v>
      </c>
      <c r="BH43" s="8" t="e">
        <f t="shared" ca="1" si="18"/>
        <v>#NAME?</v>
      </c>
      <c r="BI43" s="8" t="e">
        <f ca="1">BH43*D43/1000</f>
        <v>#NAME?</v>
      </c>
      <c r="BJ43" s="8">
        <f t="shared" si="8"/>
        <v>0.2857142857142857</v>
      </c>
    </row>
    <row r="44" spans="1:62" x14ac:dyDescent="0.3">
      <c r="A44" s="8">
        <v>43</v>
      </c>
      <c r="B44" s="16" t="s">
        <v>86</v>
      </c>
      <c r="C44" s="17">
        <v>22</v>
      </c>
      <c r="D44" s="17">
        <v>349</v>
      </c>
      <c r="E44" s="17">
        <v>300</v>
      </c>
      <c r="F44" s="17">
        <v>1974</v>
      </c>
      <c r="G44" s="9">
        <v>9</v>
      </c>
      <c r="H44" s="17">
        <v>6.5</v>
      </c>
      <c r="I44" s="9" t="s">
        <v>37</v>
      </c>
      <c r="J44" s="9" t="s">
        <v>36</v>
      </c>
      <c r="K44" s="17" t="s">
        <v>35</v>
      </c>
      <c r="L44" s="9" t="s">
        <v>37</v>
      </c>
      <c r="M44" s="24">
        <v>4</v>
      </c>
      <c r="N44" s="9">
        <f t="shared" si="5"/>
        <v>43</v>
      </c>
      <c r="O44" s="23">
        <f t="shared" si="19"/>
        <v>27.777777777777771</v>
      </c>
      <c r="P44" s="10"/>
      <c r="Q44" s="32">
        <v>1</v>
      </c>
      <c r="R44" s="32">
        <v>1</v>
      </c>
      <c r="S44" s="32"/>
      <c r="T44" s="32">
        <v>1</v>
      </c>
      <c r="U44" s="9" t="s">
        <v>60</v>
      </c>
      <c r="V44" s="8">
        <f t="shared" si="6"/>
        <v>7.6068002359933704E-6</v>
      </c>
      <c r="W44" s="8">
        <v>1.0767245643419499</v>
      </c>
      <c r="X44" s="8">
        <v>0.76707080261118465</v>
      </c>
      <c r="Y44" s="8"/>
      <c r="Z44" s="8"/>
      <c r="AA44" s="8"/>
      <c r="AB44" s="1"/>
      <c r="AC44" s="1"/>
      <c r="AD44" s="1"/>
      <c r="AE44" s="1"/>
      <c r="AF44" s="1"/>
      <c r="BA44" s="36">
        <f>0.004939237*O44+0.949185949</f>
        <v>1.0863869767777776</v>
      </c>
      <c r="BB44" s="36">
        <f t="shared" si="7"/>
        <v>1.4817736704518851</v>
      </c>
      <c r="BC44" s="36">
        <f t="shared" si="16"/>
        <v>3.4900925932800662E-5</v>
      </c>
      <c r="BD44" s="36">
        <f>BC44*D44/1000</f>
        <v>1.2180423150547432E-5</v>
      </c>
      <c r="BE44" s="37">
        <f t="shared" si="12"/>
        <v>0.25</v>
      </c>
      <c r="BF44" s="8"/>
      <c r="BG44" s="8" t="e">
        <f t="shared" ca="1" si="17"/>
        <v>#NAME?</v>
      </c>
      <c r="BH44" s="8" t="e">
        <f t="shared" ca="1" si="18"/>
        <v>#NAME?</v>
      </c>
      <c r="BI44" s="8" t="e">
        <f ca="1">BH44*D44/1000</f>
        <v>#NAME?</v>
      </c>
      <c r="BJ44" s="8">
        <f t="shared" si="8"/>
        <v>0.25</v>
      </c>
    </row>
    <row r="45" spans="1:62" ht="31.2" x14ac:dyDescent="0.3">
      <c r="A45" s="8">
        <v>44</v>
      </c>
      <c r="B45" s="16" t="s">
        <v>87</v>
      </c>
      <c r="C45" s="17">
        <v>7</v>
      </c>
      <c r="D45" s="17">
        <v>103.5</v>
      </c>
      <c r="E45" s="17">
        <v>700</v>
      </c>
      <c r="F45" s="17">
        <v>1977</v>
      </c>
      <c r="G45" s="9">
        <v>9</v>
      </c>
      <c r="H45" s="17">
        <v>8</v>
      </c>
      <c r="I45" s="9" t="s">
        <v>37</v>
      </c>
      <c r="J45" s="9" t="s">
        <v>36</v>
      </c>
      <c r="K45" s="17" t="s">
        <v>35</v>
      </c>
      <c r="L45" s="9" t="s">
        <v>37</v>
      </c>
      <c r="M45" s="24">
        <v>34</v>
      </c>
      <c r="N45" s="9">
        <f t="shared" si="5"/>
        <v>40</v>
      </c>
      <c r="O45" s="23">
        <f t="shared" si="19"/>
        <v>11.111111111111114</v>
      </c>
      <c r="P45" s="10"/>
      <c r="Q45" s="32">
        <v>1</v>
      </c>
      <c r="R45" s="32">
        <v>1</v>
      </c>
      <c r="S45" s="32"/>
      <c r="T45" s="32">
        <v>1</v>
      </c>
      <c r="U45" s="9" t="s">
        <v>60</v>
      </c>
      <c r="V45" s="8">
        <f t="shared" si="6"/>
        <v>2.7573732159795294E-5</v>
      </c>
      <c r="W45" s="8">
        <v>1.4273377406242076</v>
      </c>
      <c r="X45" s="8">
        <v>1.0489581698342472</v>
      </c>
      <c r="Y45" s="8"/>
      <c r="Z45" s="8"/>
      <c r="AA45" s="8"/>
      <c r="AB45" s="1"/>
      <c r="AC45" s="1"/>
      <c r="AD45" s="1"/>
      <c r="AE45" s="1"/>
      <c r="AF45" s="1"/>
      <c r="BA45" s="36">
        <f>0.004939237*O45+0.949185949</f>
        <v>1.0040663601111111</v>
      </c>
      <c r="BB45" s="36">
        <f t="shared" si="7"/>
        <v>1.364678922765985</v>
      </c>
      <c r="BC45" s="36">
        <f t="shared" si="16"/>
        <v>2.1883277493695337E-5</v>
      </c>
      <c r="BD45" s="36">
        <f>BC45*D45/1000</f>
        <v>2.2649192205974674E-6</v>
      </c>
      <c r="BE45" s="37">
        <f t="shared" si="12"/>
        <v>2.9411764705882353E-2</v>
      </c>
      <c r="BF45" s="8"/>
      <c r="BG45" s="8" t="e">
        <f t="shared" ca="1" si="17"/>
        <v>#NAME?</v>
      </c>
      <c r="BH45" s="8" t="e">
        <f t="shared" ca="1" si="18"/>
        <v>#NAME?</v>
      </c>
      <c r="BI45" s="8" t="e">
        <f ca="1">BH45*D45/1000</f>
        <v>#NAME?</v>
      </c>
      <c r="BJ45" s="8">
        <f t="shared" si="8"/>
        <v>2.9411764705882353E-2</v>
      </c>
    </row>
    <row r="46" spans="1:62" ht="31.2" x14ac:dyDescent="0.3">
      <c r="A46" s="8">
        <v>45</v>
      </c>
      <c r="B46" s="16" t="s">
        <v>88</v>
      </c>
      <c r="C46" s="17">
        <v>1</v>
      </c>
      <c r="D46" s="17" t="s">
        <v>44</v>
      </c>
      <c r="E46" s="17">
        <v>200</v>
      </c>
      <c r="F46" s="17">
        <v>1967</v>
      </c>
      <c r="G46" s="9">
        <v>6</v>
      </c>
      <c r="H46" s="17">
        <v>3</v>
      </c>
      <c r="I46" s="9" t="s">
        <v>37</v>
      </c>
      <c r="J46" s="9" t="s">
        <v>36</v>
      </c>
      <c r="K46" s="17" t="s">
        <v>37</v>
      </c>
      <c r="L46" s="9" t="s">
        <v>37</v>
      </c>
      <c r="M46" s="24">
        <v>3</v>
      </c>
      <c r="N46" s="9">
        <f t="shared" si="5"/>
        <v>50</v>
      </c>
      <c r="O46" s="23">
        <f t="shared" si="19"/>
        <v>50</v>
      </c>
      <c r="P46" s="10"/>
      <c r="Q46" s="29">
        <v>1</v>
      </c>
      <c r="R46" s="29">
        <v>1</v>
      </c>
      <c r="S46" s="29">
        <v>1</v>
      </c>
      <c r="T46" s="29">
        <v>1</v>
      </c>
      <c r="U46" s="9" t="s">
        <v>14</v>
      </c>
      <c r="V46" s="8">
        <f>1000/(100*N46*8760)</f>
        <v>2.2831050228310503E-5</v>
      </c>
      <c r="W46" s="8">
        <v>1.3547155231024421</v>
      </c>
      <c r="X46" s="8">
        <v>0.99673866679999434</v>
      </c>
      <c r="Y46" s="8"/>
      <c r="Z46" s="8"/>
      <c r="AA46" s="8"/>
      <c r="AB46" s="1"/>
      <c r="AC46" s="1"/>
      <c r="AD46" s="1"/>
      <c r="AE46" s="1"/>
      <c r="AF46" s="1"/>
      <c r="BA46" s="36">
        <f>0.006732324*O46+0.95415593</f>
        <v>1.2907721299999999</v>
      </c>
      <c r="BB46" s="36">
        <f t="shared" si="7"/>
        <v>1.8177963112104096</v>
      </c>
      <c r="BC46" s="36">
        <f t="shared" si="16"/>
        <v>1.3972890577272236E-4</v>
      </c>
      <c r="BD46" s="36">
        <f>BC46*100/1000</f>
        <v>1.3972890577272234E-5</v>
      </c>
      <c r="BE46" s="37">
        <f t="shared" si="12"/>
        <v>0.33333333333333331</v>
      </c>
      <c r="BF46" s="8"/>
      <c r="BG46" s="8" t="e">
        <f t="shared" ca="1" si="17"/>
        <v>#NAME?</v>
      </c>
      <c r="BH46" s="8" t="e">
        <f t="shared" ca="1" si="18"/>
        <v>#NAME?</v>
      </c>
      <c r="BI46" s="8" t="e">
        <f ca="1">BH46*100/1000</f>
        <v>#NAME?</v>
      </c>
      <c r="BJ46" s="8">
        <f t="shared" si="8"/>
        <v>0.33333333333333331</v>
      </c>
    </row>
    <row r="47" spans="1:62" x14ac:dyDescent="0.3">
      <c r="A47" s="8">
        <v>46</v>
      </c>
      <c r="B47" s="19" t="s">
        <v>89</v>
      </c>
      <c r="C47" s="20">
        <v>3</v>
      </c>
      <c r="D47" s="20">
        <v>30</v>
      </c>
      <c r="E47" s="20">
        <v>57</v>
      </c>
      <c r="F47" s="20">
        <v>1989</v>
      </c>
      <c r="G47" s="18">
        <v>3.5</v>
      </c>
      <c r="H47" s="20">
        <v>1.4</v>
      </c>
      <c r="I47" s="20" t="s">
        <v>35</v>
      </c>
      <c r="J47" s="18" t="s">
        <v>36</v>
      </c>
      <c r="K47" s="20" t="s">
        <v>37</v>
      </c>
      <c r="L47" s="20" t="s">
        <v>37</v>
      </c>
      <c r="M47" s="25">
        <v>3</v>
      </c>
      <c r="N47" s="9">
        <f t="shared" si="5"/>
        <v>28</v>
      </c>
      <c r="O47" s="23">
        <f t="shared" si="19"/>
        <v>60</v>
      </c>
      <c r="P47" s="10"/>
      <c r="Q47" s="28"/>
      <c r="R47" s="28">
        <v>1</v>
      </c>
      <c r="S47" s="28">
        <v>1</v>
      </c>
      <c r="T47" s="28">
        <v>1</v>
      </c>
      <c r="U47" s="9" t="s">
        <v>38</v>
      </c>
      <c r="V47" s="8">
        <f t="shared" si="6"/>
        <v>1.3589910850184822E-4</v>
      </c>
      <c r="W47" s="8">
        <v>1.9517562852621428</v>
      </c>
      <c r="X47" s="8">
        <v>1.3618768068943468</v>
      </c>
      <c r="Y47" s="8"/>
      <c r="Z47" s="8"/>
      <c r="AA47" s="8"/>
      <c r="AB47" s="1"/>
      <c r="AC47" s="1"/>
      <c r="AD47" s="1"/>
      <c r="AE47" s="1"/>
      <c r="AF47" s="1"/>
      <c r="BA47" s="36">
        <f>0.007037131*O47+0.918138063</f>
        <v>1.340365923</v>
      </c>
      <c r="BB47" s="36">
        <f t="shared" si="7"/>
        <v>1.9102206184692094</v>
      </c>
      <c r="BC47" s="36">
        <f t="shared" si="16"/>
        <v>1.183335610247258E-4</v>
      </c>
      <c r="BD47" s="36">
        <f t="shared" ref="BD47:BD57" si="20">BC47*D47/1000</f>
        <v>3.5500068307417742E-6</v>
      </c>
      <c r="BE47" s="37">
        <f t="shared" si="12"/>
        <v>0.33333333333333331</v>
      </c>
      <c r="BF47" s="8"/>
      <c r="BG47" s="8" t="e">
        <f t="shared" ca="1" si="17"/>
        <v>#NAME?</v>
      </c>
      <c r="BH47" s="8" t="e">
        <f t="shared" ca="1" si="18"/>
        <v>#NAME?</v>
      </c>
      <c r="BI47" s="8" t="e">
        <f t="shared" ref="BI47:BI57" ca="1" si="21">BH47*D47/1000</f>
        <v>#NAME?</v>
      </c>
      <c r="BJ47" s="8">
        <f t="shared" si="8"/>
        <v>0.33333333333333331</v>
      </c>
    </row>
    <row r="48" spans="1:62" x14ac:dyDescent="0.3">
      <c r="A48" s="8">
        <v>47</v>
      </c>
      <c r="B48" s="19" t="s">
        <v>90</v>
      </c>
      <c r="C48" s="20">
        <v>32</v>
      </c>
      <c r="D48" s="20">
        <v>32</v>
      </c>
      <c r="E48" s="20">
        <v>27</v>
      </c>
      <c r="F48" s="20">
        <v>1987</v>
      </c>
      <c r="G48" s="18">
        <v>2.5</v>
      </c>
      <c r="H48" s="20">
        <v>1.3</v>
      </c>
      <c r="I48" s="20" t="s">
        <v>37</v>
      </c>
      <c r="J48" s="18" t="s">
        <v>36</v>
      </c>
      <c r="K48" s="20" t="s">
        <v>35</v>
      </c>
      <c r="L48" s="20" t="s">
        <v>35</v>
      </c>
      <c r="M48" s="25">
        <v>5</v>
      </c>
      <c r="N48" s="9">
        <f t="shared" si="5"/>
        <v>30</v>
      </c>
      <c r="O48" s="23">
        <f t="shared" si="19"/>
        <v>48</v>
      </c>
      <c r="P48" s="10"/>
      <c r="Q48" s="9">
        <v>1</v>
      </c>
      <c r="R48" s="9">
        <v>1</v>
      </c>
      <c r="S48" s="9"/>
      <c r="T48" s="9"/>
      <c r="U48" s="9" t="s">
        <v>91</v>
      </c>
      <c r="V48" s="8">
        <f t="shared" si="6"/>
        <v>1.1891171993911719E-4</v>
      </c>
      <c r="W48" s="8">
        <v>1.8931899130855403</v>
      </c>
      <c r="X48" s="8">
        <v>1.3314103716248329</v>
      </c>
      <c r="Y48" s="8"/>
      <c r="Z48" s="8"/>
      <c r="AA48" s="8"/>
      <c r="AB48" s="1"/>
      <c r="AC48" s="1"/>
      <c r="AD48" s="1"/>
      <c r="AE48" s="1"/>
      <c r="AF48" s="1"/>
      <c r="BA48" s="36">
        <f>0.006413391*O48+0.973</f>
        <v>1.2808427679999999</v>
      </c>
      <c r="BB48" s="36">
        <f t="shared" si="7"/>
        <v>1.7998360680336509</v>
      </c>
      <c r="BC48" s="36">
        <f t="shared" si="16"/>
        <v>8.6562484316075636E-5</v>
      </c>
      <c r="BD48" s="36">
        <f t="shared" si="20"/>
        <v>2.7699994981144204E-6</v>
      </c>
      <c r="BE48" s="37">
        <f t="shared" si="12"/>
        <v>0.2</v>
      </c>
      <c r="BF48" s="8"/>
      <c r="BG48" s="8" t="e">
        <f t="shared" ca="1" si="17"/>
        <v>#NAME?</v>
      </c>
      <c r="BH48" s="8" t="e">
        <f t="shared" ca="1" si="18"/>
        <v>#NAME?</v>
      </c>
      <c r="BI48" s="8" t="e">
        <f t="shared" ca="1" si="21"/>
        <v>#NAME?</v>
      </c>
      <c r="BJ48" s="8">
        <f t="shared" si="8"/>
        <v>0.2</v>
      </c>
    </row>
    <row r="49" spans="1:62" x14ac:dyDescent="0.3">
      <c r="A49" s="8">
        <v>48</v>
      </c>
      <c r="B49" s="19" t="s">
        <v>92</v>
      </c>
      <c r="C49" s="20">
        <v>25</v>
      </c>
      <c r="D49" s="20">
        <v>25</v>
      </c>
      <c r="E49" s="20">
        <v>159</v>
      </c>
      <c r="F49" s="20">
        <v>2007</v>
      </c>
      <c r="G49" s="18">
        <v>4.5</v>
      </c>
      <c r="H49" s="20">
        <v>1.8</v>
      </c>
      <c r="I49" s="20" t="s">
        <v>35</v>
      </c>
      <c r="J49" s="18" t="s">
        <v>36</v>
      </c>
      <c r="K49" s="20" t="s">
        <v>37</v>
      </c>
      <c r="L49" s="20" t="s">
        <v>37</v>
      </c>
      <c r="M49" s="25">
        <v>3</v>
      </c>
      <c r="N49" s="9">
        <f t="shared" si="5"/>
        <v>10</v>
      </c>
      <c r="O49" s="23">
        <f t="shared" si="19"/>
        <v>60</v>
      </c>
      <c r="P49" s="10"/>
      <c r="Q49" s="28"/>
      <c r="R49" s="28">
        <v>1</v>
      </c>
      <c r="S49" s="28">
        <v>1</v>
      </c>
      <c r="T49" s="28">
        <v>1</v>
      </c>
      <c r="U49" s="9" t="s">
        <v>38</v>
      </c>
      <c r="V49" s="8">
        <f t="shared" si="6"/>
        <v>4.5662100456621003E-4</v>
      </c>
      <c r="W49" s="8">
        <v>2.90368102948739</v>
      </c>
      <c r="X49" s="8">
        <v>1.7591264331590353</v>
      </c>
      <c r="Y49" s="8"/>
      <c r="Z49" s="8"/>
      <c r="AA49" s="8"/>
      <c r="AB49" s="1"/>
      <c r="AC49" s="1"/>
      <c r="AD49" s="1"/>
      <c r="AE49" s="1"/>
      <c r="AF49" s="1"/>
      <c r="BA49" s="36">
        <f>0.007037131*O49+0.918138063</f>
        <v>1.340365923</v>
      </c>
      <c r="BB49" s="36">
        <f t="shared" si="7"/>
        <v>1.9102206184692094</v>
      </c>
      <c r="BC49" s="36">
        <f t="shared" si="16"/>
        <v>4.6354881387190111E-5</v>
      </c>
      <c r="BD49" s="36">
        <f t="shared" si="20"/>
        <v>1.1588720346797529E-6</v>
      </c>
      <c r="BE49" s="37">
        <f t="shared" si="12"/>
        <v>0.33333333333333331</v>
      </c>
      <c r="BF49" s="8"/>
      <c r="BG49" s="8" t="e">
        <f t="shared" ca="1" si="17"/>
        <v>#NAME?</v>
      </c>
      <c r="BH49" s="8" t="e">
        <f t="shared" ca="1" si="18"/>
        <v>#NAME?</v>
      </c>
      <c r="BI49" s="8" t="e">
        <f t="shared" ca="1" si="21"/>
        <v>#NAME?</v>
      </c>
      <c r="BJ49" s="8">
        <f t="shared" si="8"/>
        <v>0.33333333333333331</v>
      </c>
    </row>
    <row r="50" spans="1:62" x14ac:dyDescent="0.3">
      <c r="A50" s="8">
        <v>49</v>
      </c>
      <c r="B50" s="19" t="s">
        <v>93</v>
      </c>
      <c r="C50" s="20">
        <v>4</v>
      </c>
      <c r="D50" s="20">
        <v>30</v>
      </c>
      <c r="E50" s="20">
        <v>108</v>
      </c>
      <c r="F50" s="20">
        <v>2012</v>
      </c>
      <c r="G50" s="18">
        <v>4</v>
      </c>
      <c r="H50" s="20">
        <v>1.4</v>
      </c>
      <c r="I50" s="20" t="s">
        <v>35</v>
      </c>
      <c r="J50" s="18" t="s">
        <v>36</v>
      </c>
      <c r="K50" s="20" t="s">
        <v>35</v>
      </c>
      <c r="L50" s="20" t="s">
        <v>35</v>
      </c>
      <c r="M50" s="25">
        <v>3</v>
      </c>
      <c r="N50" s="9">
        <f t="shared" si="5"/>
        <v>5</v>
      </c>
      <c r="O50" s="23">
        <f t="shared" si="19"/>
        <v>65</v>
      </c>
      <c r="P50" s="10"/>
      <c r="Q50" s="9"/>
      <c r="R50" s="9">
        <v>1</v>
      </c>
      <c r="S50" s="9"/>
      <c r="T50" s="9"/>
      <c r="U50" s="9" t="s">
        <v>94</v>
      </c>
      <c r="V50" s="8">
        <f t="shared" si="6"/>
        <v>7.6103500761035003E-4</v>
      </c>
      <c r="W50" s="8">
        <v>4.0409456284506478</v>
      </c>
      <c r="X50" s="8">
        <v>2.0896259115919071</v>
      </c>
      <c r="Y50" s="8"/>
      <c r="Z50" s="8"/>
      <c r="AA50" s="8"/>
      <c r="AB50" s="1"/>
      <c r="AC50" s="1"/>
      <c r="AD50" s="1"/>
      <c r="AE50" s="1"/>
      <c r="AF50" s="1"/>
      <c r="BA50" s="36">
        <f>0.007037131*O50+0.918138063</f>
        <v>1.3755515780000001</v>
      </c>
      <c r="BB50" s="36">
        <f t="shared" si="7"/>
        <v>1.9786294289913875</v>
      </c>
      <c r="BC50" s="36">
        <f t="shared" si="16"/>
        <v>2.7536419668739459E-5</v>
      </c>
      <c r="BD50" s="36">
        <f t="shared" si="20"/>
        <v>8.2609259006218379E-7</v>
      </c>
      <c r="BE50" s="37">
        <f t="shared" si="12"/>
        <v>0.33333333333333331</v>
      </c>
      <c r="BF50" s="8"/>
      <c r="BG50" s="8" t="e">
        <f t="shared" ca="1" si="17"/>
        <v>#NAME?</v>
      </c>
      <c r="BH50" s="8" t="e">
        <f t="shared" ca="1" si="18"/>
        <v>#NAME?</v>
      </c>
      <c r="BI50" s="8" t="e">
        <f t="shared" ca="1" si="21"/>
        <v>#NAME?</v>
      </c>
      <c r="BJ50" s="8">
        <f t="shared" si="8"/>
        <v>0.33333333333333331</v>
      </c>
    </row>
    <row r="51" spans="1:62" ht="31.2" x14ac:dyDescent="0.3">
      <c r="A51" s="8">
        <v>50</v>
      </c>
      <c r="B51" s="19" t="s">
        <v>95</v>
      </c>
      <c r="C51" s="20">
        <v>20</v>
      </c>
      <c r="D51" s="20">
        <v>80</v>
      </c>
      <c r="E51" s="20">
        <v>110</v>
      </c>
      <c r="F51" s="20">
        <v>1982</v>
      </c>
      <c r="G51" s="9">
        <v>4</v>
      </c>
      <c r="H51" s="20">
        <v>1.2</v>
      </c>
      <c r="I51" s="9" t="s">
        <v>35</v>
      </c>
      <c r="J51" s="9" t="s">
        <v>36</v>
      </c>
      <c r="K51" s="9" t="s">
        <v>37</v>
      </c>
      <c r="L51" s="9" t="s">
        <v>37</v>
      </c>
      <c r="M51" s="22">
        <v>6</v>
      </c>
      <c r="N51" s="9">
        <f t="shared" si="5"/>
        <v>35</v>
      </c>
      <c r="O51" s="23">
        <f t="shared" si="19"/>
        <v>70</v>
      </c>
      <c r="P51" s="10"/>
      <c r="Q51" s="28"/>
      <c r="R51" s="28">
        <v>1</v>
      </c>
      <c r="S51" s="28">
        <v>1</v>
      </c>
      <c r="T51" s="28">
        <v>1</v>
      </c>
      <c r="U51" s="9" t="s">
        <v>38</v>
      </c>
      <c r="V51" s="8">
        <f t="shared" si="6"/>
        <v>4.0769732550554466E-5</v>
      </c>
      <c r="W51" s="8">
        <v>1.5533842954289985</v>
      </c>
      <c r="X51" s="8">
        <v>1.1335831477073057</v>
      </c>
      <c r="Y51" s="8"/>
      <c r="Z51" s="8"/>
      <c r="AA51" s="8"/>
      <c r="AB51" s="1"/>
      <c r="AC51" s="1"/>
      <c r="AD51" s="1"/>
      <c r="AE51" s="1"/>
      <c r="AF51" s="1"/>
      <c r="BA51" s="36">
        <f>0.007037131*O51+0.918138063</f>
        <v>1.4107372330000001</v>
      </c>
      <c r="BB51" s="36">
        <f t="shared" si="7"/>
        <v>2.0494880954683241</v>
      </c>
      <c r="BC51" s="36">
        <f t="shared" si="16"/>
        <v>2.3787888096316726E-4</v>
      </c>
      <c r="BD51" s="36">
        <f t="shared" si="20"/>
        <v>1.9030310477053381E-5</v>
      </c>
      <c r="BE51" s="37">
        <f t="shared" si="12"/>
        <v>0.16666666666666666</v>
      </c>
      <c r="BF51" s="8"/>
      <c r="BG51" s="8" t="e">
        <f t="shared" ca="1" si="17"/>
        <v>#NAME?</v>
      </c>
      <c r="BH51" s="8" t="e">
        <f t="shared" ca="1" si="18"/>
        <v>#NAME?</v>
      </c>
      <c r="BI51" s="8" t="e">
        <f t="shared" ca="1" si="21"/>
        <v>#NAME?</v>
      </c>
      <c r="BJ51" s="8">
        <f t="shared" si="8"/>
        <v>0.16666666666666666</v>
      </c>
    </row>
    <row r="52" spans="1:62" x14ac:dyDescent="0.3">
      <c r="A52" s="8">
        <v>51</v>
      </c>
      <c r="B52" s="19" t="s">
        <v>96</v>
      </c>
      <c r="C52" s="20">
        <v>10</v>
      </c>
      <c r="D52" s="20">
        <v>200</v>
      </c>
      <c r="E52" s="20">
        <v>100</v>
      </c>
      <c r="F52" s="20">
        <v>1970</v>
      </c>
      <c r="G52" s="18">
        <v>4</v>
      </c>
      <c r="H52" s="18">
        <v>1.25</v>
      </c>
      <c r="I52" s="18" t="s">
        <v>35</v>
      </c>
      <c r="J52" s="18" t="s">
        <v>36</v>
      </c>
      <c r="K52" s="18" t="s">
        <v>35</v>
      </c>
      <c r="L52" s="18" t="s">
        <v>37</v>
      </c>
      <c r="M52" s="26">
        <v>24</v>
      </c>
      <c r="N52" s="9">
        <f t="shared" si="5"/>
        <v>47</v>
      </c>
      <c r="O52" s="23">
        <f t="shared" si="19"/>
        <v>68.75</v>
      </c>
      <c r="P52" s="10"/>
      <c r="Q52" s="30"/>
      <c r="R52" s="30">
        <v>1</v>
      </c>
      <c r="S52" s="30"/>
      <c r="T52" s="30">
        <v>1</v>
      </c>
      <c r="U52" s="9" t="s">
        <v>47</v>
      </c>
      <c r="V52" s="8">
        <f t="shared" si="6"/>
        <v>1.2144175653356649E-5</v>
      </c>
      <c r="W52" s="8">
        <v>1.196455717588963</v>
      </c>
      <c r="X52" s="8">
        <v>0.87251079828645162</v>
      </c>
      <c r="Y52" s="8"/>
      <c r="Z52" s="8"/>
      <c r="AA52" s="8"/>
      <c r="AB52" s="1"/>
      <c r="AC52" s="1"/>
      <c r="AD52" s="1"/>
      <c r="AE52" s="1"/>
      <c r="AF52" s="1"/>
      <c r="BA52" s="36">
        <f>0.007037131*O52+0.918138063</f>
        <v>1.40194081925</v>
      </c>
      <c r="BB52" s="36">
        <f t="shared" si="7"/>
        <v>2.0315390097340558</v>
      </c>
      <c r="BC52" s="36">
        <f t="shared" si="16"/>
        <v>3.0248860859917568E-4</v>
      </c>
      <c r="BD52" s="36">
        <f t="shared" si="20"/>
        <v>6.0497721719835134E-5</v>
      </c>
      <c r="BE52" s="37">
        <f t="shared" si="12"/>
        <v>4.1666666666666664E-2</v>
      </c>
      <c r="BF52" s="8"/>
      <c r="BG52" s="8" t="e">
        <f t="shared" ca="1" si="17"/>
        <v>#NAME?</v>
      </c>
      <c r="BH52" s="8" t="e">
        <f t="shared" ca="1" si="18"/>
        <v>#NAME?</v>
      </c>
      <c r="BI52" s="8" t="e">
        <f t="shared" ca="1" si="21"/>
        <v>#NAME?</v>
      </c>
      <c r="BJ52" s="8">
        <f t="shared" si="8"/>
        <v>4.1666666666666664E-2</v>
      </c>
    </row>
    <row r="53" spans="1:62" x14ac:dyDescent="0.3">
      <c r="A53" s="8">
        <v>52</v>
      </c>
      <c r="B53" s="19" t="s">
        <v>97</v>
      </c>
      <c r="C53" s="20">
        <f>5+10+7</f>
        <v>22</v>
      </c>
      <c r="D53" s="20">
        <v>140</v>
      </c>
      <c r="E53" s="20">
        <v>57</v>
      </c>
      <c r="F53" s="20">
        <v>1976</v>
      </c>
      <c r="G53" s="18">
        <v>3.5</v>
      </c>
      <c r="H53" s="18">
        <v>1.25</v>
      </c>
      <c r="I53" s="18" t="s">
        <v>35</v>
      </c>
      <c r="J53" s="18" t="s">
        <v>36</v>
      </c>
      <c r="K53" s="18" t="s">
        <v>35</v>
      </c>
      <c r="L53" s="18" t="s">
        <v>37</v>
      </c>
      <c r="M53" s="26">
        <f>20/60</f>
        <v>0.33333333333333331</v>
      </c>
      <c r="N53" s="9">
        <f t="shared" si="5"/>
        <v>41</v>
      </c>
      <c r="O53" s="23">
        <f t="shared" si="19"/>
        <v>64.285714285714278</v>
      </c>
      <c r="P53" s="10"/>
      <c r="Q53" s="30"/>
      <c r="R53" s="30">
        <v>1</v>
      </c>
      <c r="S53" s="30"/>
      <c r="T53" s="30">
        <v>1</v>
      </c>
      <c r="U53" s="9" t="s">
        <v>47</v>
      </c>
      <c r="V53" s="8">
        <f t="shared" si="6"/>
        <v>1.988767441490462E-5</v>
      </c>
      <c r="W53" s="8">
        <v>1.3365045746832303</v>
      </c>
      <c r="X53" s="8">
        <v>0.98320486003399932</v>
      </c>
      <c r="Y53" s="8"/>
      <c r="Z53" s="8"/>
      <c r="AA53" s="8"/>
      <c r="AB53" s="1"/>
      <c r="AC53" s="1"/>
      <c r="AD53" s="1"/>
      <c r="AE53" s="1"/>
      <c r="AF53" s="1"/>
      <c r="BA53" s="36">
        <f>0.007037131*O53+0.918138063</f>
        <v>1.3705250558571429</v>
      </c>
      <c r="BB53" s="36">
        <f t="shared" si="7"/>
        <v>1.9687087584769607</v>
      </c>
      <c r="BC53" s="36">
        <f t="shared" si="16"/>
        <v>2.0806196855851781E-4</v>
      </c>
      <c r="BD53" s="36">
        <f t="shared" si="20"/>
        <v>2.9128675598192495E-5</v>
      </c>
      <c r="BE53" s="37">
        <f t="shared" si="12"/>
        <v>3</v>
      </c>
      <c r="BF53" s="8"/>
      <c r="BG53" s="8" t="e">
        <f t="shared" ca="1" si="17"/>
        <v>#NAME?</v>
      </c>
      <c r="BH53" s="8" t="e">
        <f t="shared" ca="1" si="18"/>
        <v>#NAME?</v>
      </c>
      <c r="BI53" s="8" t="e">
        <f t="shared" ca="1" si="21"/>
        <v>#NAME?</v>
      </c>
      <c r="BJ53" s="8">
        <f t="shared" si="8"/>
        <v>3</v>
      </c>
    </row>
    <row r="54" spans="1:62" x14ac:dyDescent="0.3">
      <c r="A54" s="8">
        <v>53</v>
      </c>
      <c r="B54" s="19" t="s">
        <v>98</v>
      </c>
      <c r="C54" s="20">
        <v>15</v>
      </c>
      <c r="D54" s="20">
        <v>173</v>
      </c>
      <c r="E54" s="20">
        <v>150</v>
      </c>
      <c r="F54" s="20">
        <v>1967</v>
      </c>
      <c r="G54" s="9">
        <v>4.5</v>
      </c>
      <c r="H54" s="20">
        <v>2.5</v>
      </c>
      <c r="I54" s="9" t="s">
        <v>35</v>
      </c>
      <c r="J54" s="9" t="s">
        <v>41</v>
      </c>
      <c r="K54" s="9" t="s">
        <v>35</v>
      </c>
      <c r="L54" s="9" t="s">
        <v>35</v>
      </c>
      <c r="M54" s="22">
        <v>4</v>
      </c>
      <c r="N54" s="9">
        <f t="shared" si="5"/>
        <v>50</v>
      </c>
      <c r="O54" s="23">
        <f t="shared" si="19"/>
        <v>44.444444444444443</v>
      </c>
      <c r="P54" s="10"/>
      <c r="Q54" s="9"/>
      <c r="R54" s="9"/>
      <c r="S54" s="9"/>
      <c r="T54" s="9"/>
      <c r="U54" s="9" t="s">
        <v>99</v>
      </c>
      <c r="V54" s="8">
        <f t="shared" si="6"/>
        <v>1.3197138860295088E-5</v>
      </c>
      <c r="W54" s="8">
        <v>1.2146035125776729</v>
      </c>
      <c r="X54" s="8">
        <v>0.88756487699961828</v>
      </c>
      <c r="Y54" s="8"/>
      <c r="Z54" s="8"/>
      <c r="AA54" s="8"/>
      <c r="AB54" s="1"/>
      <c r="AC54" s="1"/>
      <c r="AD54" s="1"/>
      <c r="AE54" s="1"/>
      <c r="AF54" s="1"/>
      <c r="BA54" s="36">
        <f>0.006889744*O54+0.905045926</f>
        <v>1.2112567704444444</v>
      </c>
      <c r="BB54" s="36">
        <f t="shared" si="7"/>
        <v>1.6788509312117643</v>
      </c>
      <c r="BC54" s="36">
        <f t="shared" si="16"/>
        <v>8.1137612670666308E-5</v>
      </c>
      <c r="BD54" s="36">
        <f t="shared" si="20"/>
        <v>1.4036806992025271E-5</v>
      </c>
      <c r="BE54" s="37">
        <f t="shared" si="12"/>
        <v>0.25</v>
      </c>
      <c r="BF54" s="8"/>
      <c r="BG54" s="8" t="e">
        <f t="shared" ca="1" si="17"/>
        <v>#NAME?</v>
      </c>
      <c r="BH54" s="8" t="e">
        <f t="shared" ca="1" si="18"/>
        <v>#NAME?</v>
      </c>
      <c r="BI54" s="8" t="e">
        <f t="shared" ca="1" si="21"/>
        <v>#NAME?</v>
      </c>
      <c r="BJ54" s="8">
        <f t="shared" si="8"/>
        <v>0.25</v>
      </c>
    </row>
    <row r="55" spans="1:62" x14ac:dyDescent="0.3">
      <c r="A55" s="8">
        <v>54</v>
      </c>
      <c r="B55" s="19" t="s">
        <v>100</v>
      </c>
      <c r="C55" s="20">
        <v>3</v>
      </c>
      <c r="D55" s="20">
        <v>40</v>
      </c>
      <c r="E55" s="20">
        <v>40</v>
      </c>
      <c r="F55" s="20">
        <v>1997</v>
      </c>
      <c r="G55" s="9">
        <v>2.5</v>
      </c>
      <c r="H55" s="20">
        <v>1.75</v>
      </c>
      <c r="I55" s="9" t="s">
        <v>35</v>
      </c>
      <c r="J55" s="9" t="s">
        <v>36</v>
      </c>
      <c r="K55" s="9" t="s">
        <v>37</v>
      </c>
      <c r="L55" s="9" t="s">
        <v>37</v>
      </c>
      <c r="M55" s="22">
        <v>3</v>
      </c>
      <c r="N55" s="9">
        <f t="shared" si="5"/>
        <v>20</v>
      </c>
      <c r="O55" s="23">
        <f t="shared" si="19"/>
        <v>30</v>
      </c>
      <c r="P55" s="10"/>
      <c r="Q55" s="28"/>
      <c r="R55" s="28">
        <v>1</v>
      </c>
      <c r="S55" s="28">
        <v>1</v>
      </c>
      <c r="T55" s="28">
        <v>1</v>
      </c>
      <c r="U55" s="9" t="s">
        <v>38</v>
      </c>
      <c r="V55" s="8">
        <f t="shared" si="6"/>
        <v>1.4269406392694063E-4</v>
      </c>
      <c r="W55" s="8">
        <v>2.0749414354999121</v>
      </c>
      <c r="X55" s="8">
        <v>1.4230801099888424</v>
      </c>
      <c r="Y55" s="8"/>
      <c r="Z55" s="8"/>
      <c r="AA55" s="8"/>
      <c r="AB55" s="1"/>
      <c r="AC55" s="1"/>
      <c r="AD55" s="1"/>
      <c r="AE55" s="1"/>
      <c r="AF55" s="1"/>
      <c r="BA55" s="36">
        <f>0.007037131*O55+0.918138063</f>
        <v>1.129251993</v>
      </c>
      <c r="BB55" s="36">
        <f t="shared" si="7"/>
        <v>1.5466708966047182</v>
      </c>
      <c r="BC55" s="36">
        <f t="shared" si="16"/>
        <v>2.9316362956265515E-5</v>
      </c>
      <c r="BD55" s="36">
        <f t="shared" si="20"/>
        <v>1.1726545182506205E-6</v>
      </c>
      <c r="BE55" s="37">
        <f t="shared" si="12"/>
        <v>0.33333333333333331</v>
      </c>
      <c r="BF55" s="8"/>
      <c r="BG55" s="8" t="e">
        <f t="shared" ca="1" si="17"/>
        <v>#NAME?</v>
      </c>
      <c r="BH55" s="8" t="e">
        <f t="shared" ca="1" si="18"/>
        <v>#NAME?</v>
      </c>
      <c r="BI55" s="8" t="e">
        <f t="shared" ca="1" si="21"/>
        <v>#NAME?</v>
      </c>
      <c r="BJ55" s="8">
        <f t="shared" si="8"/>
        <v>0.33333333333333331</v>
      </c>
    </row>
    <row r="56" spans="1:62" x14ac:dyDescent="0.3">
      <c r="A56" s="8">
        <v>55</v>
      </c>
      <c r="B56" s="19" t="s">
        <v>101</v>
      </c>
      <c r="C56" s="20">
        <v>6</v>
      </c>
      <c r="D56" s="20">
        <v>50</v>
      </c>
      <c r="E56" s="20">
        <v>89</v>
      </c>
      <c r="F56" s="20">
        <v>1974</v>
      </c>
      <c r="G56" s="9">
        <v>3.5</v>
      </c>
      <c r="H56" s="20">
        <v>1.75</v>
      </c>
      <c r="I56" s="9" t="s">
        <v>35</v>
      </c>
      <c r="J56" s="9" t="s">
        <v>41</v>
      </c>
      <c r="K56" s="9" t="s">
        <v>37</v>
      </c>
      <c r="L56" s="9" t="s">
        <v>37</v>
      </c>
      <c r="M56" s="22">
        <v>4</v>
      </c>
      <c r="N56" s="9">
        <f t="shared" si="5"/>
        <v>43</v>
      </c>
      <c r="O56" s="23">
        <f t="shared" si="19"/>
        <v>50</v>
      </c>
      <c r="P56" s="8"/>
      <c r="Q56" s="9"/>
      <c r="R56" s="9"/>
      <c r="S56" s="9">
        <v>1</v>
      </c>
      <c r="T56" s="9">
        <v>1</v>
      </c>
      <c r="U56" s="9" t="s">
        <v>102</v>
      </c>
      <c r="V56" s="8">
        <f t="shared" si="6"/>
        <v>5.3095465647233729E-5</v>
      </c>
      <c r="W56" s="8">
        <v>1.5933280039374484</v>
      </c>
      <c r="X56" s="8">
        <v>1.1589720935804735</v>
      </c>
      <c r="Y56" s="8"/>
      <c r="Z56" s="8"/>
      <c r="AA56" s="8"/>
      <c r="AB56" s="1"/>
      <c r="AC56" s="1"/>
      <c r="AD56" s="1"/>
      <c r="AE56" s="1"/>
      <c r="AF56" s="1"/>
      <c r="BA56" s="36">
        <f>0.006645157*O56+0.964808634</f>
        <v>1.2970664840000001</v>
      </c>
      <c r="BB56" s="36">
        <f t="shared" si="7"/>
        <v>1.8292742499024786</v>
      </c>
      <c r="BC56" s="36">
        <f t="shared" si="16"/>
        <v>1.2896390764483516E-4</v>
      </c>
      <c r="BD56" s="36">
        <f t="shared" si="20"/>
        <v>6.4481953822417584E-6</v>
      </c>
      <c r="BE56" s="37">
        <f t="shared" si="12"/>
        <v>0.25</v>
      </c>
      <c r="BF56" s="8"/>
      <c r="BG56" s="8" t="e">
        <f t="shared" ca="1" si="17"/>
        <v>#NAME?</v>
      </c>
      <c r="BH56" s="8" t="e">
        <f t="shared" ca="1" si="18"/>
        <v>#NAME?</v>
      </c>
      <c r="BI56" s="8" t="e">
        <f t="shared" ca="1" si="21"/>
        <v>#NAME?</v>
      </c>
      <c r="BJ56" s="8">
        <f t="shared" si="8"/>
        <v>0.25</v>
      </c>
    </row>
    <row r="57" spans="1:62" x14ac:dyDescent="0.3">
      <c r="A57" s="8">
        <v>56</v>
      </c>
      <c r="B57" s="19" t="s">
        <v>103</v>
      </c>
      <c r="C57" s="20">
        <v>20</v>
      </c>
      <c r="D57" s="20">
        <v>763</v>
      </c>
      <c r="E57" s="20">
        <v>219</v>
      </c>
      <c r="F57" s="20">
        <v>1984</v>
      </c>
      <c r="G57" s="9">
        <v>8.5</v>
      </c>
      <c r="H57" s="20">
        <v>4</v>
      </c>
      <c r="I57" s="9" t="s">
        <v>35</v>
      </c>
      <c r="J57" s="9" t="s">
        <v>36</v>
      </c>
      <c r="K57" s="9" t="s">
        <v>37</v>
      </c>
      <c r="L57" s="9" t="s">
        <v>37</v>
      </c>
      <c r="M57" s="22">
        <v>8</v>
      </c>
      <c r="N57" s="9">
        <f t="shared" si="5"/>
        <v>33</v>
      </c>
      <c r="O57" s="23">
        <f t="shared" si="19"/>
        <v>52.941176470588232</v>
      </c>
      <c r="P57" s="8"/>
      <c r="Q57" s="28"/>
      <c r="R57" s="28">
        <v>1</v>
      </c>
      <c r="S57" s="28">
        <v>1</v>
      </c>
      <c r="T57" s="28">
        <v>1</v>
      </c>
      <c r="U57" s="9" t="s">
        <v>38</v>
      </c>
      <c r="V57" s="8">
        <f t="shared" si="6"/>
        <v>4.5337484070674969E-6</v>
      </c>
      <c r="W57" s="8">
        <v>0.9345297813457446</v>
      </c>
      <c r="X57" s="8">
        <v>0.62543539671441839</v>
      </c>
      <c r="Y57" s="8"/>
      <c r="Z57" s="8"/>
      <c r="AA57" s="8"/>
      <c r="AB57" s="1"/>
      <c r="AC57" s="1"/>
      <c r="AD57" s="1"/>
      <c r="AE57" s="1"/>
      <c r="AF57" s="1"/>
      <c r="BA57" s="36">
        <f>0.007037131*O57+0.918138063</f>
        <v>1.290692057117647</v>
      </c>
      <c r="BB57" s="36">
        <f t="shared" si="7"/>
        <v>1.8176507608476369</v>
      </c>
      <c r="BC57" s="36">
        <f t="shared" si="16"/>
        <v>9.9423474005922675E-5</v>
      </c>
      <c r="BD57" s="36">
        <f t="shared" si="20"/>
        <v>7.5860110666519008E-5</v>
      </c>
      <c r="BE57" s="37">
        <f t="shared" si="12"/>
        <v>0.125</v>
      </c>
      <c r="BF57" s="8"/>
      <c r="BG57" s="8" t="e">
        <f t="shared" ca="1" si="17"/>
        <v>#NAME?</v>
      </c>
      <c r="BH57" s="8" t="e">
        <f t="shared" ca="1" si="18"/>
        <v>#NAME?</v>
      </c>
      <c r="BI57" s="8" t="e">
        <f t="shared" ca="1" si="21"/>
        <v>#NAME?</v>
      </c>
      <c r="BJ57" s="8">
        <f t="shared" si="8"/>
        <v>0.125</v>
      </c>
    </row>
  </sheetData>
  <autoFilter ref="U1:U57"/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46"/>
  <sheetViews>
    <sheetView topLeftCell="A16" workbookViewId="0">
      <selection activeCell="L97" sqref="L97"/>
    </sheetView>
  </sheetViews>
  <sheetFormatPr defaultColWidth="9" defaultRowHeight="14.4" x14ac:dyDescent="0.3"/>
  <cols>
    <col min="1" max="1" width="17.33203125" customWidth="1"/>
    <col min="2" max="2" width="15.6640625" customWidth="1"/>
    <col min="3" max="3" width="12.33203125" customWidth="1"/>
  </cols>
  <sheetData>
    <row r="1" spans="1:4" ht="15.6" x14ac:dyDescent="0.3">
      <c r="A1" s="1" t="s">
        <v>104</v>
      </c>
      <c r="B1" s="1"/>
      <c r="C1" s="1"/>
      <c r="D1" s="1"/>
    </row>
    <row r="2" spans="1:4" ht="15.6" x14ac:dyDescent="0.3">
      <c r="A2" s="1" t="s">
        <v>105</v>
      </c>
      <c r="B2" s="1" t="s">
        <v>106</v>
      </c>
      <c r="C2" s="1" t="s">
        <v>107</v>
      </c>
      <c r="D2" s="1"/>
    </row>
    <row r="3" spans="1:4" ht="15.6" x14ac:dyDescent="0.3">
      <c r="A3" s="2"/>
      <c r="B3" s="3"/>
      <c r="C3" s="1"/>
    </row>
    <row r="4" spans="1:4" ht="15.6" x14ac:dyDescent="0.3">
      <c r="A4" s="2">
        <v>0</v>
      </c>
      <c r="B4" s="3">
        <v>1.2873599460596501</v>
      </c>
      <c r="C4" s="1" t="s">
        <v>14</v>
      </c>
    </row>
    <row r="5" spans="1:4" ht="15.6" x14ac:dyDescent="0.3">
      <c r="A5" s="2">
        <v>0</v>
      </c>
      <c r="B5" s="3">
        <v>1.30229397546804</v>
      </c>
      <c r="C5" s="1" t="s">
        <v>14</v>
      </c>
    </row>
    <row r="6" spans="1:4" ht="15.6" x14ac:dyDescent="0.3">
      <c r="A6" s="2">
        <v>0</v>
      </c>
      <c r="B6" s="3">
        <v>1.29363571173486</v>
      </c>
      <c r="C6" s="1" t="s">
        <v>14</v>
      </c>
    </row>
    <row r="7" spans="1:4" ht="15.6" x14ac:dyDescent="0.3">
      <c r="A7" s="2">
        <v>11.1111111111111</v>
      </c>
      <c r="B7" s="3">
        <v>1.32084779754183</v>
      </c>
      <c r="C7" s="1" t="s">
        <v>14</v>
      </c>
    </row>
    <row r="8" spans="1:4" ht="15.6" x14ac:dyDescent="0.3">
      <c r="A8" s="2">
        <v>14.285714285714301</v>
      </c>
      <c r="B8" s="3">
        <v>1.12428114220237</v>
      </c>
      <c r="C8" s="1" t="s">
        <v>14</v>
      </c>
    </row>
    <row r="9" spans="1:4" ht="15.6" x14ac:dyDescent="0.3">
      <c r="A9" s="2">
        <v>14.285714285714301</v>
      </c>
      <c r="B9" s="3">
        <v>1.2682204817978</v>
      </c>
      <c r="C9" s="1" t="s">
        <v>14</v>
      </c>
    </row>
    <row r="10" spans="1:4" ht="15.6" x14ac:dyDescent="0.3">
      <c r="A10" s="2">
        <v>14.285714285714301</v>
      </c>
      <c r="B10" s="3">
        <v>1.0468705934332301</v>
      </c>
      <c r="C10" s="1" t="s">
        <v>14</v>
      </c>
    </row>
    <row r="11" spans="1:4" ht="15.6" x14ac:dyDescent="0.3">
      <c r="A11" s="2">
        <v>14.285714285714301</v>
      </c>
      <c r="B11" s="3">
        <v>1.4368898720004399</v>
      </c>
      <c r="C11" s="1" t="s">
        <v>14</v>
      </c>
    </row>
    <row r="12" spans="1:4" ht="15.6" x14ac:dyDescent="0.3">
      <c r="A12" s="2">
        <v>14.285714285714301</v>
      </c>
      <c r="B12" s="3">
        <v>1.3307652806236401</v>
      </c>
      <c r="C12" s="1" t="s">
        <v>14</v>
      </c>
    </row>
    <row r="13" spans="1:4" ht="15.6" x14ac:dyDescent="0.3">
      <c r="A13" s="2">
        <v>16.470588235294102</v>
      </c>
      <c r="B13" s="3">
        <v>1.2770109878618101</v>
      </c>
      <c r="C13" s="1" t="s">
        <v>14</v>
      </c>
    </row>
    <row r="14" spans="1:4" ht="15.6" x14ac:dyDescent="0.3">
      <c r="A14" s="2">
        <v>18.75</v>
      </c>
      <c r="B14" s="3">
        <v>1.0535912590659999</v>
      </c>
      <c r="C14" s="1" t="s">
        <v>14</v>
      </c>
    </row>
    <row r="15" spans="1:4" ht="15.6" x14ac:dyDescent="0.3">
      <c r="A15" s="2">
        <v>25</v>
      </c>
      <c r="B15" s="3">
        <v>1.25195851441946</v>
      </c>
      <c r="C15" s="1" t="s">
        <v>14</v>
      </c>
    </row>
    <row r="16" spans="1:4" ht="15.6" x14ac:dyDescent="0.3">
      <c r="A16" s="2">
        <v>25</v>
      </c>
      <c r="B16" s="3">
        <v>0.92846943448965302</v>
      </c>
      <c r="C16" s="1" t="s">
        <v>14</v>
      </c>
    </row>
    <row r="17" spans="1:3" ht="15.6" x14ac:dyDescent="0.3">
      <c r="A17" s="2">
        <v>25</v>
      </c>
      <c r="B17" s="3">
        <v>1.1306541248926001</v>
      </c>
      <c r="C17" s="1" t="s">
        <v>14</v>
      </c>
    </row>
    <row r="18" spans="1:3" ht="15.6" x14ac:dyDescent="0.3">
      <c r="A18" s="2">
        <v>25</v>
      </c>
      <c r="B18" s="3">
        <v>1.0936479111623401</v>
      </c>
      <c r="C18" s="1" t="s">
        <v>14</v>
      </c>
    </row>
    <row r="19" spans="1:3" ht="15.6" x14ac:dyDescent="0.3">
      <c r="A19" s="2">
        <v>27.7777777777778</v>
      </c>
      <c r="B19" s="3">
        <v>1.0126818140171201</v>
      </c>
      <c r="C19" s="1" t="s">
        <v>14</v>
      </c>
    </row>
    <row r="20" spans="1:3" ht="15.6" x14ac:dyDescent="0.3">
      <c r="A20" s="2">
        <v>27.7777777777778</v>
      </c>
      <c r="B20" s="3">
        <v>0.76640688149981895</v>
      </c>
      <c r="C20" s="1" t="s">
        <v>14</v>
      </c>
    </row>
    <row r="21" spans="1:3" ht="15.6" x14ac:dyDescent="0.3">
      <c r="A21" s="2">
        <v>29.411764705882302</v>
      </c>
      <c r="B21" s="3">
        <v>1.25858159134508</v>
      </c>
      <c r="C21" s="1" t="s">
        <v>14</v>
      </c>
    </row>
    <row r="22" spans="1:3" ht="15.6" x14ac:dyDescent="0.3">
      <c r="A22" s="2">
        <v>43.75</v>
      </c>
      <c r="B22" s="3">
        <v>1.0482286614429399</v>
      </c>
      <c r="C22" s="1" t="s">
        <v>14</v>
      </c>
    </row>
    <row r="23" spans="1:3" ht="15.6" x14ac:dyDescent="0.3">
      <c r="A23" s="2">
        <v>43.75</v>
      </c>
      <c r="B23" s="3">
        <v>1.24077320560644</v>
      </c>
      <c r="C23" s="1" t="s">
        <v>14</v>
      </c>
    </row>
    <row r="24" spans="1:3" ht="15.6" x14ac:dyDescent="0.3">
      <c r="A24" s="2">
        <v>50</v>
      </c>
      <c r="B24" s="3">
        <v>1.1417697875326001</v>
      </c>
      <c r="C24" s="1" t="s">
        <v>14</v>
      </c>
    </row>
    <row r="25" spans="1:3" ht="15.6" x14ac:dyDescent="0.3">
      <c r="A25" s="2">
        <v>50</v>
      </c>
      <c r="B25" s="3">
        <v>1.0487990650700401</v>
      </c>
      <c r="C25" s="1" t="s">
        <v>14</v>
      </c>
    </row>
    <row r="26" spans="1:3" ht="15.6" x14ac:dyDescent="0.3">
      <c r="A26" s="2">
        <v>50</v>
      </c>
      <c r="B26" s="3">
        <v>0.99673866679999401</v>
      </c>
      <c r="C26" s="1" t="s">
        <v>14</v>
      </c>
    </row>
    <row r="29" spans="1:3" ht="15.6" x14ac:dyDescent="0.3">
      <c r="A29" s="1" t="s">
        <v>104</v>
      </c>
      <c r="B29" s="1"/>
      <c r="C29" s="1"/>
    </row>
    <row r="30" spans="1:3" ht="15.6" x14ac:dyDescent="0.3">
      <c r="A30" s="1" t="s">
        <v>105</v>
      </c>
      <c r="B30" s="1" t="s">
        <v>106</v>
      </c>
      <c r="C30" s="1" t="s">
        <v>107</v>
      </c>
    </row>
    <row r="31" spans="1:3" ht="15.6" x14ac:dyDescent="0.3">
      <c r="A31" s="2">
        <v>14.285714285714301</v>
      </c>
      <c r="B31" s="3">
        <v>1.21194610928654</v>
      </c>
      <c r="C31" s="1" t="s">
        <v>108</v>
      </c>
    </row>
    <row r="32" spans="1:3" ht="15.6" x14ac:dyDescent="0.3">
      <c r="A32" s="2">
        <v>30</v>
      </c>
      <c r="B32" s="3">
        <v>1.4230801099888399</v>
      </c>
      <c r="C32" s="1" t="s">
        <v>108</v>
      </c>
    </row>
    <row r="33" spans="1:3" ht="15.6" x14ac:dyDescent="0.3">
      <c r="A33" s="2">
        <v>38.8888888888889</v>
      </c>
      <c r="B33" s="3">
        <v>1.1688524707304799</v>
      </c>
      <c r="C33" s="1" t="s">
        <v>108</v>
      </c>
    </row>
    <row r="34" spans="1:3" ht="15.6" x14ac:dyDescent="0.3">
      <c r="A34" s="2">
        <v>44.4444444444444</v>
      </c>
      <c r="B34" s="3">
        <v>1.0487990650700401</v>
      </c>
      <c r="C34" s="1" t="s">
        <v>108</v>
      </c>
    </row>
    <row r="35" spans="1:3" ht="15.6" x14ac:dyDescent="0.3">
      <c r="A35" s="2">
        <v>52.941176470588204</v>
      </c>
      <c r="B35" s="3">
        <v>0.62543539671441795</v>
      </c>
      <c r="C35" s="1" t="s">
        <v>108</v>
      </c>
    </row>
    <row r="36" spans="1:3" ht="15.6" x14ac:dyDescent="0.3">
      <c r="A36" s="2">
        <v>58.3333333333333</v>
      </c>
      <c r="B36" s="3">
        <v>1.0487990650700401</v>
      </c>
      <c r="C36" s="1" t="s">
        <v>108</v>
      </c>
    </row>
    <row r="37" spans="1:3" ht="15.6" x14ac:dyDescent="0.3">
      <c r="A37" s="2">
        <v>60</v>
      </c>
      <c r="B37" s="3">
        <v>1.3618768068943501</v>
      </c>
      <c r="C37" s="1" t="s">
        <v>108</v>
      </c>
    </row>
    <row r="38" spans="1:3" ht="15.6" x14ac:dyDescent="0.3">
      <c r="A38" s="2">
        <v>60</v>
      </c>
      <c r="B38" s="3">
        <v>1.7591264331590399</v>
      </c>
      <c r="C38" s="1" t="s">
        <v>108</v>
      </c>
    </row>
    <row r="39" spans="1:3" ht="15.6" x14ac:dyDescent="0.3">
      <c r="A39" s="2">
        <v>66.6666666666667</v>
      </c>
      <c r="B39" s="3">
        <v>1.1717159451426</v>
      </c>
      <c r="C39" s="1" t="s">
        <v>108</v>
      </c>
    </row>
    <row r="40" spans="1:3" ht="15.6" x14ac:dyDescent="0.3">
      <c r="A40" s="2">
        <v>70</v>
      </c>
      <c r="B40" s="3">
        <v>1.1335831477073099</v>
      </c>
      <c r="C40" s="1" t="s">
        <v>108</v>
      </c>
    </row>
    <row r="44" spans="1:3" ht="15.6" x14ac:dyDescent="0.3">
      <c r="A44" s="1" t="s">
        <v>104</v>
      </c>
      <c r="B44" s="1"/>
      <c r="C44" s="1"/>
    </row>
    <row r="45" spans="1:3" ht="15.6" x14ac:dyDescent="0.3">
      <c r="A45" s="1" t="s">
        <v>105</v>
      </c>
      <c r="B45" s="1" t="s">
        <v>106</v>
      </c>
      <c r="C45" s="1" t="s">
        <v>107</v>
      </c>
    </row>
    <row r="46" spans="1:3" ht="15.6" x14ac:dyDescent="0.3">
      <c r="A46" s="2">
        <v>64.285714285714306</v>
      </c>
      <c r="B46" s="3">
        <v>1.5248875890917399</v>
      </c>
      <c r="C46" s="1" t="s">
        <v>109</v>
      </c>
    </row>
    <row r="47" spans="1:3" ht="15.6" x14ac:dyDescent="0.3">
      <c r="A47" s="2">
        <v>64.285714285714306</v>
      </c>
      <c r="B47" s="3">
        <v>1.6296597271818001</v>
      </c>
      <c r="C47" s="1" t="s">
        <v>109</v>
      </c>
    </row>
    <row r="48" spans="1:3" ht="15.6" x14ac:dyDescent="0.3">
      <c r="A48" s="2">
        <v>64.285714285714306</v>
      </c>
      <c r="B48" s="3">
        <v>1.38282141448667</v>
      </c>
      <c r="C48" s="1" t="s">
        <v>109</v>
      </c>
    </row>
    <row r="49" spans="1:3" ht="15.6" x14ac:dyDescent="0.3">
      <c r="A49" s="2">
        <v>50</v>
      </c>
      <c r="B49" s="3">
        <v>1.38282141448667</v>
      </c>
      <c r="C49" s="1" t="s">
        <v>109</v>
      </c>
    </row>
    <row r="50" spans="1:3" ht="15.6" x14ac:dyDescent="0.3">
      <c r="A50" s="2">
        <v>64.285714285714306</v>
      </c>
      <c r="B50" s="3">
        <v>1.41335638841421</v>
      </c>
      <c r="C50" s="1" t="s">
        <v>109</v>
      </c>
    </row>
    <row r="51" spans="1:3" ht="15.6" x14ac:dyDescent="0.3">
      <c r="A51" s="2">
        <v>50</v>
      </c>
      <c r="B51" s="3">
        <v>1.07683129023411</v>
      </c>
      <c r="C51" s="1" t="s">
        <v>109</v>
      </c>
    </row>
    <row r="52" spans="1:3" ht="15.6" x14ac:dyDescent="0.3">
      <c r="A52" s="2">
        <v>22.2222222222222</v>
      </c>
      <c r="B52" s="3">
        <v>1.2050157090335401</v>
      </c>
      <c r="C52" s="1" t="s">
        <v>109</v>
      </c>
    </row>
    <row r="53" spans="1:3" ht="15.6" x14ac:dyDescent="0.3">
      <c r="A53" s="2">
        <v>27.7777777777778</v>
      </c>
      <c r="B53" s="3">
        <v>0.76707080261118499</v>
      </c>
      <c r="C53" s="1" t="s">
        <v>109</v>
      </c>
    </row>
    <row r="54" spans="1:3" ht="15.6" x14ac:dyDescent="0.3">
      <c r="A54" s="2">
        <v>11.1111111111111</v>
      </c>
      <c r="B54" s="3">
        <v>1.0489581698342501</v>
      </c>
      <c r="C54" s="1" t="s">
        <v>109</v>
      </c>
    </row>
    <row r="58" spans="1:3" ht="15.6" x14ac:dyDescent="0.3">
      <c r="A58" s="1" t="s">
        <v>104</v>
      </c>
      <c r="B58" s="1"/>
      <c r="C58" s="1"/>
    </row>
    <row r="59" spans="1:3" ht="15.6" x14ac:dyDescent="0.3">
      <c r="A59" s="1" t="s">
        <v>105</v>
      </c>
      <c r="B59" s="1" t="s">
        <v>106</v>
      </c>
      <c r="C59" s="1" t="s">
        <v>107</v>
      </c>
    </row>
    <row r="60" spans="1:3" ht="15.6" x14ac:dyDescent="0.3">
      <c r="A60" s="2">
        <v>37.5</v>
      </c>
      <c r="B60" s="3">
        <v>0.96920647030737805</v>
      </c>
      <c r="C60" s="4" t="s">
        <v>49</v>
      </c>
    </row>
    <row r="61" spans="1:3" ht="15.6" x14ac:dyDescent="0.3">
      <c r="A61" s="2">
        <v>37.5</v>
      </c>
      <c r="B61" s="3">
        <v>0.96920647030737805</v>
      </c>
      <c r="C61" s="4" t="s">
        <v>49</v>
      </c>
    </row>
    <row r="62" spans="1:3" ht="15.6" x14ac:dyDescent="0.3">
      <c r="A62" s="2">
        <v>14.285714285714301</v>
      </c>
      <c r="B62" s="3">
        <v>1.0072285020559699</v>
      </c>
      <c r="C62" s="4" t="s">
        <v>49</v>
      </c>
    </row>
    <row r="63" spans="1:3" ht="15.6" x14ac:dyDescent="0.3">
      <c r="A63" s="2">
        <v>14.285714285714301</v>
      </c>
      <c r="B63" s="3">
        <v>1.16670401272132</v>
      </c>
      <c r="C63" s="4" t="s">
        <v>49</v>
      </c>
    </row>
    <row r="74" spans="1:3" ht="15.6" x14ac:dyDescent="0.3">
      <c r="A74" s="1" t="s">
        <v>104</v>
      </c>
      <c r="B74" s="1"/>
      <c r="C74" s="1"/>
    </row>
    <row r="75" spans="1:3" ht="15.6" x14ac:dyDescent="0.3">
      <c r="A75" s="1" t="s">
        <v>105</v>
      </c>
      <c r="B75" s="1" t="s">
        <v>106</v>
      </c>
      <c r="C75" s="1" t="s">
        <v>107</v>
      </c>
    </row>
    <row r="76" spans="1:3" ht="15.6" x14ac:dyDescent="0.3">
      <c r="A76" s="2">
        <v>55.5555555555556</v>
      </c>
      <c r="B76" s="3">
        <v>0.85897478699480301</v>
      </c>
      <c r="C76" s="4" t="s">
        <v>47</v>
      </c>
    </row>
    <row r="77" spans="1:3" ht="15.6" x14ac:dyDescent="0.3">
      <c r="A77" s="2">
        <v>37.5</v>
      </c>
      <c r="B77" s="3">
        <v>1.2082745757353901</v>
      </c>
      <c r="C77" s="4" t="s">
        <v>47</v>
      </c>
    </row>
    <row r="78" spans="1:3" ht="15.6" x14ac:dyDescent="0.3">
      <c r="A78" s="2">
        <v>68.75</v>
      </c>
      <c r="B78" s="3">
        <v>0.87251079828645195</v>
      </c>
      <c r="C78" s="4" t="s">
        <v>47</v>
      </c>
    </row>
    <row r="79" spans="1:3" ht="15.6" x14ac:dyDescent="0.3">
      <c r="A79" s="2">
        <v>64.285714285714306</v>
      </c>
      <c r="B79" s="3">
        <v>0.98320486003399898</v>
      </c>
      <c r="C79" s="4" t="s">
        <v>47</v>
      </c>
    </row>
    <row r="80" spans="1:3" ht="15.6" x14ac:dyDescent="0.3">
      <c r="C80" s="4"/>
    </row>
    <row r="81" spans="1:3" ht="15.6" x14ac:dyDescent="0.3">
      <c r="C81" s="4"/>
    </row>
    <row r="82" spans="1:3" ht="15.6" x14ac:dyDescent="0.3">
      <c r="C82" s="4"/>
    </row>
    <row r="83" spans="1:3" ht="15.6" x14ac:dyDescent="0.3">
      <c r="C83" s="4"/>
    </row>
    <row r="84" spans="1:3" ht="15.6" x14ac:dyDescent="0.3">
      <c r="C84" s="4"/>
    </row>
    <row r="85" spans="1:3" ht="15.6" x14ac:dyDescent="0.3">
      <c r="C85" s="4"/>
    </row>
    <row r="86" spans="1:3" ht="15.6" x14ac:dyDescent="0.3">
      <c r="C86" s="4"/>
    </row>
    <row r="87" spans="1:3" ht="15.6" x14ac:dyDescent="0.3">
      <c r="C87" s="4"/>
    </row>
    <row r="88" spans="1:3" ht="15.6" x14ac:dyDescent="0.3">
      <c r="C88" s="4"/>
    </row>
    <row r="89" spans="1:3" ht="15.6" x14ac:dyDescent="0.3">
      <c r="A89" s="1" t="s">
        <v>104</v>
      </c>
      <c r="B89" s="1"/>
      <c r="C89" s="4"/>
    </row>
    <row r="90" spans="1:3" ht="15.6" x14ac:dyDescent="0.3">
      <c r="A90" s="1" t="s">
        <v>105</v>
      </c>
      <c r="B90" s="1" t="s">
        <v>106</v>
      </c>
      <c r="C90" s="4"/>
    </row>
    <row r="91" spans="1:3" ht="15.6" x14ac:dyDescent="0.3">
      <c r="A91" s="2">
        <v>0</v>
      </c>
      <c r="B91" s="3">
        <v>1.02734942209383</v>
      </c>
      <c r="C91" s="4"/>
    </row>
    <row r="92" spans="1:3" ht="15.6" x14ac:dyDescent="0.3">
      <c r="A92" s="2">
        <v>0</v>
      </c>
      <c r="B92" s="3">
        <v>1.2873599460596501</v>
      </c>
      <c r="C92" s="4"/>
    </row>
    <row r="93" spans="1:3" ht="15.6" x14ac:dyDescent="0.3">
      <c r="A93" s="2">
        <v>0</v>
      </c>
      <c r="B93" s="3">
        <v>1.30229397546804</v>
      </c>
      <c r="C93" s="4"/>
    </row>
    <row r="94" spans="1:3" ht="15.6" x14ac:dyDescent="0.3">
      <c r="A94" s="2">
        <v>0</v>
      </c>
      <c r="B94" s="3">
        <v>1.29363571173486</v>
      </c>
      <c r="C94" s="4"/>
    </row>
    <row r="95" spans="1:3" ht="15.6" x14ac:dyDescent="0.3">
      <c r="A95" s="2">
        <v>11.1111111111111</v>
      </c>
      <c r="B95" s="3">
        <v>1.32084779754183</v>
      </c>
      <c r="C95" s="4"/>
    </row>
    <row r="96" spans="1:3" ht="15.6" x14ac:dyDescent="0.3">
      <c r="A96" s="2">
        <v>11.1111111111111</v>
      </c>
      <c r="B96" s="3">
        <v>1.0489581698342501</v>
      </c>
      <c r="C96" s="4"/>
    </row>
    <row r="97" spans="1:3" ht="15.6" x14ac:dyDescent="0.3">
      <c r="A97" s="2">
        <v>14.285714285714301</v>
      </c>
      <c r="B97" s="3">
        <v>1.0072285020559699</v>
      </c>
      <c r="C97" s="4"/>
    </row>
    <row r="98" spans="1:3" ht="15.6" x14ac:dyDescent="0.3">
      <c r="A98" s="2">
        <v>14.285714285714301</v>
      </c>
      <c r="B98" s="3">
        <v>1.16670401272132</v>
      </c>
      <c r="C98" s="4"/>
    </row>
    <row r="99" spans="1:3" ht="15.6" x14ac:dyDescent="0.3">
      <c r="A99" s="2">
        <v>14.285714285714301</v>
      </c>
      <c r="B99" s="3">
        <v>1.21194610928654</v>
      </c>
      <c r="C99" s="4"/>
    </row>
    <row r="100" spans="1:3" ht="15.6" x14ac:dyDescent="0.3">
      <c r="A100" s="2">
        <v>14.285714285714301</v>
      </c>
      <c r="B100" s="3">
        <v>1.12428114220237</v>
      </c>
      <c r="C100" s="4"/>
    </row>
    <row r="101" spans="1:3" ht="15.6" x14ac:dyDescent="0.3">
      <c r="A101" s="2">
        <v>14.285714285714301</v>
      </c>
      <c r="B101" s="3">
        <v>1.2682204817978</v>
      </c>
      <c r="C101" s="4"/>
    </row>
    <row r="102" spans="1:3" ht="15.6" x14ac:dyDescent="0.3">
      <c r="A102" s="2">
        <v>14.285714285714301</v>
      </c>
      <c r="B102" s="3">
        <v>1.0468705934332301</v>
      </c>
      <c r="C102" s="4"/>
    </row>
    <row r="103" spans="1:3" ht="15.6" x14ac:dyDescent="0.3">
      <c r="A103" s="2">
        <v>14.285714285714301</v>
      </c>
      <c r="B103" s="3">
        <v>1.4368898720004399</v>
      </c>
      <c r="C103" s="4"/>
    </row>
    <row r="104" spans="1:3" ht="15.6" x14ac:dyDescent="0.3">
      <c r="A104" s="2">
        <v>14.285714285714301</v>
      </c>
      <c r="B104" s="3">
        <v>1.3307652806236401</v>
      </c>
      <c r="C104" s="4"/>
    </row>
    <row r="105" spans="1:3" ht="15.6" x14ac:dyDescent="0.3">
      <c r="A105" s="2">
        <v>16.470588235294102</v>
      </c>
      <c r="B105" s="3">
        <v>1.2770109878618101</v>
      </c>
      <c r="C105" s="4"/>
    </row>
    <row r="106" spans="1:3" ht="15.6" x14ac:dyDescent="0.3">
      <c r="A106" s="2">
        <v>18.75</v>
      </c>
      <c r="B106" s="3">
        <v>1.0535912590659999</v>
      </c>
      <c r="C106" s="4"/>
    </row>
    <row r="107" spans="1:3" ht="15.6" x14ac:dyDescent="0.3">
      <c r="A107" s="2">
        <v>22.2222222222222</v>
      </c>
      <c r="B107" s="3">
        <v>1.2050157090335401</v>
      </c>
      <c r="C107" s="4"/>
    </row>
    <row r="108" spans="1:3" ht="15.6" x14ac:dyDescent="0.3">
      <c r="A108" s="2">
        <v>25</v>
      </c>
      <c r="B108" s="3">
        <v>1.25195851441946</v>
      </c>
      <c r="C108" s="4"/>
    </row>
    <row r="109" spans="1:3" ht="15.6" x14ac:dyDescent="0.3">
      <c r="A109" s="2">
        <v>25</v>
      </c>
      <c r="B109" s="3">
        <v>0.92846943448965302</v>
      </c>
      <c r="C109" s="4"/>
    </row>
    <row r="110" spans="1:3" ht="15.6" x14ac:dyDescent="0.3">
      <c r="A110" s="2">
        <v>25</v>
      </c>
      <c r="B110" s="3">
        <v>1.1306541248926001</v>
      </c>
      <c r="C110" s="4"/>
    </row>
    <row r="111" spans="1:3" ht="15.6" x14ac:dyDescent="0.3">
      <c r="A111" s="2">
        <v>25</v>
      </c>
      <c r="B111" s="3">
        <v>1.0936479111623401</v>
      </c>
      <c r="C111" s="4"/>
    </row>
    <row r="112" spans="1:3" ht="15.6" x14ac:dyDescent="0.3">
      <c r="A112" s="2">
        <v>27.7777777777778</v>
      </c>
      <c r="B112" s="3">
        <v>1.0126818140171201</v>
      </c>
      <c r="C112" s="4"/>
    </row>
    <row r="113" spans="1:3" ht="15.6" x14ac:dyDescent="0.3">
      <c r="A113" s="2">
        <v>27.7777777777778</v>
      </c>
      <c r="B113" s="3">
        <v>0.76640688149981895</v>
      </c>
      <c r="C113" s="4"/>
    </row>
    <row r="114" spans="1:3" ht="15.6" x14ac:dyDescent="0.3">
      <c r="A114" s="2">
        <v>27.7777777777778</v>
      </c>
      <c r="B114" s="3">
        <v>0.76707080261118499</v>
      </c>
      <c r="C114" s="4"/>
    </row>
    <row r="115" spans="1:3" ht="15.6" x14ac:dyDescent="0.3">
      <c r="A115" s="2">
        <v>28.571428571428601</v>
      </c>
      <c r="B115" s="3">
        <v>1.01236932097027</v>
      </c>
      <c r="C115" s="4"/>
    </row>
    <row r="116" spans="1:3" ht="15.6" x14ac:dyDescent="0.3">
      <c r="A116" s="2">
        <v>29.411764705882302</v>
      </c>
      <c r="B116" s="3">
        <v>1.25858159134508</v>
      </c>
      <c r="C116" s="4"/>
    </row>
    <row r="117" spans="1:3" ht="15.6" x14ac:dyDescent="0.3">
      <c r="A117" s="2">
        <v>30</v>
      </c>
      <c r="B117" s="3">
        <v>1.4230801099888399</v>
      </c>
      <c r="C117" s="4"/>
    </row>
    <row r="118" spans="1:3" ht="15.6" x14ac:dyDescent="0.3">
      <c r="A118" s="2">
        <v>37.5</v>
      </c>
      <c r="B118" s="3">
        <v>0.96920647030737805</v>
      </c>
      <c r="C118" s="4"/>
    </row>
    <row r="119" spans="1:3" ht="15.6" x14ac:dyDescent="0.3">
      <c r="A119" s="2">
        <v>37.5</v>
      </c>
      <c r="B119" s="3">
        <v>1.2082745757353901</v>
      </c>
      <c r="C119" s="4"/>
    </row>
    <row r="120" spans="1:3" ht="15.6" x14ac:dyDescent="0.3">
      <c r="A120" s="2">
        <v>37.5</v>
      </c>
      <c r="B120" s="3">
        <v>0.96920647030737805</v>
      </c>
      <c r="C120" s="4"/>
    </row>
    <row r="121" spans="1:3" ht="15.6" x14ac:dyDescent="0.3">
      <c r="A121" s="2">
        <v>38.8888888888889</v>
      </c>
      <c r="B121" s="3">
        <v>1.1688524707304799</v>
      </c>
      <c r="C121" s="4"/>
    </row>
    <row r="122" spans="1:3" ht="15.6" x14ac:dyDescent="0.3">
      <c r="A122" s="2">
        <v>43.75</v>
      </c>
      <c r="B122" s="3">
        <v>1.0482286614429399</v>
      </c>
      <c r="C122" s="4"/>
    </row>
    <row r="123" spans="1:3" ht="15.6" x14ac:dyDescent="0.3">
      <c r="A123" s="2">
        <v>43.75</v>
      </c>
      <c r="B123" s="3">
        <v>1.24077320560644</v>
      </c>
    </row>
    <row r="124" spans="1:3" ht="15.6" x14ac:dyDescent="0.3">
      <c r="A124" s="2">
        <v>44.4444444444444</v>
      </c>
      <c r="B124" s="3">
        <v>1.0487990650700401</v>
      </c>
    </row>
    <row r="125" spans="1:3" ht="15.6" x14ac:dyDescent="0.3">
      <c r="A125" s="2">
        <v>44.4444444444444</v>
      </c>
      <c r="B125" s="3">
        <v>0.88756487699961795</v>
      </c>
    </row>
    <row r="126" spans="1:3" ht="15.6" x14ac:dyDescent="0.3">
      <c r="A126" s="2">
        <v>48</v>
      </c>
      <c r="B126" s="3">
        <v>1.33141037162483</v>
      </c>
    </row>
    <row r="127" spans="1:3" ht="15.6" x14ac:dyDescent="0.3">
      <c r="A127" s="2">
        <v>50</v>
      </c>
      <c r="B127" s="3">
        <v>1.1417697875326001</v>
      </c>
    </row>
    <row r="128" spans="1:3" ht="15.6" x14ac:dyDescent="0.3">
      <c r="A128" s="2">
        <v>50</v>
      </c>
      <c r="B128" s="3">
        <v>1.0487990650700401</v>
      </c>
    </row>
    <row r="129" spans="1:2" ht="15.6" x14ac:dyDescent="0.3">
      <c r="A129" s="2">
        <v>50</v>
      </c>
      <c r="B129" s="3">
        <v>1.38282141448667</v>
      </c>
    </row>
    <row r="130" spans="1:2" ht="15.6" x14ac:dyDescent="0.3">
      <c r="A130" s="2">
        <v>50</v>
      </c>
      <c r="B130" s="3">
        <v>1.07683129023411</v>
      </c>
    </row>
    <row r="131" spans="1:2" ht="15.6" x14ac:dyDescent="0.3">
      <c r="A131" s="2">
        <v>50</v>
      </c>
      <c r="B131" s="3">
        <v>0.99673866679999401</v>
      </c>
    </row>
    <row r="132" spans="1:2" ht="15.6" x14ac:dyDescent="0.3">
      <c r="A132" s="2">
        <v>50</v>
      </c>
      <c r="B132" s="3">
        <v>1.1589720935804699</v>
      </c>
    </row>
    <row r="133" spans="1:2" ht="15.6" x14ac:dyDescent="0.3">
      <c r="A133" s="2">
        <v>52.941176470588204</v>
      </c>
      <c r="B133" s="3">
        <v>0.62543539671441795</v>
      </c>
    </row>
    <row r="134" spans="1:2" ht="15.6" x14ac:dyDescent="0.3">
      <c r="A134" s="2">
        <v>55.5555555555556</v>
      </c>
      <c r="B134" s="3">
        <v>0.85897478699480301</v>
      </c>
    </row>
    <row r="135" spans="1:2" ht="15.6" x14ac:dyDescent="0.3">
      <c r="A135" s="2">
        <v>58.3333333333333</v>
      </c>
      <c r="B135" s="3">
        <v>1.0487990650700401</v>
      </c>
    </row>
    <row r="136" spans="1:2" ht="15.6" x14ac:dyDescent="0.3">
      <c r="A136" s="2">
        <v>60</v>
      </c>
      <c r="B136" s="3">
        <v>1.3618768068943501</v>
      </c>
    </row>
    <row r="137" spans="1:2" ht="15.6" x14ac:dyDescent="0.3">
      <c r="A137" s="2">
        <v>60</v>
      </c>
      <c r="B137" s="3">
        <v>1.7591264331590399</v>
      </c>
    </row>
    <row r="138" spans="1:2" ht="15.6" x14ac:dyDescent="0.3">
      <c r="A138" s="2">
        <v>64.285714285714306</v>
      </c>
      <c r="B138" s="3">
        <v>1.5248875890917399</v>
      </c>
    </row>
    <row r="139" spans="1:2" ht="15.6" x14ac:dyDescent="0.3">
      <c r="A139" s="2">
        <v>64.285714285714306</v>
      </c>
      <c r="B139" s="3">
        <v>1.6296597271818001</v>
      </c>
    </row>
    <row r="140" spans="1:2" ht="15.6" x14ac:dyDescent="0.3">
      <c r="A140" s="2">
        <v>64.285714285714306</v>
      </c>
      <c r="B140" s="3">
        <v>1.38282141448667</v>
      </c>
    </row>
    <row r="141" spans="1:2" ht="15.6" x14ac:dyDescent="0.3">
      <c r="A141" s="2">
        <v>64.285714285714306</v>
      </c>
      <c r="B141" s="3">
        <v>1.41335638841421</v>
      </c>
    </row>
    <row r="142" spans="1:2" ht="15.6" x14ac:dyDescent="0.3">
      <c r="A142" s="2">
        <v>64.285714285714306</v>
      </c>
      <c r="B142" s="3">
        <v>0.98320486003399898</v>
      </c>
    </row>
    <row r="143" spans="1:2" ht="15.6" x14ac:dyDescent="0.3">
      <c r="A143" s="2">
        <v>65</v>
      </c>
      <c r="B143" s="3">
        <v>2.0896259115919098</v>
      </c>
    </row>
    <row r="144" spans="1:2" ht="15.6" x14ac:dyDescent="0.3">
      <c r="A144" s="2">
        <v>66.6666666666667</v>
      </c>
      <c r="B144" s="3">
        <v>1.1717159451426</v>
      </c>
    </row>
    <row r="145" spans="1:2" ht="15.6" x14ac:dyDescent="0.3">
      <c r="A145" s="2">
        <v>68.75</v>
      </c>
      <c r="B145" s="3">
        <v>0.87251079828645195</v>
      </c>
    </row>
    <row r="146" spans="1:2" ht="15.6" x14ac:dyDescent="0.3">
      <c r="A146" s="2">
        <v>70</v>
      </c>
      <c r="B146" s="3">
        <v>1.1335831477073099</v>
      </c>
    </row>
  </sheetData>
  <sortState ref="A91:B146">
    <sortCondition ref="A91:A146"/>
  </sortState>
  <pageMargins left="0.7" right="0.7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параметров</vt:lpstr>
      <vt:lpstr>функции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Надежда</cp:lastModifiedBy>
  <dcterms:created xsi:type="dcterms:W3CDTF">2006-09-28T05:33:00Z</dcterms:created>
  <dcterms:modified xsi:type="dcterms:W3CDTF">2024-04-23T07:10:58Z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E291042251394A61ACD748E5DC9A36AE_13</vt:lpwstr>
  </property>
  <property fmtid="{D5CDD505-2E9C-101B-9397-08002B2CF9AE}" pid="3" name="KSOProductBuildVer">
    <vt:lpwstr>1049-12.2.0.13431</vt:lpwstr>
  </property>
</Properties>
</file>